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W:\My Documents\Macros\Formats\Financials\ADBFS\"/>
    </mc:Choice>
  </mc:AlternateContent>
  <xr:revisionPtr revIDLastSave="0" documentId="13_ncr:1_{3A5C243E-DD4E-4F7A-AF14-97AE84427C80}" xr6:coauthVersionLast="46" xr6:coauthVersionMax="46" xr10:uidLastSave="{00000000-0000-0000-0000-000000000000}"/>
  <bookViews>
    <workbookView xWindow="-120" yWindow="-120" windowWidth="20730" windowHeight="11160" tabRatio="961" xr2:uid="{00000000-000D-0000-FFFF-FFFF00000000}"/>
  </bookViews>
  <sheets>
    <sheet name="CUSTOMER DETAIL" sheetId="33" r:id="rId1"/>
    <sheet name="Loan Details" sheetId="17" r:id="rId2"/>
    <sheet name="MSME_Detail" sheetId="30" r:id="rId3"/>
    <sheet name="MSME Detail" sheetId="29" state="hidden" r:id="rId4"/>
    <sheet name="ROC" sheetId="38" r:id="rId5"/>
    <sheet name="Average Banking" sheetId="14" r:id="rId6"/>
    <sheet name="DSCR Method" sheetId="8" state="hidden" r:id="rId7"/>
    <sheet name="Existing Borrower Top-up" sheetId="28" state="hidden" r:id="rId8"/>
    <sheet name="ITR Program" sheetId="6" state="hidden" r:id="rId9"/>
    <sheet name="Gross Receipts" sheetId="3" state="hidden" r:id="rId10"/>
    <sheet name="Income Multiplier" sheetId="5" state="hidden" r:id="rId11"/>
    <sheet name="Details" sheetId="16" state="hidden" r:id="rId12"/>
    <sheet name="Banking" sheetId="19" r:id="rId13"/>
    <sheet name="Financial" sheetId="32" r:id="rId14"/>
    <sheet name="Sheet1" sheetId="34" state="hidden" r:id="rId15"/>
    <sheet name="Banking Cashflow" sheetId="27" r:id="rId16"/>
    <sheet name="Banking Trend" sheetId="26" state="hidden" r:id="rId17"/>
    <sheet name="Repayment" sheetId="21" r:id="rId18"/>
    <sheet name="NC-RTR" sheetId="35" r:id="rId19"/>
    <sheet name="Observation Sheet" sheetId="23" r:id="rId20"/>
    <sheet name="SHP" sheetId="24" r:id="rId21"/>
    <sheet name="GSTR CY" sheetId="36" r:id="rId22"/>
    <sheet name="GSTR PY" sheetId="39" r:id="rId23"/>
    <sheet name="Gross Margin" sheetId="2" state="hidden" r:id="rId24"/>
    <sheet name="Gross Profit" sheetId="9" state="hidden" r:id="rId25"/>
    <sheet name="Projected Turnover" sheetId="11" state="hidden" r:id="rId26"/>
    <sheet name="Turnover Multiplier" sheetId="12" state="hidden" r:id="rId27"/>
    <sheet name="GST TO Surrogate" sheetId="13" state="hidden" r:id="rId28"/>
    <sheet name="Repayment Surrogate" sheetId="15" state="hidden" r:id="rId29"/>
  </sheets>
  <externalReferences>
    <externalReference r:id="rId30"/>
  </externalReferences>
  <definedNames>
    <definedName name="_xlnm._FilterDatabase" localSheetId="13" hidden="1">Financial!$A$3:$L$140</definedName>
    <definedName name="_xlnm._FilterDatabase" localSheetId="1" hidden="1">'Loan Details'!$A$2:$E$64</definedName>
    <definedName name="_xlnm._FilterDatabase" localSheetId="17" hidden="1">Repayment!$A$1:$Y$52</definedName>
    <definedName name="Amount">'[1]ROC-Check'!$I$32:$I$33</definedName>
    <definedName name="AuthCap">'[1]ROC-Check'!$E$10</definedName>
    <definedName name="CIN">'[1]ROC-Check'!$E$3</definedName>
    <definedName name="CINStatus">'[1]ROC-Check'!$E$22</definedName>
    <definedName name="_xlnm.Criteria">'[1]ROC-Check'!$H$32:$H$33</definedName>
    <definedName name="GSTIN">'[1]GST-Check'!$E$3</definedName>
    <definedName name="GSTINStatus">'[1]GST-Check'!$E$10</definedName>
    <definedName name="PaidUp">'[1]ROC-Check'!$E$11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7" l="1" a="1"/>
  <c r="E21" i="17" s="1"/>
  <c r="C21" i="17" a="1"/>
  <c r="C21" i="17" s="1"/>
  <c r="C20" i="17" a="1"/>
  <c r="C20" i="17" s="1"/>
  <c r="E20" i="17" a="1"/>
  <c r="E20" i="17" s="1"/>
  <c r="E19" i="17" a="1"/>
  <c r="E19" i="17"/>
  <c r="C19" i="17" a="1"/>
  <c r="C19" i="17" s="1"/>
  <c r="C18" i="17" a="1"/>
  <c r="C18" i="17" s="1"/>
  <c r="E18" i="17" a="1"/>
  <c r="E18" i="17" s="1"/>
  <c r="E17" i="17" a="1"/>
  <c r="E17" i="17" s="1"/>
  <c r="C17" i="17" a="1"/>
  <c r="C17" i="17" s="1"/>
  <c r="E16" i="17" a="1"/>
  <c r="E16" i="17" s="1"/>
  <c r="C16" i="17" a="1"/>
  <c r="C16" i="17" s="1"/>
  <c r="E15" i="17" a="1"/>
  <c r="E15" i="17" s="1"/>
  <c r="C15" i="17" a="1"/>
  <c r="C15" i="17" s="1"/>
  <c r="E14" i="17" a="1"/>
  <c r="E14" i="17" s="1"/>
  <c r="C14" i="17" a="1"/>
  <c r="C14" i="17" s="1"/>
  <c r="BB1" i="33"/>
  <c r="AA1" i="35"/>
  <c r="J255" i="39"/>
  <c r="D255" i="39"/>
  <c r="B255" i="39"/>
  <c r="D252" i="39"/>
  <c r="F249" i="39"/>
  <c r="D249" i="39"/>
  <c r="D246" i="39"/>
  <c r="D243" i="39"/>
  <c r="F243" i="39" s="1"/>
  <c r="F255" i="39" s="1"/>
  <c r="J239" i="39"/>
  <c r="B239" i="39"/>
  <c r="D236" i="39"/>
  <c r="D233" i="39"/>
  <c r="F233" i="39" s="1"/>
  <c r="D230" i="39"/>
  <c r="F227" i="39"/>
  <c r="D227" i="39"/>
  <c r="D239" i="39" s="1"/>
  <c r="J223" i="39"/>
  <c r="B223" i="39"/>
  <c r="D220" i="39"/>
  <c r="D217" i="39"/>
  <c r="F217" i="39" s="1"/>
  <c r="D214" i="39"/>
  <c r="D211" i="39"/>
  <c r="F211" i="39" s="1"/>
  <c r="J207" i="39"/>
  <c r="B207" i="39"/>
  <c r="D204" i="39"/>
  <c r="D201" i="39"/>
  <c r="F201" i="39" s="1"/>
  <c r="D198" i="39"/>
  <c r="D207" i="39" s="1"/>
  <c r="D195" i="39"/>
  <c r="J191" i="39"/>
  <c r="D191" i="39"/>
  <c r="B191" i="39"/>
  <c r="D188" i="39"/>
  <c r="F185" i="39"/>
  <c r="D185" i="39"/>
  <c r="D182" i="39"/>
  <c r="D179" i="39"/>
  <c r="F179" i="39" s="1"/>
  <c r="F191" i="39" s="1"/>
  <c r="J175" i="39"/>
  <c r="B175" i="39"/>
  <c r="D172" i="39"/>
  <c r="D169" i="39"/>
  <c r="F169" i="39" s="1"/>
  <c r="D166" i="39"/>
  <c r="F163" i="39"/>
  <c r="F175" i="39" s="1"/>
  <c r="D163" i="39"/>
  <c r="D175" i="39" s="1"/>
  <c r="J159" i="39"/>
  <c r="B159" i="39"/>
  <c r="D156" i="39"/>
  <c r="D153" i="39"/>
  <c r="F153" i="39" s="1"/>
  <c r="D150" i="39"/>
  <c r="D147" i="39"/>
  <c r="F147" i="39" s="1"/>
  <c r="F159" i="39" s="1"/>
  <c r="J143" i="39"/>
  <c r="B143" i="39"/>
  <c r="D140" i="39"/>
  <c r="D137" i="39"/>
  <c r="F137" i="39" s="1"/>
  <c r="D134" i="39"/>
  <c r="D143" i="39" s="1"/>
  <c r="D131" i="39"/>
  <c r="J127" i="39"/>
  <c r="D127" i="39"/>
  <c r="B127" i="39"/>
  <c r="D124" i="39"/>
  <c r="F121" i="39"/>
  <c r="D121" i="39"/>
  <c r="D118" i="39"/>
  <c r="D115" i="39"/>
  <c r="F115" i="39" s="1"/>
  <c r="F127" i="39" s="1"/>
  <c r="J111" i="39"/>
  <c r="B111" i="39"/>
  <c r="D108" i="39"/>
  <c r="D105" i="39"/>
  <c r="F105" i="39" s="1"/>
  <c r="D102" i="39"/>
  <c r="F99" i="39"/>
  <c r="F111" i="39" s="1"/>
  <c r="D99" i="39"/>
  <c r="D111" i="39" s="1"/>
  <c r="J95" i="39"/>
  <c r="B95" i="39"/>
  <c r="D92" i="39"/>
  <c r="D89" i="39"/>
  <c r="F89" i="39" s="1"/>
  <c r="D86" i="39"/>
  <c r="D83" i="39"/>
  <c r="F83" i="39" s="1"/>
  <c r="F95" i="39" s="1"/>
  <c r="J79" i="39"/>
  <c r="B79" i="39"/>
  <c r="D76" i="39"/>
  <c r="D73" i="39"/>
  <c r="F73" i="39" s="1"/>
  <c r="D70" i="39"/>
  <c r="D79" i="39" s="1"/>
  <c r="D67" i="39"/>
  <c r="J63" i="39"/>
  <c r="D63" i="39"/>
  <c r="B63" i="39"/>
  <c r="D60" i="39"/>
  <c r="F57" i="39"/>
  <c r="D57" i="39"/>
  <c r="D54" i="39"/>
  <c r="D51" i="39"/>
  <c r="F51" i="39" s="1"/>
  <c r="F63" i="39" s="1"/>
  <c r="J47" i="39"/>
  <c r="B47" i="39"/>
  <c r="D44" i="39"/>
  <c r="D41" i="39"/>
  <c r="F41" i="39" s="1"/>
  <c r="D38" i="39"/>
  <c r="F35" i="39"/>
  <c r="D35" i="39"/>
  <c r="D47" i="39" s="1"/>
  <c r="J31" i="39"/>
  <c r="B31" i="39"/>
  <c r="D28" i="39"/>
  <c r="D12" i="39" s="1"/>
  <c r="D25" i="39"/>
  <c r="F25" i="39" s="1"/>
  <c r="F9" i="39" s="1"/>
  <c r="D22" i="39"/>
  <c r="D19" i="39"/>
  <c r="F19" i="39" s="1"/>
  <c r="J14" i="39"/>
  <c r="B14" i="39"/>
  <c r="J13" i="39"/>
  <c r="B13" i="39"/>
  <c r="J12" i="39"/>
  <c r="B12" i="39"/>
  <c r="J11" i="39"/>
  <c r="B11" i="39"/>
  <c r="J10" i="39"/>
  <c r="B10" i="39"/>
  <c r="J9" i="39"/>
  <c r="B9" i="39"/>
  <c r="J8" i="39"/>
  <c r="B8" i="39"/>
  <c r="J7" i="39"/>
  <c r="B7" i="39"/>
  <c r="J6" i="39"/>
  <c r="B6" i="39"/>
  <c r="J5" i="39"/>
  <c r="B5" i="39"/>
  <c r="O4" i="39"/>
  <c r="J4" i="39"/>
  <c r="B4" i="39"/>
  <c r="B15" i="39" s="1"/>
  <c r="M9" i="39" s="1"/>
  <c r="O3" i="39"/>
  <c r="J3" i="39"/>
  <c r="J15" i="39" s="1"/>
  <c r="M10" i="39" s="1"/>
  <c r="D3" i="39"/>
  <c r="B3" i="39"/>
  <c r="F249" i="36"/>
  <c r="F243" i="36"/>
  <c r="D252" i="36"/>
  <c r="D249" i="36"/>
  <c r="D246" i="36"/>
  <c r="D243" i="36"/>
  <c r="D236" i="36"/>
  <c r="D233" i="36"/>
  <c r="F233" i="36" s="1"/>
  <c r="D230" i="36"/>
  <c r="F227" i="36" s="1"/>
  <c r="D227" i="36"/>
  <c r="F217" i="36"/>
  <c r="F211" i="36"/>
  <c r="D220" i="36"/>
  <c r="D217" i="36"/>
  <c r="D214" i="36"/>
  <c r="D211" i="36"/>
  <c r="D204" i="36"/>
  <c r="D201" i="36"/>
  <c r="D198" i="36"/>
  <c r="D195" i="36"/>
  <c r="F195" i="36" s="1"/>
  <c r="F185" i="36"/>
  <c r="F179" i="36"/>
  <c r="D188" i="36"/>
  <c r="D185" i="36"/>
  <c r="D182" i="36"/>
  <c r="D179" i="36"/>
  <c r="D172" i="36"/>
  <c r="D169" i="36"/>
  <c r="F169" i="36" s="1"/>
  <c r="D166" i="36"/>
  <c r="D163" i="36"/>
  <c r="F163" i="36" s="1"/>
  <c r="F153" i="36"/>
  <c r="F147" i="36"/>
  <c r="D156" i="36"/>
  <c r="D153" i="36"/>
  <c r="D150" i="36"/>
  <c r="D147" i="36"/>
  <c r="D140" i="36"/>
  <c r="D137" i="36"/>
  <c r="F137" i="36" s="1"/>
  <c r="D134" i="36"/>
  <c r="F131" i="36" s="1"/>
  <c r="D131" i="36"/>
  <c r="F121" i="36"/>
  <c r="F115" i="36"/>
  <c r="D124" i="36"/>
  <c r="D121" i="36"/>
  <c r="D118" i="36"/>
  <c r="D115" i="36"/>
  <c r="F105" i="36"/>
  <c r="F99" i="36"/>
  <c r="D108" i="36"/>
  <c r="D105" i="36"/>
  <c r="D102" i="36"/>
  <c r="D99" i="36"/>
  <c r="D92" i="36"/>
  <c r="D89" i="36"/>
  <c r="D86" i="36"/>
  <c r="D83" i="36"/>
  <c r="F89" i="36"/>
  <c r="F83" i="36"/>
  <c r="F73" i="36"/>
  <c r="F67" i="36"/>
  <c r="D76" i="36"/>
  <c r="D73" i="36"/>
  <c r="D70" i="36"/>
  <c r="D67" i="36"/>
  <c r="F57" i="36"/>
  <c r="F51" i="36"/>
  <c r="D60" i="36"/>
  <c r="D57" i="36"/>
  <c r="D54" i="36"/>
  <c r="D51" i="36"/>
  <c r="F41" i="36"/>
  <c r="F35" i="36"/>
  <c r="D44" i="36"/>
  <c r="D41" i="36"/>
  <c r="D38" i="36"/>
  <c r="D35" i="36"/>
  <c r="F25" i="36"/>
  <c r="F19" i="36"/>
  <c r="D28" i="36"/>
  <c r="D25" i="36"/>
  <c r="D22" i="36"/>
  <c r="D19" i="36"/>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2"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3" i="21"/>
  <c r="C4" i="32"/>
  <c r="G4" i="32" s="1"/>
  <c r="E27" i="38"/>
  <c r="D27" i="38"/>
  <c r="E26" i="38"/>
  <c r="E28" i="38" s="1"/>
  <c r="D26" i="38"/>
  <c r="D28" i="38" s="1"/>
  <c r="G13" i="38"/>
  <c r="D15" i="39" l="1"/>
  <c r="F47" i="39"/>
  <c r="F31" i="39"/>
  <c r="F239" i="39"/>
  <c r="F223" i="39"/>
  <c r="D31" i="39"/>
  <c r="F67" i="39"/>
  <c r="F79" i="39" s="1"/>
  <c r="D95" i="39"/>
  <c r="F131" i="39"/>
  <c r="F143" i="39" s="1"/>
  <c r="D159" i="39"/>
  <c r="F195" i="39"/>
  <c r="F207" i="39" s="1"/>
  <c r="D223" i="39"/>
  <c r="D9" i="39"/>
  <c r="D6" i="39"/>
  <c r="F201" i="36"/>
  <c r="D4" i="32"/>
  <c r="H4" i="32" s="1"/>
  <c r="N3" i="21"/>
  <c r="N4" i="21"/>
  <c r="N5" i="21"/>
  <c r="N6" i="21"/>
  <c r="N7" i="21"/>
  <c r="N8" i="21"/>
  <c r="N9" i="21"/>
  <c r="N10" i="21"/>
  <c r="N11" i="21"/>
  <c r="N12" i="21"/>
  <c r="N13" i="21"/>
  <c r="N14" i="21"/>
  <c r="N15" i="21"/>
  <c r="N16" i="21"/>
  <c r="N17" i="2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2" i="21"/>
  <c r="O3" i="21"/>
  <c r="O4" i="21"/>
  <c r="O5" i="21"/>
  <c r="O6" i="21"/>
  <c r="O7" i="21"/>
  <c r="O8" i="21"/>
  <c r="O9" i="21"/>
  <c r="O10" i="21"/>
  <c r="O11" i="21"/>
  <c r="O12" i="21"/>
  <c r="O13" i="21"/>
  <c r="O14" i="21"/>
  <c r="O15" i="21"/>
  <c r="O16" i="21"/>
  <c r="O17" i="21"/>
  <c r="O18" i="21"/>
  <c r="O19" i="21"/>
  <c r="O20" i="21"/>
  <c r="O21" i="21"/>
  <c r="O22" i="21"/>
  <c r="O23" i="21"/>
  <c r="O24" i="21"/>
  <c r="O25" i="21"/>
  <c r="O26" i="21"/>
  <c r="O27" i="21"/>
  <c r="O28" i="21"/>
  <c r="O29" i="21"/>
  <c r="O30" i="21"/>
  <c r="O31" i="21"/>
  <c r="O32" i="21"/>
  <c r="O33" i="21"/>
  <c r="O34" i="21"/>
  <c r="O35" i="21"/>
  <c r="O36" i="21"/>
  <c r="O37" i="21"/>
  <c r="O38" i="21"/>
  <c r="O39" i="21"/>
  <c r="O40" i="21"/>
  <c r="O41" i="21"/>
  <c r="O42" i="21"/>
  <c r="O43" i="21"/>
  <c r="O44" i="21"/>
  <c r="O45" i="21"/>
  <c r="O46" i="21"/>
  <c r="O47" i="21"/>
  <c r="O48" i="21"/>
  <c r="O49" i="21"/>
  <c r="O50" i="21"/>
  <c r="O51" i="21"/>
  <c r="L2" i="21"/>
  <c r="X1" i="21"/>
  <c r="W1" i="21" s="1"/>
  <c r="V1" i="21" s="1"/>
  <c r="U1" i="21" s="1"/>
  <c r="T1" i="21" s="1"/>
  <c r="S1" i="21" s="1"/>
  <c r="R1" i="21" s="1"/>
  <c r="Q1" i="21" s="1"/>
  <c r="D7" i="30"/>
  <c r="F3" i="39" l="1"/>
  <c r="F15" i="39" s="1"/>
  <c r="E4" i="32"/>
  <c r="I44" i="21"/>
  <c r="J255" i="36"/>
  <c r="F255" i="36"/>
  <c r="D255" i="36"/>
  <c r="B255" i="36"/>
  <c r="J239" i="36"/>
  <c r="F239" i="36"/>
  <c r="D239" i="36"/>
  <c r="B239" i="36"/>
  <c r="J223" i="36"/>
  <c r="F223" i="36"/>
  <c r="D223" i="36"/>
  <c r="B223" i="36"/>
  <c r="J207" i="36"/>
  <c r="F207" i="36"/>
  <c r="D207" i="36"/>
  <c r="B207" i="36"/>
  <c r="J191" i="36"/>
  <c r="F191" i="36"/>
  <c r="D191" i="36"/>
  <c r="B191" i="36"/>
  <c r="J175" i="36"/>
  <c r="F175" i="36"/>
  <c r="D175" i="36"/>
  <c r="B175" i="36"/>
  <c r="J159" i="36"/>
  <c r="F159" i="36"/>
  <c r="D159" i="36"/>
  <c r="B159" i="36"/>
  <c r="J143" i="36"/>
  <c r="F143" i="36"/>
  <c r="D143" i="36"/>
  <c r="B143" i="36"/>
  <c r="J127" i="36"/>
  <c r="F127" i="36"/>
  <c r="D127" i="36"/>
  <c r="B127" i="36"/>
  <c r="J111" i="36"/>
  <c r="F111" i="36"/>
  <c r="D111" i="36"/>
  <c r="B111" i="36"/>
  <c r="J95" i="36"/>
  <c r="F95" i="36"/>
  <c r="D95" i="36"/>
  <c r="B95" i="36"/>
  <c r="J79" i="36"/>
  <c r="F79" i="36"/>
  <c r="D79" i="36"/>
  <c r="B79" i="36"/>
  <c r="J63" i="36"/>
  <c r="F63" i="36"/>
  <c r="D63" i="36"/>
  <c r="B63" i="36"/>
  <c r="J47" i="36"/>
  <c r="F47" i="36"/>
  <c r="D47" i="36"/>
  <c r="B47" i="36"/>
  <c r="J31" i="36"/>
  <c r="F31" i="36"/>
  <c r="D31" i="36"/>
  <c r="B31" i="36"/>
  <c r="J14" i="36"/>
  <c r="B14" i="36"/>
  <c r="J13" i="36"/>
  <c r="B13" i="36"/>
  <c r="J12" i="36"/>
  <c r="D12" i="36"/>
  <c r="B12" i="36"/>
  <c r="J11" i="36"/>
  <c r="B11" i="36"/>
  <c r="J10" i="36"/>
  <c r="B10" i="36"/>
  <c r="J9" i="36"/>
  <c r="F9" i="36"/>
  <c r="D9" i="36"/>
  <c r="B9" i="36"/>
  <c r="J8" i="36"/>
  <c r="B8" i="36"/>
  <c r="J7" i="36"/>
  <c r="B7" i="36"/>
  <c r="J6" i="36"/>
  <c r="D6" i="36"/>
  <c r="B6" i="36"/>
  <c r="J5" i="36"/>
  <c r="B5" i="36"/>
  <c r="O4" i="36"/>
  <c r="J4" i="36"/>
  <c r="B4" i="36"/>
  <c r="O3" i="36"/>
  <c r="J3" i="36"/>
  <c r="J15" i="36" s="1"/>
  <c r="M10" i="36" s="1"/>
  <c r="F3" i="36"/>
  <c r="D3" i="36"/>
  <c r="B3" i="36"/>
  <c r="B15" i="36" l="1"/>
  <c r="M9" i="36" s="1"/>
  <c r="F15" i="36"/>
  <c r="D15" i="36"/>
  <c r="F4" i="32"/>
  <c r="J4" i="32" s="1"/>
  <c r="I4" i="32"/>
  <c r="BC30" i="35"/>
  <c r="BB30" i="35"/>
  <c r="BA30" i="35"/>
  <c r="AZ30" i="35"/>
  <c r="AY30" i="35"/>
  <c r="AX30" i="35"/>
  <c r="AW30" i="35"/>
  <c r="AV30" i="35"/>
  <c r="AU30" i="35"/>
  <c r="AT30" i="35"/>
  <c r="AS30" i="35"/>
  <c r="AR30" i="35"/>
  <c r="AQ30" i="35"/>
  <c r="AP30" i="35"/>
  <c r="AO30" i="35"/>
  <c r="AN30" i="35"/>
  <c r="AM30" i="35"/>
  <c r="AL30" i="35"/>
  <c r="AK30" i="35"/>
  <c r="AJ30" i="35"/>
  <c r="AI30" i="35"/>
  <c r="AH30" i="35"/>
  <c r="AG30" i="35"/>
  <c r="AF30" i="35"/>
  <c r="AE30" i="35"/>
  <c r="AD30" i="35"/>
  <c r="AC30" i="35"/>
  <c r="AB30" i="35"/>
  <c r="AA30" i="35"/>
  <c r="Z30" i="35"/>
  <c r="Y30" i="35"/>
  <c r="X30" i="35"/>
  <c r="W30" i="35"/>
  <c r="V30" i="35"/>
  <c r="U30" i="35"/>
  <c r="T30" i="35"/>
  <c r="S30" i="35"/>
  <c r="N30" i="35"/>
  <c r="L30" i="35"/>
  <c r="I30" i="35"/>
  <c r="G30" i="35"/>
  <c r="F30" i="35"/>
  <c r="E30" i="35"/>
  <c r="D30" i="35"/>
  <c r="R29" i="35"/>
  <c r="Q29" i="35"/>
  <c r="O29" i="35"/>
  <c r="K29" i="35"/>
  <c r="M29" i="35" s="1"/>
  <c r="R28" i="35"/>
  <c r="Q28" i="35"/>
  <c r="O28" i="35"/>
  <c r="K28" i="35"/>
  <c r="M28" i="35" s="1"/>
  <c r="R27" i="35"/>
  <c r="Q27" i="35"/>
  <c r="O27" i="35"/>
  <c r="K27" i="35"/>
  <c r="M27" i="35" s="1"/>
  <c r="R26" i="35"/>
  <c r="R30" i="35" s="1"/>
  <c r="Q26" i="35"/>
  <c r="Q30" i="35" s="1"/>
  <c r="O26" i="35"/>
  <c r="O30" i="35" s="1"/>
  <c r="K26" i="35"/>
  <c r="M26" i="35" s="1"/>
  <c r="Y24" i="35"/>
  <c r="AB24" i="35" s="1"/>
  <c r="AE24" i="35" s="1"/>
  <c r="AH24" i="35" s="1"/>
  <c r="AK24" i="35" s="1"/>
  <c r="AN24" i="35" s="1"/>
  <c r="AQ24" i="35" s="1"/>
  <c r="AT24" i="35" s="1"/>
  <c r="AW24" i="35" s="1"/>
  <c r="AZ24" i="35" s="1"/>
  <c r="V24" i="35"/>
  <c r="W13" i="35"/>
  <c r="S13" i="35"/>
  <c r="O13" i="35"/>
  <c r="K13" i="35"/>
  <c r="H13" i="35"/>
  <c r="G13" i="35"/>
  <c r="F13" i="35"/>
  <c r="E13" i="35"/>
  <c r="M30" i="35" l="1"/>
  <c r="I51" i="21" l="1"/>
  <c r="I50" i="21"/>
  <c r="I49" i="21"/>
  <c r="I48" i="21"/>
  <c r="I47" i="21"/>
  <c r="I46" i="21"/>
  <c r="I45" i="21"/>
  <c r="I43" i="21"/>
  <c r="I42" i="21"/>
  <c r="I41" i="21"/>
  <c r="I40" i="21"/>
  <c r="I39"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G3" i="19" l="1"/>
  <c r="D71" i="34" l="1"/>
  <c r="E71" i="34"/>
  <c r="D72" i="34"/>
  <c r="E72" i="34"/>
  <c r="J72" i="34" s="1"/>
  <c r="D73" i="34"/>
  <c r="E73" i="34"/>
  <c r="D74" i="34"/>
  <c r="E74" i="34"/>
  <c r="I74" i="34" s="1"/>
  <c r="D75" i="34"/>
  <c r="E75" i="34"/>
  <c r="D76" i="34"/>
  <c r="E76" i="34"/>
  <c r="J76" i="34" s="1"/>
  <c r="D77" i="34"/>
  <c r="E77" i="34"/>
  <c r="D78" i="34"/>
  <c r="E78" i="34"/>
  <c r="D135" i="34" s="1"/>
  <c r="D79" i="34"/>
  <c r="E79" i="34"/>
  <c r="D80" i="34"/>
  <c r="E80" i="34"/>
  <c r="J80" i="34" s="1"/>
  <c r="D81" i="34"/>
  <c r="E81" i="34"/>
  <c r="D82" i="34"/>
  <c r="D83" i="34"/>
  <c r="C134" i="34" s="1"/>
  <c r="E83" i="34"/>
  <c r="E134" i="34" s="1"/>
  <c r="D84" i="34"/>
  <c r="E84" i="34"/>
  <c r="D85" i="34"/>
  <c r="C133" i="34" s="1"/>
  <c r="E85" i="34"/>
  <c r="E133" i="34" s="1"/>
  <c r="D86" i="34"/>
  <c r="E86" i="34"/>
  <c r="J86" i="34" s="1"/>
  <c r="D87" i="34"/>
  <c r="E87" i="34"/>
  <c r="D88" i="34"/>
  <c r="E88" i="34"/>
  <c r="J88" i="34" s="1"/>
  <c r="D89" i="34"/>
  <c r="H89" i="34" s="1"/>
  <c r="E89" i="34"/>
  <c r="J89" i="34" s="1"/>
  <c r="D90" i="34"/>
  <c r="E90" i="34"/>
  <c r="J90" i="34" s="1"/>
  <c r="D91" i="34"/>
  <c r="H91" i="34" s="1"/>
  <c r="E91" i="34"/>
  <c r="J91" i="34" s="1"/>
  <c r="D92" i="34"/>
  <c r="E70" i="34"/>
  <c r="D70" i="34"/>
  <c r="D41" i="34"/>
  <c r="E41" i="34"/>
  <c r="D42" i="34"/>
  <c r="E42" i="34"/>
  <c r="D43" i="34"/>
  <c r="E43" i="34"/>
  <c r="D44" i="34"/>
  <c r="E44" i="34"/>
  <c r="D45" i="34"/>
  <c r="E45" i="34"/>
  <c r="D46" i="34"/>
  <c r="E46" i="34"/>
  <c r="D47" i="34"/>
  <c r="E47" i="34"/>
  <c r="D48" i="34"/>
  <c r="E48" i="34"/>
  <c r="J48" i="34" s="1"/>
  <c r="D49" i="34"/>
  <c r="E49" i="34"/>
  <c r="D50" i="34"/>
  <c r="E50" i="34"/>
  <c r="J50" i="34" s="1"/>
  <c r="D51" i="34"/>
  <c r="E51" i="34"/>
  <c r="D52" i="34"/>
  <c r="E52" i="34"/>
  <c r="J52" i="34" s="1"/>
  <c r="D53" i="34"/>
  <c r="E53" i="34"/>
  <c r="D54" i="34"/>
  <c r="E54" i="34"/>
  <c r="J54" i="34" s="1"/>
  <c r="D55" i="34"/>
  <c r="E55" i="34"/>
  <c r="D56" i="34"/>
  <c r="E56" i="34"/>
  <c r="J56" i="34" s="1"/>
  <c r="D57" i="34"/>
  <c r="E57" i="34"/>
  <c r="D58" i="34"/>
  <c r="E58" i="34"/>
  <c r="J58" i="34" s="1"/>
  <c r="D59" i="34"/>
  <c r="E59" i="34"/>
  <c r="D60" i="34"/>
  <c r="E60" i="34"/>
  <c r="J60" i="34" s="1"/>
  <c r="D61" i="34"/>
  <c r="E61" i="34"/>
  <c r="D62" i="34"/>
  <c r="E62" i="34"/>
  <c r="J62" i="34" s="1"/>
  <c r="D63" i="34"/>
  <c r="E63" i="34"/>
  <c r="D64" i="34"/>
  <c r="E64" i="34"/>
  <c r="J64" i="34" s="1"/>
  <c r="D65" i="34"/>
  <c r="E65" i="34"/>
  <c r="D67" i="34"/>
  <c r="E40" i="34"/>
  <c r="J40" i="34" s="1"/>
  <c r="D40" i="34"/>
  <c r="H40" i="34" s="1"/>
  <c r="E7" i="34"/>
  <c r="D9" i="34"/>
  <c r="E9" i="34"/>
  <c r="J9" i="34" s="1"/>
  <c r="D11" i="34"/>
  <c r="E11" i="34"/>
  <c r="D12" i="34"/>
  <c r="E12" i="34"/>
  <c r="J12" i="34" s="1"/>
  <c r="D13" i="34"/>
  <c r="E13" i="34"/>
  <c r="D14" i="34"/>
  <c r="E14" i="34"/>
  <c r="J14" i="34" s="1"/>
  <c r="D16" i="34"/>
  <c r="E16" i="34"/>
  <c r="D17" i="34"/>
  <c r="E17" i="34"/>
  <c r="D18" i="34"/>
  <c r="E18" i="34"/>
  <c r="J18" i="34" s="1"/>
  <c r="D19" i="34"/>
  <c r="E19" i="34"/>
  <c r="E125" i="34" s="1"/>
  <c r="D20" i="34"/>
  <c r="E20" i="34"/>
  <c r="D21" i="34"/>
  <c r="E21" i="34"/>
  <c r="D22" i="34"/>
  <c r="E22" i="34"/>
  <c r="D23" i="34"/>
  <c r="E23" i="34"/>
  <c r="I23" i="34" s="1"/>
  <c r="D24" i="34"/>
  <c r="E24" i="34"/>
  <c r="D25" i="34"/>
  <c r="E25" i="34"/>
  <c r="E131" i="34" s="1"/>
  <c r="D26" i="34"/>
  <c r="E26" i="34"/>
  <c r="J26" i="34" s="1"/>
  <c r="D27" i="34"/>
  <c r="E27" i="34"/>
  <c r="D28" i="34"/>
  <c r="D139" i="34" s="1"/>
  <c r="E28" i="34"/>
  <c r="E139" i="34" s="1"/>
  <c r="D29" i="34"/>
  <c r="E29" i="34"/>
  <c r="D30" i="34"/>
  <c r="E30" i="34"/>
  <c r="D31" i="34"/>
  <c r="E31" i="34"/>
  <c r="I31" i="34" s="1"/>
  <c r="D32" i="34"/>
  <c r="D126" i="34" s="1"/>
  <c r="E32" i="34"/>
  <c r="E126" i="34" s="1"/>
  <c r="D33" i="34"/>
  <c r="E33" i="34"/>
  <c r="J33" i="34" s="1"/>
  <c r="D34" i="34"/>
  <c r="E34" i="34"/>
  <c r="J34" i="34" s="1"/>
  <c r="D35" i="34"/>
  <c r="E35" i="34"/>
  <c r="F139" i="34"/>
  <c r="C139" i="34"/>
  <c r="B139" i="34"/>
  <c r="G139" i="34" s="1"/>
  <c r="B134" i="34"/>
  <c r="B133" i="34"/>
  <c r="F131" i="34"/>
  <c r="D131" i="34"/>
  <c r="F129" i="34"/>
  <c r="D129" i="34"/>
  <c r="F128" i="34"/>
  <c r="C128" i="34"/>
  <c r="B128" i="34"/>
  <c r="F127" i="34"/>
  <c r="D127" i="34"/>
  <c r="C127" i="34"/>
  <c r="B127" i="34"/>
  <c r="G127" i="34" s="1"/>
  <c r="F126" i="34"/>
  <c r="C126" i="34"/>
  <c r="B126" i="34"/>
  <c r="G126" i="34" s="1"/>
  <c r="F125" i="34"/>
  <c r="D125" i="34"/>
  <c r="C125" i="34"/>
  <c r="B125" i="34"/>
  <c r="F124" i="34"/>
  <c r="D124" i="34"/>
  <c r="C124" i="34"/>
  <c r="B124" i="34"/>
  <c r="F121" i="34"/>
  <c r="E121" i="34"/>
  <c r="D121" i="34"/>
  <c r="C121" i="34"/>
  <c r="B121" i="34"/>
  <c r="F120" i="34"/>
  <c r="E120" i="34"/>
  <c r="D120" i="34"/>
  <c r="C120" i="34"/>
  <c r="B120" i="34"/>
  <c r="F105" i="34"/>
  <c r="E105" i="34"/>
  <c r="C105" i="34"/>
  <c r="B105" i="34"/>
  <c r="F104" i="34"/>
  <c r="E104" i="34"/>
  <c r="C104" i="34"/>
  <c r="B104" i="34"/>
  <c r="F102" i="34"/>
  <c r="D102" i="34"/>
  <c r="F96" i="34"/>
  <c r="E96" i="34"/>
  <c r="D96" i="34"/>
  <c r="C96" i="34"/>
  <c r="B96" i="34"/>
  <c r="F95" i="34"/>
  <c r="E95" i="34"/>
  <c r="D95" i="34"/>
  <c r="C95" i="34"/>
  <c r="B95" i="34"/>
  <c r="I91" i="34"/>
  <c r="G91" i="34"/>
  <c r="H90" i="34"/>
  <c r="G90" i="34"/>
  <c r="G89" i="34"/>
  <c r="C135" i="34"/>
  <c r="F87" i="34"/>
  <c r="J87" i="34" s="1"/>
  <c r="H86" i="34"/>
  <c r="G86" i="34"/>
  <c r="I85" i="34"/>
  <c r="G85" i="34"/>
  <c r="F84" i="34"/>
  <c r="H84" i="34"/>
  <c r="J83" i="34"/>
  <c r="G83" i="34"/>
  <c r="F82" i="34"/>
  <c r="J81" i="34"/>
  <c r="I81" i="34"/>
  <c r="H81" i="34"/>
  <c r="G81" i="34"/>
  <c r="H80" i="34"/>
  <c r="G80" i="34"/>
  <c r="J79" i="34"/>
  <c r="I79" i="34"/>
  <c r="H79" i="34"/>
  <c r="G79" i="34"/>
  <c r="H78" i="34"/>
  <c r="G78" i="34"/>
  <c r="J77" i="34"/>
  <c r="I77" i="34"/>
  <c r="H77" i="34"/>
  <c r="G77" i="34"/>
  <c r="F76" i="34"/>
  <c r="H76" i="34"/>
  <c r="G76" i="34"/>
  <c r="J75" i="34"/>
  <c r="I75" i="34"/>
  <c r="H75" i="34"/>
  <c r="G75" i="34"/>
  <c r="H74" i="34"/>
  <c r="G74" i="34"/>
  <c r="J73" i="34"/>
  <c r="I73" i="34"/>
  <c r="H73" i="34"/>
  <c r="G73" i="34"/>
  <c r="F72" i="34"/>
  <c r="J71" i="34"/>
  <c r="I71" i="34"/>
  <c r="H71" i="34"/>
  <c r="G71" i="34"/>
  <c r="J70" i="34"/>
  <c r="H70" i="34"/>
  <c r="G70" i="34"/>
  <c r="F69" i="34"/>
  <c r="E69" i="34"/>
  <c r="D69" i="34"/>
  <c r="C69" i="34"/>
  <c r="B69" i="34"/>
  <c r="F68" i="34"/>
  <c r="E68" i="34"/>
  <c r="D68" i="34"/>
  <c r="C68" i="34"/>
  <c r="B68" i="34"/>
  <c r="F65" i="34"/>
  <c r="E136" i="34" s="1"/>
  <c r="G64" i="34"/>
  <c r="J63" i="34"/>
  <c r="I63" i="34"/>
  <c r="H63" i="34"/>
  <c r="G63" i="34"/>
  <c r="G62" i="34"/>
  <c r="J61" i="34"/>
  <c r="I61" i="34"/>
  <c r="H61" i="34"/>
  <c r="G61" i="34"/>
  <c r="G60" i="34"/>
  <c r="J59" i="34"/>
  <c r="I59" i="34"/>
  <c r="H59" i="34"/>
  <c r="G59" i="34"/>
  <c r="G58" i="34"/>
  <c r="J57" i="34"/>
  <c r="I57" i="34"/>
  <c r="H57" i="34"/>
  <c r="G57" i="34"/>
  <c r="G56" i="34"/>
  <c r="F54" i="34"/>
  <c r="J53" i="34"/>
  <c r="I53" i="34"/>
  <c r="H53" i="34"/>
  <c r="G53" i="34"/>
  <c r="G52" i="34"/>
  <c r="J51" i="34"/>
  <c r="I51" i="34"/>
  <c r="H51" i="34"/>
  <c r="G51" i="34"/>
  <c r="G50" i="34"/>
  <c r="J49" i="34"/>
  <c r="I49" i="34"/>
  <c r="H49" i="34"/>
  <c r="G49" i="34"/>
  <c r="G48" i="34"/>
  <c r="J45" i="34"/>
  <c r="I45" i="34"/>
  <c r="H45" i="34"/>
  <c r="G45" i="34"/>
  <c r="J44" i="34"/>
  <c r="G44" i="34"/>
  <c r="J43" i="34"/>
  <c r="I43" i="34"/>
  <c r="H43" i="34"/>
  <c r="G43" i="34"/>
  <c r="F42" i="34"/>
  <c r="F46" i="34" s="1"/>
  <c r="J41" i="34"/>
  <c r="I41" i="34"/>
  <c r="H41" i="34"/>
  <c r="G41" i="34"/>
  <c r="I40" i="34"/>
  <c r="G40" i="34"/>
  <c r="F38" i="34"/>
  <c r="E38" i="34"/>
  <c r="D38" i="34"/>
  <c r="C38" i="34"/>
  <c r="B38" i="34"/>
  <c r="F37" i="34"/>
  <c r="E37" i="34"/>
  <c r="D37" i="34"/>
  <c r="C37" i="34"/>
  <c r="B37" i="34"/>
  <c r="H34" i="34"/>
  <c r="G34" i="34"/>
  <c r="H33" i="34"/>
  <c r="G33" i="34"/>
  <c r="I32" i="34"/>
  <c r="H32" i="34"/>
  <c r="G32" i="34"/>
  <c r="J31" i="34"/>
  <c r="H31" i="34"/>
  <c r="G31" i="34"/>
  <c r="H28" i="34"/>
  <c r="G28" i="34"/>
  <c r="H26" i="34"/>
  <c r="G26" i="34"/>
  <c r="J25" i="34"/>
  <c r="C131" i="34"/>
  <c r="B131" i="34"/>
  <c r="G131" i="34" s="1"/>
  <c r="J23" i="34"/>
  <c r="H23" i="34"/>
  <c r="C129" i="34"/>
  <c r="B129" i="34"/>
  <c r="F20" i="34"/>
  <c r="H19" i="34"/>
  <c r="G19" i="34"/>
  <c r="H20" i="34"/>
  <c r="G20" i="34"/>
  <c r="F15" i="34"/>
  <c r="F106" i="34" s="1"/>
  <c r="D106" i="34"/>
  <c r="H14" i="34"/>
  <c r="G14" i="34"/>
  <c r="J13" i="34"/>
  <c r="I13" i="34"/>
  <c r="H13" i="34"/>
  <c r="G13" i="34"/>
  <c r="C102" i="34"/>
  <c r="B102" i="34"/>
  <c r="H9" i="34"/>
  <c r="G9" i="34"/>
  <c r="F8" i="34"/>
  <c r="B116" i="34"/>
  <c r="J7" i="34"/>
  <c r="I7" i="34"/>
  <c r="H7" i="34"/>
  <c r="G7" i="34"/>
  <c r="J6" i="34"/>
  <c r="G6" i="34"/>
  <c r="I9" i="34" l="1"/>
  <c r="I19" i="34"/>
  <c r="H129" i="34"/>
  <c r="E129" i="34"/>
  <c r="J129" i="34" s="1"/>
  <c r="I70" i="34"/>
  <c r="J84" i="34"/>
  <c r="F108" i="34"/>
  <c r="J19" i="34"/>
  <c r="I33" i="34"/>
  <c r="F92" i="34"/>
  <c r="H83" i="34"/>
  <c r="F134" i="34" s="1"/>
  <c r="D128" i="34"/>
  <c r="J20" i="34"/>
  <c r="I25" i="34"/>
  <c r="H85" i="34"/>
  <c r="I89" i="34"/>
  <c r="J105" i="34"/>
  <c r="D134" i="34"/>
  <c r="J74" i="34"/>
  <c r="G105" i="34"/>
  <c r="E135" i="34"/>
  <c r="I135" i="34" s="1"/>
  <c r="I80" i="34"/>
  <c r="D133" i="34"/>
  <c r="H133" i="34" s="1"/>
  <c r="I87" i="34"/>
  <c r="I78" i="34"/>
  <c r="H134" i="34"/>
  <c r="G133" i="34"/>
  <c r="I76" i="34"/>
  <c r="J78" i="34"/>
  <c r="I83" i="34"/>
  <c r="I84" i="34"/>
  <c r="F133" i="34"/>
  <c r="F137" i="34" s="1"/>
  <c r="H135" i="34"/>
  <c r="I86" i="34"/>
  <c r="I88" i="34"/>
  <c r="I90" i="34"/>
  <c r="I134" i="34"/>
  <c r="J85" i="34"/>
  <c r="D101" i="34"/>
  <c r="C101" i="34"/>
  <c r="I64" i="34"/>
  <c r="I62" i="34"/>
  <c r="I60" i="34"/>
  <c r="I58" i="34"/>
  <c r="I56" i="34"/>
  <c r="I52" i="34"/>
  <c r="I50" i="34"/>
  <c r="I48" i="34"/>
  <c r="I44" i="34"/>
  <c r="G102" i="34"/>
  <c r="H44" i="34"/>
  <c r="H48" i="34"/>
  <c r="H50" i="34"/>
  <c r="H52" i="34"/>
  <c r="H56" i="34"/>
  <c r="H58" i="34"/>
  <c r="H60" i="34"/>
  <c r="H64" i="34"/>
  <c r="I46" i="34"/>
  <c r="I42" i="34"/>
  <c r="H125" i="34"/>
  <c r="H102" i="34"/>
  <c r="E106" i="34"/>
  <c r="J106" i="34" s="1"/>
  <c r="I18" i="34"/>
  <c r="H131" i="34"/>
  <c r="I28" i="34"/>
  <c r="E102" i="34"/>
  <c r="J102" i="34" s="1"/>
  <c r="D104" i="34"/>
  <c r="H104" i="34" s="1"/>
  <c r="H127" i="34"/>
  <c r="G128" i="34"/>
  <c r="H139" i="34"/>
  <c r="I26" i="34"/>
  <c r="I34" i="34"/>
  <c r="D105" i="34"/>
  <c r="H105" i="34" s="1"/>
  <c r="H6" i="34"/>
  <c r="G129" i="34"/>
  <c r="G104" i="34"/>
  <c r="J104" i="34"/>
  <c r="G124" i="34"/>
  <c r="E127" i="34"/>
  <c r="J127" i="34" s="1"/>
  <c r="J131" i="34"/>
  <c r="I12" i="34"/>
  <c r="I14" i="34"/>
  <c r="J28" i="34"/>
  <c r="J32" i="34"/>
  <c r="E124" i="34"/>
  <c r="J124" i="34" s="1"/>
  <c r="I125" i="34"/>
  <c r="H126" i="34"/>
  <c r="E128" i="34"/>
  <c r="J128" i="34" s="1"/>
  <c r="I139" i="34"/>
  <c r="E116" i="34"/>
  <c r="J126" i="34"/>
  <c r="I128" i="34"/>
  <c r="I126" i="34"/>
  <c r="I131" i="34"/>
  <c r="I20" i="34"/>
  <c r="J125" i="34"/>
  <c r="I129" i="34"/>
  <c r="J139" i="34"/>
  <c r="C116" i="34"/>
  <c r="G116" i="34" s="1"/>
  <c r="I6" i="34"/>
  <c r="G65" i="34"/>
  <c r="J46" i="34"/>
  <c r="I15" i="34"/>
  <c r="G8" i="34"/>
  <c r="I10" i="34"/>
  <c r="G12" i="34"/>
  <c r="J15" i="34"/>
  <c r="G18" i="34"/>
  <c r="G25" i="34"/>
  <c r="H42" i="34"/>
  <c r="H46" i="34"/>
  <c r="B109" i="34"/>
  <c r="B110" i="34"/>
  <c r="F109" i="34"/>
  <c r="F110" i="34"/>
  <c r="H62" i="34"/>
  <c r="F66" i="34"/>
  <c r="F97" i="34" s="1"/>
  <c r="G72" i="34"/>
  <c r="D107" i="34"/>
  <c r="D103" i="34"/>
  <c r="I82" i="34"/>
  <c r="D108" i="34"/>
  <c r="E137" i="34"/>
  <c r="J137" i="34" s="1"/>
  <c r="J134" i="34"/>
  <c r="I8" i="34"/>
  <c r="J8" i="34"/>
  <c r="H10" i="34"/>
  <c r="D116" i="34"/>
  <c r="H8" i="34"/>
  <c r="F116" i="34" s="1"/>
  <c r="F10" i="34"/>
  <c r="H12" i="34"/>
  <c r="H18" i="34"/>
  <c r="G23" i="34"/>
  <c r="H25" i="34"/>
  <c r="G54" i="34"/>
  <c r="D136" i="34"/>
  <c r="I136" i="34" s="1"/>
  <c r="H72" i="34"/>
  <c r="E108" i="34"/>
  <c r="J108" i="34" s="1"/>
  <c r="J42" i="34"/>
  <c r="D110" i="34"/>
  <c r="D109" i="34"/>
  <c r="H54" i="34"/>
  <c r="I65" i="34"/>
  <c r="I92" i="34"/>
  <c r="G42" i="34"/>
  <c r="E110" i="34"/>
  <c r="E109" i="34"/>
  <c r="J109" i="34" s="1"/>
  <c r="I54" i="34"/>
  <c r="B136" i="34"/>
  <c r="J65" i="34"/>
  <c r="J92" i="34"/>
  <c r="J82" i="34"/>
  <c r="H88" i="34"/>
  <c r="F135" i="34" s="1"/>
  <c r="E103" i="34"/>
  <c r="J103" i="34" s="1"/>
  <c r="E107" i="34"/>
  <c r="J107" i="34" s="1"/>
  <c r="I72" i="34"/>
  <c r="F103" i="34"/>
  <c r="F107" i="34"/>
  <c r="G84" i="34"/>
  <c r="H124" i="34"/>
  <c r="G125" i="34"/>
  <c r="H128" i="34"/>
  <c r="G134" i="34"/>
  <c r="B135" i="34"/>
  <c r="G135" i="34" s="1"/>
  <c r="G88" i="34"/>
  <c r="I133" i="34" l="1"/>
  <c r="J135" i="34"/>
  <c r="J133" i="34"/>
  <c r="H101" i="34"/>
  <c r="I102" i="34"/>
  <c r="D137" i="34"/>
  <c r="I137" i="34" s="1"/>
  <c r="I108" i="34"/>
  <c r="I106" i="34"/>
  <c r="I124" i="34"/>
  <c r="I105" i="34"/>
  <c r="I104" i="34"/>
  <c r="I127" i="34"/>
  <c r="J116" i="34"/>
  <c r="I116" i="34"/>
  <c r="B93" i="34"/>
  <c r="H87" i="34"/>
  <c r="G82" i="34"/>
  <c r="G87" i="34"/>
  <c r="I109" i="34"/>
  <c r="F67" i="34"/>
  <c r="F93" i="34" s="1"/>
  <c r="B137" i="34"/>
  <c r="I110" i="34"/>
  <c r="C109" i="34"/>
  <c r="H109" i="34" s="1"/>
  <c r="B101" i="34"/>
  <c r="G101" i="34" s="1"/>
  <c r="G10" i="34"/>
  <c r="I103" i="34"/>
  <c r="C136" i="34"/>
  <c r="G136" i="34" s="1"/>
  <c r="H65" i="34"/>
  <c r="F136" i="34" s="1"/>
  <c r="J136" i="34" s="1"/>
  <c r="H116" i="34"/>
  <c r="B108" i="34"/>
  <c r="B107" i="34"/>
  <c r="B103" i="34"/>
  <c r="C113" i="34"/>
  <c r="H16" i="34"/>
  <c r="J110" i="34"/>
  <c r="B97" i="34"/>
  <c r="G66" i="34"/>
  <c r="E97" i="34"/>
  <c r="J97" i="34" s="1"/>
  <c r="J66" i="34"/>
  <c r="D113" i="34"/>
  <c r="C97" i="34"/>
  <c r="H66" i="34"/>
  <c r="C110" i="34"/>
  <c r="H110" i="34" s="1"/>
  <c r="C106" i="34"/>
  <c r="H106" i="34" s="1"/>
  <c r="H15" i="34"/>
  <c r="I107" i="34"/>
  <c r="G109" i="34"/>
  <c r="D111" i="34"/>
  <c r="D99" i="34"/>
  <c r="D112" i="34"/>
  <c r="D100" i="34"/>
  <c r="E101" i="34"/>
  <c r="J10" i="34"/>
  <c r="G46" i="34"/>
  <c r="C112" i="34"/>
  <c r="C100" i="34"/>
  <c r="C111" i="34"/>
  <c r="C99" i="34"/>
  <c r="H21" i="34"/>
  <c r="D97" i="34"/>
  <c r="I66" i="34"/>
  <c r="F101" i="34"/>
  <c r="F21" i="34"/>
  <c r="F16" i="34"/>
  <c r="F113" i="34" s="1"/>
  <c r="B106" i="34"/>
  <c r="G106" i="34" s="1"/>
  <c r="G15" i="34"/>
  <c r="G97" i="34" l="1"/>
  <c r="I97" i="34"/>
  <c r="H67" i="34"/>
  <c r="H99" i="34"/>
  <c r="H111" i="34"/>
  <c r="J67" i="34"/>
  <c r="E93" i="34"/>
  <c r="H113" i="34"/>
  <c r="H100" i="34"/>
  <c r="E112" i="34"/>
  <c r="E100" i="34"/>
  <c r="I100" i="34" s="1"/>
  <c r="E111" i="34"/>
  <c r="I111" i="34" s="1"/>
  <c r="E99" i="34"/>
  <c r="I99" i="34" s="1"/>
  <c r="J21" i="34"/>
  <c r="I21" i="34"/>
  <c r="E113" i="34"/>
  <c r="J113" i="34" s="1"/>
  <c r="J16" i="34"/>
  <c r="H22" i="34"/>
  <c r="H112" i="34"/>
  <c r="H97" i="34"/>
  <c r="G110" i="34"/>
  <c r="B113" i="34"/>
  <c r="G113" i="34" s="1"/>
  <c r="G16" i="34"/>
  <c r="I67" i="34"/>
  <c r="D93" i="34"/>
  <c r="J101" i="34"/>
  <c r="I101" i="34"/>
  <c r="I16" i="34"/>
  <c r="B112" i="34"/>
  <c r="G112" i="34" s="1"/>
  <c r="B100" i="34"/>
  <c r="G100" i="34" s="1"/>
  <c r="B111" i="34"/>
  <c r="G111" i="34" s="1"/>
  <c r="B99" i="34"/>
  <c r="G99" i="34" s="1"/>
  <c r="G21" i="34"/>
  <c r="F112" i="34"/>
  <c r="F100" i="34"/>
  <c r="F111" i="34"/>
  <c r="F99" i="34"/>
  <c r="F22" i="34"/>
  <c r="F24" i="34" s="1"/>
  <c r="F27" i="34" s="1"/>
  <c r="I113" i="34"/>
  <c r="H136" i="34"/>
  <c r="C137" i="34"/>
  <c r="H137" i="34" s="1"/>
  <c r="C108" i="34"/>
  <c r="H108" i="34" s="1"/>
  <c r="C107" i="34"/>
  <c r="H107" i="34" s="1"/>
  <c r="C103" i="34"/>
  <c r="H103" i="34" s="1"/>
  <c r="H82" i="34"/>
  <c r="G67" i="34"/>
  <c r="J112" i="34" l="1"/>
  <c r="G107" i="34"/>
  <c r="G137" i="34"/>
  <c r="F98" i="34"/>
  <c r="F29" i="34"/>
  <c r="G103" i="34"/>
  <c r="G108" i="34"/>
  <c r="J111" i="34"/>
  <c r="I24" i="34"/>
  <c r="J22" i="34"/>
  <c r="G22" i="34"/>
  <c r="J100" i="34"/>
  <c r="C93" i="34"/>
  <c r="H92" i="34"/>
  <c r="G92" i="34"/>
  <c r="H24" i="34"/>
  <c r="I22" i="34"/>
  <c r="J99" i="34"/>
  <c r="I112" i="34"/>
  <c r="E37" i="16"/>
  <c r="E36" i="16"/>
  <c r="E35" i="16"/>
  <c r="C31" i="16"/>
  <c r="C30" i="16"/>
  <c r="E28" i="16"/>
  <c r="E27" i="16"/>
  <c r="E26" i="16"/>
  <c r="C22" i="16"/>
  <c r="C21" i="16"/>
  <c r="E19" i="16"/>
  <c r="E18" i="16"/>
  <c r="E17" i="16"/>
  <c r="C14" i="16"/>
  <c r="C23" i="16" s="1"/>
  <c r="C32" i="16" s="1"/>
  <c r="C13" i="16"/>
  <c r="C12" i="16"/>
  <c r="C10" i="16"/>
  <c r="C9" i="16"/>
  <c r="A1" i="34" s="1"/>
  <c r="C98" i="34" l="1"/>
  <c r="H27" i="34"/>
  <c r="J24" i="34"/>
  <c r="I27" i="34"/>
  <c r="D98" i="34"/>
  <c r="G24" i="34"/>
  <c r="F122" i="34"/>
  <c r="F132" i="34" s="1"/>
  <c r="F138" i="34" s="1"/>
  <c r="F140" i="34" s="1"/>
  <c r="F118" i="34"/>
  <c r="F114" i="34"/>
  <c r="F30" i="34"/>
  <c r="G38" i="32"/>
  <c r="J69" i="32"/>
  <c r="I69" i="32"/>
  <c r="H69" i="32"/>
  <c r="G69" i="32"/>
  <c r="J38" i="32"/>
  <c r="I38" i="32"/>
  <c r="H38" i="32"/>
  <c r="B42" i="32"/>
  <c r="C42" i="32"/>
  <c r="D42" i="32"/>
  <c r="E42" i="32"/>
  <c r="F42" i="32"/>
  <c r="A1" i="32"/>
  <c r="H98" i="34" l="1"/>
  <c r="B98" i="34"/>
  <c r="G98" i="34" s="1"/>
  <c r="G27" i="34"/>
  <c r="C118" i="34"/>
  <c r="C114" i="34"/>
  <c r="C122" i="34"/>
  <c r="C117" i="34"/>
  <c r="H29" i="34"/>
  <c r="F117" i="34" s="1"/>
  <c r="E98" i="34"/>
  <c r="J98" i="34" s="1"/>
  <c r="D117" i="34"/>
  <c r="J27" i="34"/>
  <c r="F115" i="34"/>
  <c r="F35" i="34"/>
  <c r="D118" i="34"/>
  <c r="D114" i="34"/>
  <c r="D122" i="34"/>
  <c r="I29" i="34"/>
  <c r="L89" i="16"/>
  <c r="L80" i="16"/>
  <c r="L71" i="16"/>
  <c r="L62" i="16"/>
  <c r="L44" i="16"/>
  <c r="L35" i="16"/>
  <c r="L26" i="16"/>
  <c r="L17" i="16"/>
  <c r="P96" i="14"/>
  <c r="O96" i="14"/>
  <c r="N96" i="14"/>
  <c r="M96" i="14"/>
  <c r="K96" i="14"/>
  <c r="J96" i="14"/>
  <c r="I96" i="14"/>
  <c r="G96" i="14"/>
  <c r="F96" i="14"/>
  <c r="E96" i="14"/>
  <c r="D96" i="14"/>
  <c r="C96" i="14"/>
  <c r="B96" i="14"/>
  <c r="P95" i="14"/>
  <c r="O95" i="14"/>
  <c r="N95" i="14"/>
  <c r="M95" i="14"/>
  <c r="K95" i="14"/>
  <c r="J95" i="14"/>
  <c r="I95" i="14"/>
  <c r="G95" i="14"/>
  <c r="F95" i="14"/>
  <c r="E95" i="14"/>
  <c r="D95" i="14"/>
  <c r="C95" i="14"/>
  <c r="B95" i="14"/>
  <c r="L94" i="14"/>
  <c r="H94" i="14"/>
  <c r="L93" i="14"/>
  <c r="H93" i="14"/>
  <c r="L92" i="14"/>
  <c r="H92" i="14"/>
  <c r="P80" i="14"/>
  <c r="O80" i="14"/>
  <c r="N80" i="14"/>
  <c r="M80" i="14"/>
  <c r="K80" i="14"/>
  <c r="J80" i="14"/>
  <c r="I80" i="14"/>
  <c r="G80" i="14"/>
  <c r="F80" i="14"/>
  <c r="E80" i="14"/>
  <c r="D80" i="14"/>
  <c r="C80" i="14"/>
  <c r="B80" i="14"/>
  <c r="P79" i="14"/>
  <c r="O79" i="14"/>
  <c r="N79" i="14"/>
  <c r="M79" i="14"/>
  <c r="K79" i="14"/>
  <c r="J79" i="14"/>
  <c r="I79" i="14"/>
  <c r="G79" i="14"/>
  <c r="F79" i="14"/>
  <c r="E79" i="14"/>
  <c r="D79" i="14"/>
  <c r="C79" i="14"/>
  <c r="B79" i="14"/>
  <c r="L78" i="14"/>
  <c r="H78" i="14"/>
  <c r="L77" i="14"/>
  <c r="H77" i="14"/>
  <c r="L76" i="14"/>
  <c r="H76" i="14"/>
  <c r="P64" i="14"/>
  <c r="O64" i="14"/>
  <c r="N64" i="14"/>
  <c r="M64" i="14"/>
  <c r="K64" i="14"/>
  <c r="J64" i="14"/>
  <c r="I64" i="14"/>
  <c r="G64" i="14"/>
  <c r="F64" i="14"/>
  <c r="E64" i="14"/>
  <c r="D64" i="14"/>
  <c r="C64" i="14"/>
  <c r="B64" i="14"/>
  <c r="P63" i="14"/>
  <c r="O63" i="14"/>
  <c r="N63" i="14"/>
  <c r="M63" i="14"/>
  <c r="K63" i="14"/>
  <c r="J63" i="14"/>
  <c r="I63" i="14"/>
  <c r="G63" i="14"/>
  <c r="F63" i="14"/>
  <c r="E63" i="14"/>
  <c r="D63" i="14"/>
  <c r="C63" i="14"/>
  <c r="B63" i="14"/>
  <c r="L62" i="14"/>
  <c r="H62" i="14"/>
  <c r="L61" i="14"/>
  <c r="H61" i="14"/>
  <c r="L60" i="14"/>
  <c r="H60" i="14"/>
  <c r="P48" i="14"/>
  <c r="O48" i="14"/>
  <c r="N48" i="14"/>
  <c r="M48" i="14"/>
  <c r="K48" i="14"/>
  <c r="J48" i="14"/>
  <c r="I48" i="14"/>
  <c r="G48" i="14"/>
  <c r="F48" i="14"/>
  <c r="E48" i="14"/>
  <c r="D48" i="14"/>
  <c r="C48" i="14"/>
  <c r="B48" i="14"/>
  <c r="P47" i="14"/>
  <c r="O47" i="14"/>
  <c r="N47" i="14"/>
  <c r="M47" i="14"/>
  <c r="K47" i="14"/>
  <c r="J47" i="14"/>
  <c r="I47" i="14"/>
  <c r="G47" i="14"/>
  <c r="F47" i="14"/>
  <c r="E47" i="14"/>
  <c r="D47" i="14"/>
  <c r="C47" i="14"/>
  <c r="B47" i="14"/>
  <c r="L46" i="14"/>
  <c r="H46" i="14"/>
  <c r="L45" i="14"/>
  <c r="H45" i="14"/>
  <c r="L44" i="14"/>
  <c r="H44" i="14"/>
  <c r="P32" i="14"/>
  <c r="P31" i="14"/>
  <c r="O32" i="14"/>
  <c r="O31" i="14"/>
  <c r="N32" i="14"/>
  <c r="N31" i="14"/>
  <c r="M32" i="14"/>
  <c r="M31" i="14"/>
  <c r="L30" i="14"/>
  <c r="L29" i="14"/>
  <c r="L28" i="14"/>
  <c r="K32" i="14"/>
  <c r="J32" i="14"/>
  <c r="K31" i="14"/>
  <c r="J31" i="14"/>
  <c r="I32" i="14"/>
  <c r="I31" i="14"/>
  <c r="G32" i="14"/>
  <c r="F32" i="14"/>
  <c r="E32" i="14"/>
  <c r="D32" i="14"/>
  <c r="C32" i="14"/>
  <c r="B32" i="14"/>
  <c r="G31" i="14"/>
  <c r="F31" i="14"/>
  <c r="E31" i="14"/>
  <c r="D31" i="14"/>
  <c r="C31" i="14"/>
  <c r="B31" i="14"/>
  <c r="H30" i="14"/>
  <c r="H29" i="14"/>
  <c r="H28" i="14"/>
  <c r="I98" i="34" l="1"/>
  <c r="H118" i="34"/>
  <c r="C115" i="34"/>
  <c r="H30" i="34"/>
  <c r="D115" i="34"/>
  <c r="H117" i="34"/>
  <c r="H122" i="34"/>
  <c r="C132" i="34"/>
  <c r="B122" i="34"/>
  <c r="B117" i="34"/>
  <c r="G117" i="34" s="1"/>
  <c r="B118" i="34"/>
  <c r="G118" i="34" s="1"/>
  <c r="B114" i="34"/>
  <c r="G114" i="34" s="1"/>
  <c r="G29" i="34"/>
  <c r="E118" i="34"/>
  <c r="J118" i="34" s="1"/>
  <c r="E114" i="34"/>
  <c r="J114" i="34" s="1"/>
  <c r="E122" i="34"/>
  <c r="I122" i="34" s="1"/>
  <c r="E117" i="34"/>
  <c r="J117" i="34" s="1"/>
  <c r="J29" i="34"/>
  <c r="D132" i="34"/>
  <c r="H114" i="34"/>
  <c r="F121" i="32"/>
  <c r="E121" i="32"/>
  <c r="D121" i="32"/>
  <c r="C121" i="32"/>
  <c r="B121" i="32"/>
  <c r="F96" i="32"/>
  <c r="E96" i="32"/>
  <c r="D96" i="32"/>
  <c r="C96" i="32"/>
  <c r="B96" i="32"/>
  <c r="F69" i="32"/>
  <c r="E69" i="32"/>
  <c r="D69" i="32"/>
  <c r="C69" i="32"/>
  <c r="B69" i="32"/>
  <c r="F38" i="32"/>
  <c r="E38" i="32"/>
  <c r="D38" i="32"/>
  <c r="C38" i="32"/>
  <c r="B38" i="32"/>
  <c r="F120" i="32"/>
  <c r="E120" i="32"/>
  <c r="D120" i="32"/>
  <c r="C120" i="32"/>
  <c r="B120" i="32"/>
  <c r="F95" i="32"/>
  <c r="E95" i="32"/>
  <c r="D95" i="32"/>
  <c r="C95" i="32"/>
  <c r="B95" i="32"/>
  <c r="F68" i="32"/>
  <c r="E68" i="32"/>
  <c r="D68" i="32"/>
  <c r="C68" i="32"/>
  <c r="B68" i="32"/>
  <c r="F37" i="32"/>
  <c r="E37" i="32"/>
  <c r="D37" i="32"/>
  <c r="C37" i="32"/>
  <c r="B37" i="32"/>
  <c r="H115" i="34" l="1"/>
  <c r="I118" i="34"/>
  <c r="I114" i="34"/>
  <c r="J122" i="34"/>
  <c r="E132" i="34"/>
  <c r="I132" i="34" s="1"/>
  <c r="E115" i="34"/>
  <c r="J115" i="34" s="1"/>
  <c r="J35" i="34"/>
  <c r="J30" i="34"/>
  <c r="B115" i="34"/>
  <c r="G115" i="34" s="1"/>
  <c r="G35" i="34"/>
  <c r="G30" i="34"/>
  <c r="B132" i="34"/>
  <c r="G122" i="34"/>
  <c r="I30" i="34"/>
  <c r="H35" i="34"/>
  <c r="C138" i="34"/>
  <c r="H132" i="34"/>
  <c r="D138" i="34"/>
  <c r="I117" i="34"/>
  <c r="F139" i="32"/>
  <c r="E139" i="32"/>
  <c r="D139" i="32"/>
  <c r="I139" i="32" s="1"/>
  <c r="C139" i="32"/>
  <c r="B139" i="32"/>
  <c r="E135" i="32"/>
  <c r="D135" i="32"/>
  <c r="C135" i="32"/>
  <c r="B135" i="32"/>
  <c r="E134" i="32"/>
  <c r="D134" i="32"/>
  <c r="C134" i="32"/>
  <c r="B134" i="32"/>
  <c r="E133" i="32"/>
  <c r="D133" i="32"/>
  <c r="C133" i="32"/>
  <c r="B133" i="32"/>
  <c r="F131" i="32"/>
  <c r="E131" i="32"/>
  <c r="D131" i="32"/>
  <c r="C131" i="32"/>
  <c r="B131" i="32"/>
  <c r="F129" i="32"/>
  <c r="E129" i="32"/>
  <c r="D129" i="32"/>
  <c r="C129" i="32"/>
  <c r="B129" i="32"/>
  <c r="F128" i="32"/>
  <c r="E128" i="32"/>
  <c r="D128" i="32"/>
  <c r="C128" i="32"/>
  <c r="B128" i="32"/>
  <c r="F127" i="32"/>
  <c r="E127" i="32"/>
  <c r="D127" i="32"/>
  <c r="C127" i="32"/>
  <c r="B127" i="32"/>
  <c r="F126" i="32"/>
  <c r="E126" i="32"/>
  <c r="D126" i="32"/>
  <c r="C126" i="32"/>
  <c r="B126" i="32"/>
  <c r="F125" i="32"/>
  <c r="E125" i="32"/>
  <c r="D125" i="32"/>
  <c r="C125" i="32"/>
  <c r="B125" i="32"/>
  <c r="F124" i="32"/>
  <c r="E124" i="32"/>
  <c r="D124" i="32"/>
  <c r="C124" i="32"/>
  <c r="B124" i="32"/>
  <c r="F105" i="32"/>
  <c r="E105" i="32"/>
  <c r="D105" i="32"/>
  <c r="C105" i="32"/>
  <c r="B105" i="32"/>
  <c r="F104" i="32"/>
  <c r="E104" i="32"/>
  <c r="D104" i="32"/>
  <c r="C104" i="32"/>
  <c r="B104" i="32"/>
  <c r="F102" i="32"/>
  <c r="E102" i="32"/>
  <c r="D102" i="32"/>
  <c r="C102" i="32"/>
  <c r="B102" i="32"/>
  <c r="J91" i="32"/>
  <c r="I91" i="32"/>
  <c r="H91" i="32"/>
  <c r="G91" i="32"/>
  <c r="J90" i="32"/>
  <c r="I90" i="32"/>
  <c r="H90" i="32"/>
  <c r="G90" i="32"/>
  <c r="J89" i="32"/>
  <c r="I89" i="32"/>
  <c r="H89" i="32"/>
  <c r="G89" i="32"/>
  <c r="J88" i="32"/>
  <c r="I88" i="32"/>
  <c r="H88" i="32"/>
  <c r="G88" i="32"/>
  <c r="F87" i="32"/>
  <c r="F82" i="32" s="1"/>
  <c r="E87" i="32"/>
  <c r="D87" i="32"/>
  <c r="D82" i="32" s="1"/>
  <c r="C87" i="32"/>
  <c r="C82" i="32" s="1"/>
  <c r="H82" i="32" s="1"/>
  <c r="B87" i="32"/>
  <c r="B82" i="32" s="1"/>
  <c r="J86" i="32"/>
  <c r="I86" i="32"/>
  <c r="H86" i="32"/>
  <c r="G86" i="32"/>
  <c r="J85" i="32"/>
  <c r="I85" i="32"/>
  <c r="H85" i="32"/>
  <c r="G85" i="32"/>
  <c r="F84" i="32"/>
  <c r="E84" i="32"/>
  <c r="D84" i="32"/>
  <c r="C84" i="32"/>
  <c r="B84" i="32"/>
  <c r="J83" i="32"/>
  <c r="I83" i="32"/>
  <c r="H83" i="32"/>
  <c r="F134" i="32" s="1"/>
  <c r="G83" i="32"/>
  <c r="J81" i="32"/>
  <c r="I81" i="32"/>
  <c r="H81" i="32"/>
  <c r="G81" i="32"/>
  <c r="J80" i="32"/>
  <c r="I80" i="32"/>
  <c r="H80" i="32"/>
  <c r="G80" i="32"/>
  <c r="J79" i="32"/>
  <c r="I79" i="32"/>
  <c r="H79" i="32"/>
  <c r="G79" i="32"/>
  <c r="J78" i="32"/>
  <c r="I78" i="32"/>
  <c r="H78" i="32"/>
  <c r="G78" i="32"/>
  <c r="J77" i="32"/>
  <c r="I77" i="32"/>
  <c r="H77" i="32"/>
  <c r="G77" i="32"/>
  <c r="F76" i="32"/>
  <c r="E76" i="32"/>
  <c r="D76" i="32"/>
  <c r="C76" i="32"/>
  <c r="B76" i="32"/>
  <c r="J75" i="32"/>
  <c r="I75" i="32"/>
  <c r="H75" i="32"/>
  <c r="G75" i="32"/>
  <c r="J74" i="32"/>
  <c r="I74" i="32"/>
  <c r="H74" i="32"/>
  <c r="G74" i="32"/>
  <c r="J73" i="32"/>
  <c r="I73" i="32"/>
  <c r="H73" i="32"/>
  <c r="G73" i="32"/>
  <c r="F72" i="32"/>
  <c r="E72" i="32"/>
  <c r="D72" i="32"/>
  <c r="C72" i="32"/>
  <c r="B72" i="32"/>
  <c r="J71" i="32"/>
  <c r="I71" i="32"/>
  <c r="H71" i="32"/>
  <c r="G71" i="32"/>
  <c r="J70" i="32"/>
  <c r="I70" i="32"/>
  <c r="H70" i="32"/>
  <c r="G70" i="32"/>
  <c r="F65" i="32"/>
  <c r="E65" i="32"/>
  <c r="D65" i="32"/>
  <c r="C65" i="32"/>
  <c r="C136" i="32" s="1"/>
  <c r="B65" i="32"/>
  <c r="J64" i="32"/>
  <c r="I64" i="32"/>
  <c r="H64" i="32"/>
  <c r="G64" i="32"/>
  <c r="J63" i="32"/>
  <c r="I63" i="32"/>
  <c r="H63" i="32"/>
  <c r="G63" i="32"/>
  <c r="J62" i="32"/>
  <c r="I62" i="32"/>
  <c r="H62" i="32"/>
  <c r="G62" i="32"/>
  <c r="J61" i="32"/>
  <c r="I61" i="32"/>
  <c r="H61" i="32"/>
  <c r="G61" i="32"/>
  <c r="J60" i="32"/>
  <c r="I60" i="32"/>
  <c r="H60" i="32"/>
  <c r="G60" i="32"/>
  <c r="J59" i="32"/>
  <c r="I59" i="32"/>
  <c r="H59" i="32"/>
  <c r="G59" i="32"/>
  <c r="J58" i="32"/>
  <c r="I58" i="32"/>
  <c r="H58" i="32"/>
  <c r="G58" i="32"/>
  <c r="J57" i="32"/>
  <c r="I57" i="32"/>
  <c r="H57" i="32"/>
  <c r="G57" i="32"/>
  <c r="J56" i="32"/>
  <c r="I56" i="32"/>
  <c r="H56" i="32"/>
  <c r="G56" i="32"/>
  <c r="F54" i="32"/>
  <c r="E54" i="32"/>
  <c r="D54" i="32"/>
  <c r="C54" i="32"/>
  <c r="B54" i="32"/>
  <c r="J53" i="32"/>
  <c r="I53" i="32"/>
  <c r="H53" i="32"/>
  <c r="G53" i="32"/>
  <c r="J52" i="32"/>
  <c r="I52" i="32"/>
  <c r="H52" i="32"/>
  <c r="G52" i="32"/>
  <c r="J51" i="32"/>
  <c r="I51" i="32"/>
  <c r="H51" i="32"/>
  <c r="G51" i="32"/>
  <c r="J50" i="32"/>
  <c r="I50" i="32"/>
  <c r="H50" i="32"/>
  <c r="G50" i="32"/>
  <c r="J49" i="32"/>
  <c r="I49" i="32"/>
  <c r="H49" i="32"/>
  <c r="G49" i="32"/>
  <c r="J48" i="32"/>
  <c r="I48" i="32"/>
  <c r="H48" i="32"/>
  <c r="G48" i="32"/>
  <c r="J45" i="32"/>
  <c r="I45" i="32"/>
  <c r="H45" i="32"/>
  <c r="G45" i="32"/>
  <c r="J44" i="32"/>
  <c r="I44" i="32"/>
  <c r="H44" i="32"/>
  <c r="G44" i="32"/>
  <c r="J43" i="32"/>
  <c r="I43" i="32"/>
  <c r="H43" i="32"/>
  <c r="G43" i="32"/>
  <c r="F46" i="32"/>
  <c r="D46" i="32"/>
  <c r="C46" i="32"/>
  <c r="J41" i="32"/>
  <c r="I41" i="32"/>
  <c r="H41" i="32"/>
  <c r="G41" i="32"/>
  <c r="J40" i="32"/>
  <c r="I40" i="32"/>
  <c r="H40" i="32"/>
  <c r="G40" i="32"/>
  <c r="J34" i="32"/>
  <c r="I34" i="32"/>
  <c r="H34" i="32"/>
  <c r="G34" i="32"/>
  <c r="J33" i="32"/>
  <c r="I33" i="32"/>
  <c r="H33" i="32"/>
  <c r="G33" i="32"/>
  <c r="J32" i="32"/>
  <c r="I32" i="32"/>
  <c r="H32" i="32"/>
  <c r="G32" i="32"/>
  <c r="J31" i="32"/>
  <c r="I31" i="32"/>
  <c r="H31" i="32"/>
  <c r="G31" i="32"/>
  <c r="J28" i="32"/>
  <c r="I28" i="32"/>
  <c r="H28" i="32"/>
  <c r="G28" i="32"/>
  <c r="J26" i="32"/>
  <c r="I26" i="32"/>
  <c r="H26" i="32"/>
  <c r="G26" i="32"/>
  <c r="J25" i="32"/>
  <c r="I25" i="32"/>
  <c r="H25" i="32"/>
  <c r="G25" i="32"/>
  <c r="J23" i="32"/>
  <c r="I23" i="32"/>
  <c r="H23" i="32"/>
  <c r="G23" i="32"/>
  <c r="F20" i="32"/>
  <c r="E20" i="32"/>
  <c r="D20" i="32"/>
  <c r="C20" i="32"/>
  <c r="B20" i="32"/>
  <c r="J19" i="32"/>
  <c r="I19" i="32"/>
  <c r="H19" i="32"/>
  <c r="G19" i="32"/>
  <c r="J18" i="32"/>
  <c r="I18" i="32"/>
  <c r="H18" i="32"/>
  <c r="G18" i="32"/>
  <c r="F15" i="32"/>
  <c r="F106" i="32" s="1"/>
  <c r="E15" i="32"/>
  <c r="E106" i="32" s="1"/>
  <c r="D15" i="32"/>
  <c r="D106" i="32" s="1"/>
  <c r="C15" i="32"/>
  <c r="C106" i="32" s="1"/>
  <c r="B15" i="32"/>
  <c r="B106" i="32" s="1"/>
  <c r="J14" i="32"/>
  <c r="I14" i="32"/>
  <c r="H14" i="32"/>
  <c r="G14" i="32"/>
  <c r="J13" i="32"/>
  <c r="I13" i="32"/>
  <c r="H13" i="32"/>
  <c r="G13" i="32"/>
  <c r="J12" i="32"/>
  <c r="I12" i="32"/>
  <c r="H12" i="32"/>
  <c r="G12" i="32"/>
  <c r="J9" i="32"/>
  <c r="I9" i="32"/>
  <c r="H9" i="32"/>
  <c r="G9" i="32"/>
  <c r="F8" i="32"/>
  <c r="F10" i="32" s="1"/>
  <c r="E8" i="32"/>
  <c r="D8" i="32"/>
  <c r="D10" i="32" s="1"/>
  <c r="C8" i="32"/>
  <c r="C10" i="32" s="1"/>
  <c r="B8" i="32"/>
  <c r="J7" i="32"/>
  <c r="I7" i="32"/>
  <c r="H7" i="32"/>
  <c r="G7" i="32"/>
  <c r="J6" i="32"/>
  <c r="I6" i="32"/>
  <c r="H6" i="32"/>
  <c r="G6" i="32"/>
  <c r="I115" i="34" l="1"/>
  <c r="H138" i="34"/>
  <c r="C140" i="34"/>
  <c r="B138" i="34"/>
  <c r="G132" i="34"/>
  <c r="J132" i="34"/>
  <c r="E138" i="34"/>
  <c r="I138" i="34" s="1"/>
  <c r="D140" i="34"/>
  <c r="I35" i="34"/>
  <c r="H106" i="32"/>
  <c r="F66" i="32"/>
  <c r="G84" i="32"/>
  <c r="J87" i="32"/>
  <c r="I102" i="32"/>
  <c r="H104" i="32"/>
  <c r="G133" i="32"/>
  <c r="G135" i="32"/>
  <c r="G139" i="32"/>
  <c r="G105" i="32"/>
  <c r="J139" i="32"/>
  <c r="H72" i="32"/>
  <c r="J105" i="32"/>
  <c r="B116" i="32"/>
  <c r="J106" i="32"/>
  <c r="E136" i="32"/>
  <c r="E137" i="32" s="1"/>
  <c r="D103" i="32"/>
  <c r="I76" i="32"/>
  <c r="D101" i="32"/>
  <c r="J65" i="32"/>
  <c r="F135" i="32"/>
  <c r="J135" i="32" s="1"/>
  <c r="G102" i="32"/>
  <c r="I134" i="32"/>
  <c r="E116" i="32"/>
  <c r="E66" i="32"/>
  <c r="J66" i="32" s="1"/>
  <c r="J76" i="32"/>
  <c r="J102" i="32"/>
  <c r="G124" i="32"/>
  <c r="J125" i="32"/>
  <c r="I126" i="32"/>
  <c r="H127" i="32"/>
  <c r="G128" i="32"/>
  <c r="J129" i="32"/>
  <c r="H134" i="32"/>
  <c r="B92" i="32"/>
  <c r="C101" i="32"/>
  <c r="I104" i="32"/>
  <c r="H105" i="32"/>
  <c r="H124" i="32"/>
  <c r="G125" i="32"/>
  <c r="J131" i="32"/>
  <c r="I133" i="32"/>
  <c r="H135" i="32"/>
  <c r="H20" i="32"/>
  <c r="I129" i="32"/>
  <c r="I84" i="32"/>
  <c r="F133" i="32"/>
  <c r="J133" i="32" s="1"/>
  <c r="H87" i="32"/>
  <c r="I124" i="32"/>
  <c r="H125" i="32"/>
  <c r="H46" i="32"/>
  <c r="H129" i="32"/>
  <c r="I42" i="32"/>
  <c r="I20" i="32"/>
  <c r="J104" i="32"/>
  <c r="J124" i="32"/>
  <c r="G126" i="32"/>
  <c r="J127" i="32"/>
  <c r="I128" i="32"/>
  <c r="F92" i="32"/>
  <c r="E82" i="32"/>
  <c r="I82" i="32" s="1"/>
  <c r="J128" i="32"/>
  <c r="G131" i="32"/>
  <c r="J134" i="32"/>
  <c r="I106" i="32"/>
  <c r="G20" i="32"/>
  <c r="F109" i="32"/>
  <c r="D92" i="32"/>
  <c r="H76" i="32"/>
  <c r="J84" i="32"/>
  <c r="I105" i="32"/>
  <c r="I125" i="32"/>
  <c r="J126" i="32"/>
  <c r="I127" i="32"/>
  <c r="H128" i="32"/>
  <c r="G129" i="32"/>
  <c r="I131" i="32"/>
  <c r="H133" i="32"/>
  <c r="G134" i="32"/>
  <c r="I135" i="32"/>
  <c r="F21" i="32"/>
  <c r="F16" i="32"/>
  <c r="F113" i="32" s="1"/>
  <c r="F101" i="32"/>
  <c r="F97" i="32"/>
  <c r="C110" i="32"/>
  <c r="C109" i="32"/>
  <c r="G65" i="32"/>
  <c r="J72" i="32"/>
  <c r="I72" i="32"/>
  <c r="G104" i="32"/>
  <c r="J8" i="32"/>
  <c r="E10" i="32"/>
  <c r="I10" i="32" s="1"/>
  <c r="H15" i="32"/>
  <c r="C16" i="32"/>
  <c r="J20" i="32"/>
  <c r="J42" i="32"/>
  <c r="E46" i="32"/>
  <c r="E97" i="32" s="1"/>
  <c r="D109" i="32"/>
  <c r="D66" i="32"/>
  <c r="D67" i="32" s="1"/>
  <c r="H54" i="32"/>
  <c r="I65" i="32"/>
  <c r="D136" i="32"/>
  <c r="D137" i="32" s="1"/>
  <c r="H65" i="32"/>
  <c r="F136" i="32" s="1"/>
  <c r="F67" i="32"/>
  <c r="F93" i="32" s="1"/>
  <c r="B107" i="32"/>
  <c r="B103" i="32"/>
  <c r="G82" i="32"/>
  <c r="H84" i="32"/>
  <c r="G87" i="32"/>
  <c r="C92" i="32"/>
  <c r="H102" i="32"/>
  <c r="C107" i="32"/>
  <c r="B108" i="32"/>
  <c r="H126" i="32"/>
  <c r="H131" i="32"/>
  <c r="H139" i="32"/>
  <c r="I8" i="32"/>
  <c r="H10" i="32"/>
  <c r="G15" i="32"/>
  <c r="G54" i="32"/>
  <c r="E67" i="32"/>
  <c r="C116" i="32"/>
  <c r="G8" i="32"/>
  <c r="B10" i="32"/>
  <c r="I15" i="32"/>
  <c r="D16" i="32"/>
  <c r="G42" i="32"/>
  <c r="B46" i="32"/>
  <c r="G46" i="32" s="1"/>
  <c r="J54" i="32"/>
  <c r="I54" i="32"/>
  <c r="G72" i="32"/>
  <c r="G76" i="32"/>
  <c r="D108" i="32"/>
  <c r="D107" i="32"/>
  <c r="C108" i="32"/>
  <c r="D21" i="32"/>
  <c r="C66" i="32"/>
  <c r="F107" i="32"/>
  <c r="F103" i="32"/>
  <c r="D116" i="32"/>
  <c r="I116" i="32" s="1"/>
  <c r="H8" i="32"/>
  <c r="F116" i="32" s="1"/>
  <c r="G106" i="32"/>
  <c r="J15" i="32"/>
  <c r="C21" i="32"/>
  <c r="H42" i="32"/>
  <c r="F110" i="32"/>
  <c r="B136" i="32"/>
  <c r="G136" i="32" s="1"/>
  <c r="B66" i="32"/>
  <c r="E103" i="32"/>
  <c r="I87" i="32"/>
  <c r="C103" i="32"/>
  <c r="F108" i="32"/>
  <c r="D110" i="32"/>
  <c r="G127" i="32"/>
  <c r="C137" i="32"/>
  <c r="B140" i="34" l="1"/>
  <c r="G140" i="34" s="1"/>
  <c r="G138" i="34"/>
  <c r="E140" i="34"/>
  <c r="J140" i="34" s="1"/>
  <c r="J138" i="34"/>
  <c r="H140" i="34"/>
  <c r="H101" i="32"/>
  <c r="H103" i="32"/>
  <c r="J136" i="32"/>
  <c r="I136" i="32"/>
  <c r="G92" i="32"/>
  <c r="J116" i="32"/>
  <c r="J67" i="32"/>
  <c r="J97" i="32"/>
  <c r="E109" i="32"/>
  <c r="J109" i="32" s="1"/>
  <c r="E107" i="32"/>
  <c r="J107" i="32" s="1"/>
  <c r="B110" i="32"/>
  <c r="G110" i="32" s="1"/>
  <c r="G107" i="32"/>
  <c r="I46" i="32"/>
  <c r="F137" i="32"/>
  <c r="J137" i="32" s="1"/>
  <c r="I137" i="32"/>
  <c r="H137" i="32"/>
  <c r="H136" i="32"/>
  <c r="B137" i="32"/>
  <c r="G137" i="32" s="1"/>
  <c r="E108" i="32"/>
  <c r="J108" i="32" s="1"/>
  <c r="E92" i="32"/>
  <c r="J92" i="32" s="1"/>
  <c r="J82" i="32"/>
  <c r="H108" i="32"/>
  <c r="I67" i="32"/>
  <c r="D93" i="32"/>
  <c r="G66" i="32"/>
  <c r="B97" i="32"/>
  <c r="G108" i="32"/>
  <c r="J103" i="32"/>
  <c r="B101" i="32"/>
  <c r="G101" i="32" s="1"/>
  <c r="G10" i="32"/>
  <c r="B16" i="32"/>
  <c r="B21" i="32"/>
  <c r="H107" i="32"/>
  <c r="J46" i="32"/>
  <c r="E110" i="32"/>
  <c r="J110" i="32" s="1"/>
  <c r="H109" i="32"/>
  <c r="C113" i="32"/>
  <c r="H16" i="32"/>
  <c r="C111" i="32"/>
  <c r="C100" i="32"/>
  <c r="C99" i="32"/>
  <c r="C22" i="32"/>
  <c r="H21" i="32"/>
  <c r="C112" i="32"/>
  <c r="C97" i="32"/>
  <c r="H66" i="32"/>
  <c r="C67" i="32"/>
  <c r="H67" i="32" s="1"/>
  <c r="D97" i="32"/>
  <c r="I97" i="32" s="1"/>
  <c r="I66" i="32"/>
  <c r="H110" i="32"/>
  <c r="B109" i="32"/>
  <c r="G109" i="32" s="1"/>
  <c r="B67" i="32"/>
  <c r="D112" i="32"/>
  <c r="D100" i="32"/>
  <c r="D99" i="32"/>
  <c r="D111" i="32"/>
  <c r="D22" i="32"/>
  <c r="D113" i="32"/>
  <c r="H116" i="32"/>
  <c r="H92" i="32"/>
  <c r="G103" i="32"/>
  <c r="E16" i="32"/>
  <c r="J10" i="32"/>
  <c r="E21" i="32"/>
  <c r="I21" i="32" s="1"/>
  <c r="E101" i="32"/>
  <c r="I103" i="32"/>
  <c r="F111" i="32"/>
  <c r="F99" i="32"/>
  <c r="F22" i="32"/>
  <c r="F24" i="32" s="1"/>
  <c r="F27" i="32" s="1"/>
  <c r="F112" i="32"/>
  <c r="F100" i="32"/>
  <c r="G116" i="32"/>
  <c r="I140" i="34" l="1"/>
  <c r="I107" i="32"/>
  <c r="I109" i="32"/>
  <c r="I108" i="32"/>
  <c r="E93" i="32"/>
  <c r="C93" i="32"/>
  <c r="I92" i="32"/>
  <c r="G97" i="32"/>
  <c r="I110" i="32"/>
  <c r="J16" i="32"/>
  <c r="E113" i="32"/>
  <c r="J113" i="32" s="1"/>
  <c r="H112" i="32"/>
  <c r="H100" i="32"/>
  <c r="B111" i="32"/>
  <c r="G111" i="32" s="1"/>
  <c r="B99" i="32"/>
  <c r="G99" i="32" s="1"/>
  <c r="B112" i="32"/>
  <c r="G112" i="32" s="1"/>
  <c r="B22" i="32"/>
  <c r="G21" i="32"/>
  <c r="B100" i="32"/>
  <c r="G100" i="32" s="1"/>
  <c r="G67" i="32"/>
  <c r="B93" i="32"/>
  <c r="H97" i="32"/>
  <c r="H113" i="32"/>
  <c r="J101" i="32"/>
  <c r="I101" i="32"/>
  <c r="D24" i="32"/>
  <c r="H111" i="32"/>
  <c r="B113" i="32"/>
  <c r="G113" i="32" s="1"/>
  <c r="G16" i="32"/>
  <c r="H99" i="32"/>
  <c r="F98" i="32"/>
  <c r="F29" i="32"/>
  <c r="E112" i="32"/>
  <c r="J112" i="32" s="1"/>
  <c r="E100" i="32"/>
  <c r="J100" i="32" s="1"/>
  <c r="E111" i="32"/>
  <c r="J111" i="32" s="1"/>
  <c r="E99" i="32"/>
  <c r="J99" i="32" s="1"/>
  <c r="E22" i="32"/>
  <c r="J21" i="32"/>
  <c r="I16" i="32"/>
  <c r="C24" i="32"/>
  <c r="H22" i="32"/>
  <c r="I113" i="32" l="1"/>
  <c r="I112" i="32"/>
  <c r="I100" i="32"/>
  <c r="I111" i="32"/>
  <c r="F122" i="32"/>
  <c r="F132" i="32" s="1"/>
  <c r="F138" i="32" s="1"/>
  <c r="F140" i="32" s="1"/>
  <c r="F118" i="32"/>
  <c r="F114" i="32"/>
  <c r="F30" i="32"/>
  <c r="D27" i="32"/>
  <c r="C27" i="32"/>
  <c r="H24" i="32"/>
  <c r="E24" i="32"/>
  <c r="I24" i="32" s="1"/>
  <c r="J22" i="32"/>
  <c r="I22" i="32"/>
  <c r="I99" i="32"/>
  <c r="B24" i="32"/>
  <c r="G22" i="32"/>
  <c r="C98" i="32" l="1"/>
  <c r="C29" i="32"/>
  <c r="H27" i="32"/>
  <c r="B27" i="32"/>
  <c r="G24" i="32"/>
  <c r="E27" i="32"/>
  <c r="I27" i="32" s="1"/>
  <c r="J24" i="32"/>
  <c r="D29" i="32"/>
  <c r="D98" i="32"/>
  <c r="F115" i="32"/>
  <c r="F35" i="32"/>
  <c r="D122" i="32" l="1"/>
  <c r="D114" i="32"/>
  <c r="D118" i="32"/>
  <c r="D30" i="32"/>
  <c r="B98" i="32"/>
  <c r="G98" i="32" s="1"/>
  <c r="B29" i="32"/>
  <c r="G27" i="32"/>
  <c r="E98" i="32"/>
  <c r="J98" i="32" s="1"/>
  <c r="E29" i="32"/>
  <c r="J27" i="32"/>
  <c r="C118" i="32"/>
  <c r="C114" i="32"/>
  <c r="C117" i="32"/>
  <c r="C122" i="32"/>
  <c r="C30" i="32"/>
  <c r="H29" i="32"/>
  <c r="F117" i="32" s="1"/>
  <c r="H98" i="32"/>
  <c r="I98" i="32" l="1"/>
  <c r="H122" i="32"/>
  <c r="C132" i="32"/>
  <c r="B122" i="32"/>
  <c r="B118" i="32"/>
  <c r="G118" i="32" s="1"/>
  <c r="B114" i="32"/>
  <c r="G114" i="32" s="1"/>
  <c r="B117" i="32"/>
  <c r="G117" i="32" s="1"/>
  <c r="B30" i="32"/>
  <c r="G29" i="32"/>
  <c r="E122" i="32"/>
  <c r="E118" i="32"/>
  <c r="J118" i="32" s="1"/>
  <c r="E114" i="32"/>
  <c r="J114" i="32" s="1"/>
  <c r="E117" i="32"/>
  <c r="J117" i="32" s="1"/>
  <c r="E30" i="32"/>
  <c r="J29" i="32"/>
  <c r="H114" i="32"/>
  <c r="I29" i="32"/>
  <c r="I122" i="32"/>
  <c r="D132" i="32"/>
  <c r="C115" i="32"/>
  <c r="C35" i="32"/>
  <c r="H30" i="32"/>
  <c r="H118" i="32"/>
  <c r="D115" i="32"/>
  <c r="D35" i="32"/>
  <c r="I30" i="32"/>
  <c r="D117" i="32"/>
  <c r="H117" i="32" s="1"/>
  <c r="I114" i="32" l="1"/>
  <c r="H35" i="32"/>
  <c r="E115" i="32"/>
  <c r="J115" i="32" s="1"/>
  <c r="E35" i="32"/>
  <c r="J35" i="32" s="1"/>
  <c r="J30" i="32"/>
  <c r="J122" i="32"/>
  <c r="E132" i="32"/>
  <c r="I132" i="32" s="1"/>
  <c r="B115" i="32"/>
  <c r="G115" i="32" s="1"/>
  <c r="G30" i="32"/>
  <c r="B35" i="32"/>
  <c r="G35" i="32" s="1"/>
  <c r="B132" i="32"/>
  <c r="G122" i="32"/>
  <c r="H115" i="32"/>
  <c r="C138" i="32"/>
  <c r="H132" i="32"/>
  <c r="I117" i="32"/>
  <c r="D138" i="32"/>
  <c r="I118" i="32"/>
  <c r="H138" i="32" l="1"/>
  <c r="C140" i="32"/>
  <c r="B138" i="32"/>
  <c r="G132" i="32"/>
  <c r="J132" i="32"/>
  <c r="E138" i="32"/>
  <c r="I138" i="32" s="1"/>
  <c r="D140" i="32"/>
  <c r="I115" i="32"/>
  <c r="I35" i="32"/>
  <c r="B140" i="32" l="1"/>
  <c r="G140" i="32" s="1"/>
  <c r="G138" i="32"/>
  <c r="E140" i="32"/>
  <c r="J140" i="32" s="1"/>
  <c r="J138" i="32"/>
  <c r="H140" i="32"/>
  <c r="I140" i="32" l="1"/>
  <c r="B2" i="8" l="1"/>
  <c r="B6" i="8"/>
  <c r="B4" i="8"/>
  <c r="B3" i="8"/>
  <c r="B5" i="8" l="1"/>
  <c r="E17" i="8"/>
  <c r="D17" i="8"/>
  <c r="E18" i="8"/>
  <c r="D18" i="8"/>
  <c r="E16" i="8"/>
  <c r="D16" i="8"/>
  <c r="E15" i="8"/>
  <c r="D15" i="8"/>
  <c r="E12" i="8"/>
  <c r="D12" i="8"/>
  <c r="J22" i="19" l="1"/>
  <c r="R11" i="27"/>
  <c r="R10" i="27"/>
  <c r="R9" i="27"/>
  <c r="R8" i="27"/>
  <c r="R7" i="27"/>
  <c r="R6" i="27"/>
  <c r="R5" i="27"/>
  <c r="R4" i="27"/>
  <c r="Q11" i="27"/>
  <c r="Q10" i="27"/>
  <c r="Q9" i="27"/>
  <c r="Q8" i="27"/>
  <c r="Q7" i="27"/>
  <c r="Q6" i="27"/>
  <c r="Q5" i="27"/>
  <c r="Q4" i="27"/>
  <c r="P11" i="27"/>
  <c r="P10" i="27"/>
  <c r="P9" i="27"/>
  <c r="P8" i="27"/>
  <c r="P7" i="27"/>
  <c r="P6" i="27"/>
  <c r="P5" i="27"/>
  <c r="P4" i="27"/>
  <c r="O11" i="27"/>
  <c r="O10" i="27"/>
  <c r="O9" i="27"/>
  <c r="O8" i="27"/>
  <c r="O7" i="27"/>
  <c r="O6" i="27"/>
  <c r="O5" i="27"/>
  <c r="O4" i="27"/>
  <c r="N11" i="27"/>
  <c r="N10" i="27"/>
  <c r="N9" i="27"/>
  <c r="N8" i="27"/>
  <c r="N7" i="27"/>
  <c r="N6" i="27"/>
  <c r="N5" i="27"/>
  <c r="N4" i="27"/>
  <c r="M11" i="27"/>
  <c r="M10" i="27"/>
  <c r="M9" i="27"/>
  <c r="M8" i="27"/>
  <c r="M7" i="27"/>
  <c r="M6" i="27"/>
  <c r="M5" i="27"/>
  <c r="M4" i="27"/>
  <c r="L11" i="27"/>
  <c r="L10" i="27"/>
  <c r="L9" i="27"/>
  <c r="L8" i="27"/>
  <c r="L7" i="27"/>
  <c r="L6" i="27"/>
  <c r="L5" i="27"/>
  <c r="L4" i="27"/>
  <c r="K11" i="27"/>
  <c r="K10" i="27"/>
  <c r="K9" i="27"/>
  <c r="K8" i="27"/>
  <c r="K7" i="27"/>
  <c r="K6" i="27"/>
  <c r="K5" i="27"/>
  <c r="K4" i="27"/>
  <c r="J11" i="27"/>
  <c r="J10" i="27"/>
  <c r="J9" i="27"/>
  <c r="J8" i="27"/>
  <c r="J7" i="27"/>
  <c r="J6" i="27"/>
  <c r="J5" i="27"/>
  <c r="J4" i="27"/>
  <c r="I11" i="27"/>
  <c r="I10" i="27"/>
  <c r="I9" i="27"/>
  <c r="I8" i="27"/>
  <c r="I7" i="27"/>
  <c r="I6" i="27"/>
  <c r="I5" i="27"/>
  <c r="I4" i="27"/>
  <c r="H11" i="27"/>
  <c r="H10" i="27"/>
  <c r="H9" i="27"/>
  <c r="H8" i="27"/>
  <c r="H7" i="27"/>
  <c r="H6" i="27"/>
  <c r="H5" i="27"/>
  <c r="H4" i="27"/>
  <c r="G11" i="27"/>
  <c r="G10" i="27"/>
  <c r="G9" i="27"/>
  <c r="G8" i="27"/>
  <c r="G7" i="27"/>
  <c r="G6" i="27"/>
  <c r="G5" i="27"/>
  <c r="G4" i="27"/>
  <c r="F11" i="27"/>
  <c r="F10" i="27"/>
  <c r="F9" i="27"/>
  <c r="F8" i="27"/>
  <c r="F7" i="27"/>
  <c r="F6" i="27"/>
  <c r="F5" i="27"/>
  <c r="F4" i="27"/>
  <c r="E11" i="27"/>
  <c r="E10" i="27"/>
  <c r="E9" i="27"/>
  <c r="E8" i="27"/>
  <c r="E7" i="27"/>
  <c r="E6" i="27"/>
  <c r="E5" i="27"/>
  <c r="E4" i="27"/>
  <c r="D11" i="27"/>
  <c r="D10" i="27"/>
  <c r="D9" i="27"/>
  <c r="D8" i="27"/>
  <c r="D7" i="27"/>
  <c r="D6" i="27"/>
  <c r="D5" i="27"/>
  <c r="D4" i="27"/>
  <c r="C11" i="27"/>
  <c r="C10" i="27"/>
  <c r="C9" i="27"/>
  <c r="C8" i="27"/>
  <c r="C7" i="27"/>
  <c r="C6" i="27"/>
  <c r="C5" i="27"/>
  <c r="C4" i="27"/>
  <c r="B11" i="27"/>
  <c r="B10" i="27"/>
  <c r="B9" i="27"/>
  <c r="B8" i="27"/>
  <c r="B7" i="27"/>
  <c r="B6" i="27"/>
  <c r="B5" i="27"/>
  <c r="B4" i="27"/>
  <c r="B3" i="27"/>
  <c r="A8" i="27"/>
  <c r="A9" i="27"/>
  <c r="S8" i="27" l="1"/>
  <c r="S7" i="27"/>
  <c r="S9" i="27"/>
  <c r="G7" i="30" l="1"/>
  <c r="L274" i="19" l="1"/>
  <c r="H274" i="19"/>
  <c r="L273" i="19"/>
  <c r="H273" i="19"/>
  <c r="L272" i="19"/>
  <c r="H272" i="19"/>
  <c r="L258" i="19"/>
  <c r="H258" i="19"/>
  <c r="L257" i="19"/>
  <c r="H257" i="19"/>
  <c r="L256" i="19"/>
  <c r="H256" i="19"/>
  <c r="L242" i="19"/>
  <c r="H242" i="19"/>
  <c r="L241" i="19"/>
  <c r="H241" i="19"/>
  <c r="L240" i="19"/>
  <c r="H240" i="19"/>
  <c r="L226" i="19"/>
  <c r="H226" i="19"/>
  <c r="L225" i="19"/>
  <c r="H225" i="19"/>
  <c r="L224" i="19"/>
  <c r="H224" i="19"/>
  <c r="L210" i="19"/>
  <c r="H210" i="19"/>
  <c r="L209" i="19"/>
  <c r="H209" i="19"/>
  <c r="L208" i="19"/>
  <c r="H208" i="19"/>
  <c r="L194" i="19"/>
  <c r="H194" i="19"/>
  <c r="L193" i="19"/>
  <c r="H193" i="19"/>
  <c r="L192" i="19"/>
  <c r="H192" i="19"/>
  <c r="L178" i="19"/>
  <c r="H178" i="19"/>
  <c r="L177" i="19"/>
  <c r="H177" i="19"/>
  <c r="L176" i="19"/>
  <c r="H176" i="19"/>
  <c r="L162" i="19"/>
  <c r="H162" i="19"/>
  <c r="L161" i="19"/>
  <c r="H161" i="19"/>
  <c r="L160" i="19"/>
  <c r="H160" i="19"/>
  <c r="L146" i="19"/>
  <c r="H146" i="19"/>
  <c r="L145" i="19"/>
  <c r="H145" i="19"/>
  <c r="L144" i="19"/>
  <c r="H144" i="19"/>
  <c r="L128" i="19"/>
  <c r="H128" i="19"/>
  <c r="L127" i="19"/>
  <c r="H127" i="19"/>
  <c r="L126" i="19"/>
  <c r="H126" i="19"/>
  <c r="L112" i="19"/>
  <c r="H112" i="19"/>
  <c r="L111" i="19"/>
  <c r="H111" i="19"/>
  <c r="L110" i="19"/>
  <c r="H110" i="19"/>
  <c r="L96" i="19"/>
  <c r="H96" i="19"/>
  <c r="L95" i="19"/>
  <c r="H95" i="19"/>
  <c r="L94" i="19"/>
  <c r="H94" i="19"/>
  <c r="L80" i="19"/>
  <c r="H80" i="19"/>
  <c r="L79" i="19"/>
  <c r="H79" i="19"/>
  <c r="L78" i="19"/>
  <c r="H78" i="19"/>
  <c r="L64" i="19"/>
  <c r="H64" i="19"/>
  <c r="L63" i="19"/>
  <c r="H63" i="19"/>
  <c r="L62" i="19"/>
  <c r="H62" i="19"/>
  <c r="L49" i="19"/>
  <c r="H49" i="19"/>
  <c r="L48" i="19"/>
  <c r="H48" i="19"/>
  <c r="L47" i="19"/>
  <c r="H47" i="19"/>
  <c r="L91" i="16"/>
  <c r="L82" i="16"/>
  <c r="L73" i="16"/>
  <c r="L64" i="16"/>
  <c r="L55" i="16"/>
  <c r="L53" i="16"/>
  <c r="L46" i="16"/>
  <c r="L37" i="16"/>
  <c r="L28" i="16"/>
  <c r="F22" i="8" l="1"/>
  <c r="H22" i="8"/>
  <c r="K22" i="8"/>
  <c r="L19" i="16"/>
  <c r="L34" i="19"/>
  <c r="H34" i="19"/>
  <c r="L33" i="19"/>
  <c r="H33" i="19"/>
  <c r="L32" i="19"/>
  <c r="H32" i="19"/>
  <c r="B22" i="19"/>
  <c r="D22" i="19"/>
  <c r="F22" i="19"/>
  <c r="L19" i="19"/>
  <c r="H19" i="19"/>
  <c r="L18" i="19"/>
  <c r="H18" i="19"/>
  <c r="L17" i="19"/>
  <c r="H17" i="19"/>
  <c r="B10" i="6" l="1"/>
  <c r="B11" i="6" s="1"/>
  <c r="D21" i="17" l="1"/>
  <c r="D20" i="17"/>
  <c r="D19" i="17"/>
  <c r="D18" i="17"/>
  <c r="D17" i="17"/>
  <c r="D16" i="17"/>
  <c r="D15" i="17"/>
  <c r="D14" i="17"/>
  <c r="B6" i="17"/>
  <c r="D5" i="3" l="1"/>
  <c r="D6" i="3"/>
  <c r="D4" i="3"/>
  <c r="B10" i="3" s="1"/>
  <c r="B11" i="3" s="1"/>
  <c r="I7" i="16" l="1"/>
  <c r="I6" i="16"/>
  <c r="A19" i="16"/>
  <c r="B5" i="2"/>
  <c r="E68" i="24"/>
  <c r="F4" i="24" s="1"/>
  <c r="F62" i="24" l="1"/>
  <c r="F66" i="24"/>
  <c r="F58" i="24"/>
  <c r="F50" i="24"/>
  <c r="F42" i="24"/>
  <c r="F34" i="24"/>
  <c r="F26" i="24"/>
  <c r="F18" i="24"/>
  <c r="F10" i="24"/>
  <c r="F67" i="24"/>
  <c r="F63" i="24"/>
  <c r="F59" i="24"/>
  <c r="F55" i="24"/>
  <c r="F51" i="24"/>
  <c r="F47" i="24"/>
  <c r="F43" i="24"/>
  <c r="F39" i="24"/>
  <c r="F35" i="24"/>
  <c r="F31" i="24"/>
  <c r="F27" i="24"/>
  <c r="F23" i="24"/>
  <c r="F19" i="24"/>
  <c r="F15" i="24"/>
  <c r="F11" i="24"/>
  <c r="F7" i="24"/>
  <c r="F65" i="24"/>
  <c r="F61" i="24"/>
  <c r="F57" i="24"/>
  <c r="F53" i="24"/>
  <c r="F49" i="24"/>
  <c r="F45" i="24"/>
  <c r="F41" i="24"/>
  <c r="F37" i="24"/>
  <c r="F33" i="24"/>
  <c r="F29" i="24"/>
  <c r="F25" i="24"/>
  <c r="F21" i="24"/>
  <c r="F17" i="24"/>
  <c r="F13" i="24"/>
  <c r="F9" i="24"/>
  <c r="F5" i="24"/>
  <c r="F54" i="24"/>
  <c r="F46" i="24"/>
  <c r="F38" i="24"/>
  <c r="F30" i="24"/>
  <c r="F22" i="24"/>
  <c r="F14" i="24"/>
  <c r="F6" i="24"/>
  <c r="F3" i="24"/>
  <c r="F64" i="24"/>
  <c r="F60" i="24"/>
  <c r="F56" i="24"/>
  <c r="F52" i="24"/>
  <c r="F48" i="24"/>
  <c r="F44" i="24"/>
  <c r="F40" i="24"/>
  <c r="F36" i="24"/>
  <c r="F32" i="24"/>
  <c r="F28" i="24"/>
  <c r="F24" i="24"/>
  <c r="F20" i="24"/>
  <c r="F16" i="24"/>
  <c r="F12" i="24"/>
  <c r="F8" i="24"/>
  <c r="I38" i="21" l="1"/>
  <c r="B6" i="2" l="1"/>
  <c r="I52" i="21" l="1"/>
  <c r="C12" i="17" s="1"/>
  <c r="C41" i="17" l="1"/>
  <c r="B13" i="5"/>
  <c r="C32" i="17" l="1"/>
  <c r="AH22" i="21" l="1"/>
  <c r="AH21" i="21"/>
  <c r="AH20" i="21"/>
  <c r="AH19" i="21"/>
  <c r="AH18" i="21"/>
  <c r="AH17" i="21"/>
  <c r="AH16" i="21"/>
  <c r="AH15" i="21"/>
  <c r="AH14" i="21"/>
  <c r="AH13" i="21"/>
  <c r="AH12" i="21"/>
  <c r="AH11" i="21"/>
  <c r="AH10" i="21"/>
  <c r="AH9" i="21"/>
  <c r="AH8" i="21"/>
  <c r="AH7" i="21"/>
  <c r="AH6" i="21"/>
  <c r="AH5" i="21"/>
  <c r="AG22" i="21"/>
  <c r="AG21" i="21"/>
  <c r="AG20" i="21"/>
  <c r="AG19" i="21"/>
  <c r="AG18" i="21"/>
  <c r="AG17" i="21"/>
  <c r="AG16" i="21"/>
  <c r="AG15" i="21"/>
  <c r="AG14" i="21"/>
  <c r="AG13" i="21"/>
  <c r="AG12" i="21"/>
  <c r="AG11" i="21"/>
  <c r="AG10" i="21"/>
  <c r="AG9" i="21"/>
  <c r="AG8" i="21"/>
  <c r="AG7" i="21"/>
  <c r="AG6" i="21"/>
  <c r="AG5" i="21"/>
  <c r="AH4" i="21"/>
  <c r="AG4" i="21"/>
  <c r="AH3" i="21"/>
  <c r="AG3" i="21"/>
  <c r="A4" i="27"/>
  <c r="A5" i="27"/>
  <c r="A6" i="27"/>
  <c r="A10" i="27"/>
  <c r="A11" i="27"/>
  <c r="A3" i="27"/>
  <c r="G3" i="27"/>
  <c r="H3" i="27"/>
  <c r="I4" i="16"/>
  <c r="B2" i="28"/>
  <c r="AI7" i="21" l="1"/>
  <c r="AI19" i="21"/>
  <c r="AI21" i="21"/>
  <c r="AI20" i="21"/>
  <c r="AI14" i="21"/>
  <c r="AI3" i="21"/>
  <c r="AI4" i="21"/>
  <c r="AI22" i="21"/>
  <c r="AI18" i="21"/>
  <c r="AI17" i="21"/>
  <c r="AI16" i="21"/>
  <c r="AI15" i="21"/>
  <c r="AI13" i="21"/>
  <c r="AI12" i="21"/>
  <c r="AI11" i="21"/>
  <c r="AI10" i="21"/>
  <c r="AI9" i="21"/>
  <c r="AI8" i="21"/>
  <c r="AI6" i="21"/>
  <c r="AI5" i="21"/>
  <c r="B10" i="28"/>
  <c r="B12" i="28" s="1"/>
  <c r="B4" i="28"/>
  <c r="B4" i="15"/>
  <c r="B3" i="28"/>
  <c r="C5" i="13"/>
  <c r="C6" i="13"/>
  <c r="B13" i="28" l="1"/>
  <c r="B14" i="28" s="1"/>
  <c r="B9" i="28"/>
  <c r="B15" i="28" l="1"/>
  <c r="C52" i="17" s="1"/>
  <c r="C51" i="17"/>
  <c r="I2" i="16" l="1"/>
  <c r="N9" i="16"/>
  <c r="I3" i="16"/>
  <c r="K10" i="16"/>
  <c r="N10" i="16" s="1"/>
  <c r="R3" i="27" l="1"/>
  <c r="Q3" i="27"/>
  <c r="P3" i="27"/>
  <c r="O3" i="27"/>
  <c r="N3" i="27"/>
  <c r="M3" i="27"/>
  <c r="L3" i="27"/>
  <c r="K3" i="27"/>
  <c r="J3" i="27"/>
  <c r="I3" i="27"/>
  <c r="G12" i="27"/>
  <c r="G13" i="27" s="1"/>
  <c r="F3" i="27"/>
  <c r="E3" i="27"/>
  <c r="D3" i="27"/>
  <c r="C3" i="27"/>
  <c r="C15" i="13"/>
  <c r="B13" i="13"/>
  <c r="C12" i="27" l="1"/>
  <c r="C13" i="27" s="1"/>
  <c r="S6" i="27"/>
  <c r="I12" i="27"/>
  <c r="I13" i="27" s="1"/>
  <c r="E12" i="27"/>
  <c r="E13" i="27" s="1"/>
  <c r="J12" i="27"/>
  <c r="J13" i="27" s="1"/>
  <c r="N12" i="27"/>
  <c r="N13" i="27" s="1"/>
  <c r="R12" i="27"/>
  <c r="R13" i="27" s="1"/>
  <c r="M12" i="27"/>
  <c r="M13" i="27" s="1"/>
  <c r="Q12" i="27"/>
  <c r="Q13" i="27" s="1"/>
  <c r="S3" i="27"/>
  <c r="F12" i="27"/>
  <c r="F13" i="27" s="1"/>
  <c r="K12" i="27"/>
  <c r="K13" i="27" s="1"/>
  <c r="O12" i="27"/>
  <c r="O13" i="27" s="1"/>
  <c r="S11" i="27"/>
  <c r="S4" i="27"/>
  <c r="S10" i="27"/>
  <c r="S5" i="27"/>
  <c r="P12" i="27"/>
  <c r="P13" i="27" s="1"/>
  <c r="L12" i="27"/>
  <c r="L13" i="27" s="1"/>
  <c r="H12" i="27"/>
  <c r="H13" i="27" s="1"/>
  <c r="D12" i="27"/>
  <c r="D13" i="27" s="1"/>
  <c r="B12" i="27"/>
  <c r="B13" i="27" s="1"/>
  <c r="S12" i="27" l="1"/>
  <c r="S13" i="27" s="1"/>
  <c r="B3" i="15"/>
  <c r="D3" i="14"/>
  <c r="B2" i="15"/>
  <c r="D2" i="14"/>
  <c r="K86" i="16"/>
  <c r="N86" i="16" s="1"/>
  <c r="K85" i="16"/>
  <c r="N85" i="16" s="1"/>
  <c r="A27" i="16"/>
  <c r="K77" i="16"/>
  <c r="N77" i="16" s="1"/>
  <c r="K76" i="16"/>
  <c r="N76" i="16" s="1"/>
  <c r="K68" i="16"/>
  <c r="N68" i="16" s="1"/>
  <c r="K67" i="16"/>
  <c r="N67" i="16" s="1"/>
  <c r="K59" i="16"/>
  <c r="N59" i="16" s="1"/>
  <c r="K58" i="16"/>
  <c r="N58" i="16" s="1"/>
  <c r="K50" i="16"/>
  <c r="N50" i="16" s="1"/>
  <c r="K49" i="16"/>
  <c r="N49" i="16" s="1"/>
  <c r="A36" i="16" l="1"/>
  <c r="A28" i="16"/>
  <c r="E9" i="9"/>
  <c r="D9" i="9"/>
  <c r="B6" i="11"/>
  <c r="B5" i="11"/>
  <c r="A45" i="16" l="1"/>
  <c r="A37" i="16"/>
  <c r="E3" i="26"/>
  <c r="H6" i="26"/>
  <c r="M25" i="26"/>
  <c r="L25" i="26"/>
  <c r="H7" i="26" s="1"/>
  <c r="K26" i="26"/>
  <c r="J26" i="26"/>
  <c r="K25" i="26"/>
  <c r="E7" i="26" s="1"/>
  <c r="J25" i="26"/>
  <c r="E6" i="26" s="1"/>
  <c r="I24" i="26"/>
  <c r="I23" i="26"/>
  <c r="I22" i="26"/>
  <c r="I21" i="26"/>
  <c r="I20" i="26"/>
  <c r="I19" i="26"/>
  <c r="I18" i="26"/>
  <c r="I17" i="26"/>
  <c r="I16" i="26"/>
  <c r="I15" i="26"/>
  <c r="I14" i="26"/>
  <c r="I13" i="26"/>
  <c r="H26" i="26"/>
  <c r="H25" i="26"/>
  <c r="G26" i="26"/>
  <c r="G25" i="26"/>
  <c r="E2" i="26" s="1"/>
  <c r="F26" i="26"/>
  <c r="F25" i="26"/>
  <c r="D26" i="26"/>
  <c r="C26" i="26"/>
  <c r="B26" i="26"/>
  <c r="B27" i="26" s="1"/>
  <c r="C25" i="26"/>
  <c r="D25" i="26"/>
  <c r="B25" i="26"/>
  <c r="E14" i="26"/>
  <c r="E15" i="26"/>
  <c r="E16" i="26"/>
  <c r="E17" i="26"/>
  <c r="E18" i="26"/>
  <c r="E19" i="26"/>
  <c r="E20" i="26"/>
  <c r="E21" i="26"/>
  <c r="E22" i="26"/>
  <c r="E23" i="26"/>
  <c r="E24" i="26"/>
  <c r="E13" i="26"/>
  <c r="D27" i="26" l="1"/>
  <c r="M26" i="26"/>
  <c r="E25" i="26"/>
  <c r="L26" i="26"/>
  <c r="E26" i="26"/>
  <c r="E27" i="26" s="1"/>
  <c r="C27" i="26"/>
  <c r="I25" i="26"/>
  <c r="A54" i="16"/>
  <c r="A46" i="16"/>
  <c r="K6" i="26"/>
  <c r="E8" i="26"/>
  <c r="H8" i="26"/>
  <c r="K7" i="26"/>
  <c r="I26" i="26"/>
  <c r="E4" i="26"/>
  <c r="N318" i="19"/>
  <c r="M318" i="19"/>
  <c r="K318" i="19"/>
  <c r="J318" i="19"/>
  <c r="I318" i="19"/>
  <c r="F318" i="19"/>
  <c r="D318" i="19"/>
  <c r="B318" i="19"/>
  <c r="P317" i="19"/>
  <c r="O317" i="19"/>
  <c r="N317" i="19"/>
  <c r="M317" i="19"/>
  <c r="K317" i="19"/>
  <c r="J317" i="19"/>
  <c r="I317" i="19"/>
  <c r="F317" i="19"/>
  <c r="D317" i="19"/>
  <c r="B317" i="19"/>
  <c r="L316" i="19"/>
  <c r="H316" i="19"/>
  <c r="L315" i="19"/>
  <c r="H315" i="19"/>
  <c r="L314" i="19"/>
  <c r="H314" i="19"/>
  <c r="L313" i="19"/>
  <c r="H313" i="19"/>
  <c r="L312" i="19"/>
  <c r="H312" i="19"/>
  <c r="L311" i="19"/>
  <c r="H311" i="19"/>
  <c r="H318" i="19" s="1"/>
  <c r="N305" i="19"/>
  <c r="M305" i="19"/>
  <c r="K305" i="19"/>
  <c r="J305" i="19"/>
  <c r="I305" i="19"/>
  <c r="F305" i="19"/>
  <c r="D305" i="19"/>
  <c r="B305" i="19"/>
  <c r="B306" i="19" s="1"/>
  <c r="P304" i="19"/>
  <c r="O304" i="19"/>
  <c r="N304" i="19"/>
  <c r="M304" i="19"/>
  <c r="P305" i="19" s="1"/>
  <c r="K304" i="19"/>
  <c r="J304" i="19"/>
  <c r="I304" i="19"/>
  <c r="F304" i="19"/>
  <c r="D304" i="19"/>
  <c r="B304" i="19"/>
  <c r="L303" i="19"/>
  <c r="H303" i="19"/>
  <c r="L302" i="19"/>
  <c r="H302" i="19"/>
  <c r="L301" i="19"/>
  <c r="H301" i="19"/>
  <c r="L300" i="19"/>
  <c r="H300" i="19"/>
  <c r="L299" i="19"/>
  <c r="H299" i="19"/>
  <c r="L298" i="19"/>
  <c r="H298" i="19"/>
  <c r="N292" i="19"/>
  <c r="M292" i="19"/>
  <c r="K292" i="19"/>
  <c r="J292" i="19"/>
  <c r="I292" i="19"/>
  <c r="F292" i="19"/>
  <c r="D292" i="19"/>
  <c r="B292" i="19"/>
  <c r="P291" i="19"/>
  <c r="O291" i="19"/>
  <c r="N291" i="19"/>
  <c r="M291" i="19"/>
  <c r="K291" i="19"/>
  <c r="J291" i="19"/>
  <c r="I291" i="19"/>
  <c r="F291" i="19"/>
  <c r="D291" i="19"/>
  <c r="B291" i="19"/>
  <c r="L290" i="19"/>
  <c r="H290" i="19"/>
  <c r="L289" i="19"/>
  <c r="H289" i="19"/>
  <c r="L288" i="19"/>
  <c r="H288" i="19"/>
  <c r="L287" i="19"/>
  <c r="H287" i="19"/>
  <c r="L286" i="19"/>
  <c r="H286" i="19"/>
  <c r="L285" i="19"/>
  <c r="H285" i="19"/>
  <c r="H292" i="19" s="1"/>
  <c r="N279" i="19"/>
  <c r="M279" i="19"/>
  <c r="K279" i="19"/>
  <c r="J279" i="19"/>
  <c r="I279" i="19"/>
  <c r="F279" i="19"/>
  <c r="D279" i="19"/>
  <c r="B279" i="19"/>
  <c r="B280" i="19" s="1"/>
  <c r="P278" i="19"/>
  <c r="O278" i="19"/>
  <c r="N278" i="19"/>
  <c r="M278" i="19"/>
  <c r="P279" i="19" s="1"/>
  <c r="K278" i="19"/>
  <c r="J278" i="19"/>
  <c r="I278" i="19"/>
  <c r="F278" i="19"/>
  <c r="D278" i="19"/>
  <c r="B278" i="19"/>
  <c r="L277" i="19"/>
  <c r="H277" i="19"/>
  <c r="L276" i="19"/>
  <c r="H276" i="19"/>
  <c r="L275" i="19"/>
  <c r="H275" i="19"/>
  <c r="L271" i="19"/>
  <c r="H271" i="19"/>
  <c r="L270" i="19"/>
  <c r="H270" i="19"/>
  <c r="L269" i="19"/>
  <c r="H269" i="19"/>
  <c r="N263" i="19"/>
  <c r="M263" i="19"/>
  <c r="K263" i="19"/>
  <c r="J263" i="19"/>
  <c r="I263" i="19"/>
  <c r="F263" i="19"/>
  <c r="D263" i="19"/>
  <c r="B263" i="19"/>
  <c r="P262" i="19"/>
  <c r="O262" i="19"/>
  <c r="N262" i="19"/>
  <c r="M262" i="19"/>
  <c r="K262" i="19"/>
  <c r="J262" i="19"/>
  <c r="I262" i="19"/>
  <c r="F262" i="19"/>
  <c r="D262" i="19"/>
  <c r="B262" i="19"/>
  <c r="L261" i="19"/>
  <c r="H261" i="19"/>
  <c r="L260" i="19"/>
  <c r="H260" i="19"/>
  <c r="L259" i="19"/>
  <c r="H259" i="19"/>
  <c r="L255" i="19"/>
  <c r="H255" i="19"/>
  <c r="L254" i="19"/>
  <c r="H254" i="19"/>
  <c r="L253" i="19"/>
  <c r="H253" i="19"/>
  <c r="N247" i="19"/>
  <c r="M247" i="19"/>
  <c r="K247" i="19"/>
  <c r="J247" i="19"/>
  <c r="I247" i="19"/>
  <c r="F247" i="19"/>
  <c r="D247" i="19"/>
  <c r="B247" i="19"/>
  <c r="P246" i="19"/>
  <c r="O246" i="19"/>
  <c r="N246" i="19"/>
  <c r="M246" i="19"/>
  <c r="K246" i="19"/>
  <c r="J246" i="19"/>
  <c r="I246" i="19"/>
  <c r="F246" i="19"/>
  <c r="D246" i="19"/>
  <c r="B246" i="19"/>
  <c r="L245" i="19"/>
  <c r="H245" i="19"/>
  <c r="L244" i="19"/>
  <c r="H244" i="19"/>
  <c r="L243" i="19"/>
  <c r="H243" i="19"/>
  <c r="L239" i="19"/>
  <c r="H239" i="19"/>
  <c r="L238" i="19"/>
  <c r="H238" i="19"/>
  <c r="L237" i="19"/>
  <c r="H237" i="19"/>
  <c r="N231" i="19"/>
  <c r="M231" i="19"/>
  <c r="K231" i="19"/>
  <c r="J231" i="19"/>
  <c r="I231" i="19"/>
  <c r="F231" i="19"/>
  <c r="D231" i="19"/>
  <c r="B231" i="19"/>
  <c r="P230" i="19"/>
  <c r="O230" i="19"/>
  <c r="N230" i="19"/>
  <c r="M230" i="19"/>
  <c r="K230" i="19"/>
  <c r="J230" i="19"/>
  <c r="I230" i="19"/>
  <c r="F230" i="19"/>
  <c r="D230" i="19"/>
  <c r="B230" i="19"/>
  <c r="L229" i="19"/>
  <c r="H229" i="19"/>
  <c r="L228" i="19"/>
  <c r="H228" i="19"/>
  <c r="L227" i="19"/>
  <c r="H227" i="19"/>
  <c r="L223" i="19"/>
  <c r="H223" i="19"/>
  <c r="L222" i="19"/>
  <c r="H222" i="19"/>
  <c r="L221" i="19"/>
  <c r="H221" i="19"/>
  <c r="N215" i="19"/>
  <c r="M215" i="19"/>
  <c r="K215" i="19"/>
  <c r="J215" i="19"/>
  <c r="I215" i="19"/>
  <c r="F215" i="19"/>
  <c r="D215" i="19"/>
  <c r="B215" i="19"/>
  <c r="P214" i="19"/>
  <c r="O214" i="19"/>
  <c r="N214" i="19"/>
  <c r="M214" i="19"/>
  <c r="K214" i="19"/>
  <c r="J214" i="19"/>
  <c r="I214" i="19"/>
  <c r="F214" i="19"/>
  <c r="D214" i="19"/>
  <c r="B214" i="19"/>
  <c r="L213" i="19"/>
  <c r="H213" i="19"/>
  <c r="L212" i="19"/>
  <c r="H212" i="19"/>
  <c r="L211" i="19"/>
  <c r="H211" i="19"/>
  <c r="L207" i="19"/>
  <c r="H207" i="19"/>
  <c r="L206" i="19"/>
  <c r="H206" i="19"/>
  <c r="L205" i="19"/>
  <c r="H205" i="19"/>
  <c r="N199" i="19"/>
  <c r="M199" i="19"/>
  <c r="K199" i="19"/>
  <c r="J199" i="19"/>
  <c r="I199" i="19"/>
  <c r="F199" i="19"/>
  <c r="D199" i="19"/>
  <c r="B199" i="19"/>
  <c r="P198" i="19"/>
  <c r="O198" i="19"/>
  <c r="N198" i="19"/>
  <c r="M198" i="19"/>
  <c r="K198" i="19"/>
  <c r="J198" i="19"/>
  <c r="I198" i="19"/>
  <c r="F198" i="19"/>
  <c r="D198" i="19"/>
  <c r="B198" i="19"/>
  <c r="L197" i="19"/>
  <c r="H197" i="19"/>
  <c r="L196" i="19"/>
  <c r="H196" i="19"/>
  <c r="L195" i="19"/>
  <c r="H195" i="19"/>
  <c r="L191" i="19"/>
  <c r="H191" i="19"/>
  <c r="L190" i="19"/>
  <c r="H190" i="19"/>
  <c r="L189" i="19"/>
  <c r="H189" i="19"/>
  <c r="N183" i="19"/>
  <c r="M183" i="19"/>
  <c r="K183" i="19"/>
  <c r="J183" i="19"/>
  <c r="I183" i="19"/>
  <c r="F183" i="19"/>
  <c r="D183" i="19"/>
  <c r="B183" i="19"/>
  <c r="P182" i="19"/>
  <c r="O182" i="19"/>
  <c r="N182" i="19"/>
  <c r="M182" i="19"/>
  <c r="K182" i="19"/>
  <c r="J182" i="19"/>
  <c r="I182" i="19"/>
  <c r="F182" i="19"/>
  <c r="D182" i="19"/>
  <c r="B182" i="19"/>
  <c r="L181" i="19"/>
  <c r="H181" i="19"/>
  <c r="L180" i="19"/>
  <c r="H180" i="19"/>
  <c r="L179" i="19"/>
  <c r="H179" i="19"/>
  <c r="L175" i="19"/>
  <c r="H175" i="19"/>
  <c r="L174" i="19"/>
  <c r="H174" i="19"/>
  <c r="L173" i="19"/>
  <c r="H173" i="19"/>
  <c r="N167" i="19"/>
  <c r="M167" i="19"/>
  <c r="K167" i="19"/>
  <c r="J167" i="19"/>
  <c r="I167" i="19"/>
  <c r="F167" i="19"/>
  <c r="D167" i="19"/>
  <c r="B167" i="19"/>
  <c r="P166" i="19"/>
  <c r="O166" i="19"/>
  <c r="N166" i="19"/>
  <c r="M166" i="19"/>
  <c r="K166" i="19"/>
  <c r="J166" i="19"/>
  <c r="I166" i="19"/>
  <c r="F166" i="19"/>
  <c r="D166" i="19"/>
  <c r="B166" i="19"/>
  <c r="L165" i="19"/>
  <c r="H165" i="19"/>
  <c r="L164" i="19"/>
  <c r="H164" i="19"/>
  <c r="L163" i="19"/>
  <c r="H163" i="19"/>
  <c r="L159" i="19"/>
  <c r="H159" i="19"/>
  <c r="L158" i="19"/>
  <c r="H158" i="19"/>
  <c r="L157" i="19"/>
  <c r="H157" i="19"/>
  <c r="N151" i="19"/>
  <c r="M151" i="19"/>
  <c r="K151" i="19"/>
  <c r="J151" i="19"/>
  <c r="I151" i="19"/>
  <c r="F151" i="19"/>
  <c r="D151" i="19"/>
  <c r="B151" i="19"/>
  <c r="P150" i="19"/>
  <c r="O150" i="19"/>
  <c r="N150" i="19"/>
  <c r="M150" i="19"/>
  <c r="K150" i="19"/>
  <c r="J150" i="19"/>
  <c r="I150" i="19"/>
  <c r="F150" i="19"/>
  <c r="D150" i="19"/>
  <c r="B150" i="19"/>
  <c r="L149" i="19"/>
  <c r="H149" i="19"/>
  <c r="L148" i="19"/>
  <c r="H148" i="19"/>
  <c r="L147" i="19"/>
  <c r="H147" i="19"/>
  <c r="L143" i="19"/>
  <c r="H143" i="19"/>
  <c r="L142" i="19"/>
  <c r="H142" i="19"/>
  <c r="L141" i="19"/>
  <c r="H141" i="19"/>
  <c r="N135" i="19"/>
  <c r="M135" i="19"/>
  <c r="K135" i="19"/>
  <c r="J135" i="19"/>
  <c r="I135" i="19"/>
  <c r="F135" i="19"/>
  <c r="D135" i="19"/>
  <c r="B135" i="19"/>
  <c r="P134" i="19"/>
  <c r="O134" i="19"/>
  <c r="N134" i="19"/>
  <c r="M134" i="19"/>
  <c r="K134" i="19"/>
  <c r="J134" i="19"/>
  <c r="I134" i="19"/>
  <c r="F134" i="19"/>
  <c r="D134" i="19"/>
  <c r="B134" i="19"/>
  <c r="L133" i="19"/>
  <c r="H133" i="19"/>
  <c r="L132" i="19"/>
  <c r="H132" i="19"/>
  <c r="L131" i="19"/>
  <c r="H131" i="19"/>
  <c r="L130" i="19"/>
  <c r="H130" i="19"/>
  <c r="L129" i="19"/>
  <c r="H129" i="19"/>
  <c r="L125" i="19"/>
  <c r="H125" i="19"/>
  <c r="H135" i="19" s="1"/>
  <c r="N119" i="19"/>
  <c r="M119" i="19"/>
  <c r="K119" i="19"/>
  <c r="J119" i="19"/>
  <c r="I119" i="19"/>
  <c r="F119" i="19"/>
  <c r="D119" i="19"/>
  <c r="B119" i="19"/>
  <c r="P118" i="19"/>
  <c r="O118" i="19"/>
  <c r="N118" i="19"/>
  <c r="M118" i="19"/>
  <c r="K118" i="19"/>
  <c r="J118" i="19"/>
  <c r="I118" i="19"/>
  <c r="F118" i="19"/>
  <c r="D118" i="19"/>
  <c r="B118" i="19"/>
  <c r="L117" i="19"/>
  <c r="H117" i="19"/>
  <c r="L116" i="19"/>
  <c r="H116" i="19"/>
  <c r="L115" i="19"/>
  <c r="H115" i="19"/>
  <c r="L114" i="19"/>
  <c r="H114" i="19"/>
  <c r="L113" i="19"/>
  <c r="H113" i="19"/>
  <c r="L109" i="19"/>
  <c r="H109" i="19"/>
  <c r="N103" i="19"/>
  <c r="M103" i="19"/>
  <c r="K103" i="19"/>
  <c r="J103" i="19"/>
  <c r="I103" i="19"/>
  <c r="F103" i="19"/>
  <c r="D103" i="19"/>
  <c r="B103" i="19"/>
  <c r="P102" i="19"/>
  <c r="O102" i="19"/>
  <c r="N102" i="19"/>
  <c r="M102" i="19"/>
  <c r="K102" i="19"/>
  <c r="J102" i="19"/>
  <c r="I102" i="19"/>
  <c r="F102" i="19"/>
  <c r="D102" i="19"/>
  <c r="B102" i="19"/>
  <c r="L101" i="19"/>
  <c r="H101" i="19"/>
  <c r="L100" i="19"/>
  <c r="H100" i="19"/>
  <c r="L99" i="19"/>
  <c r="H99" i="19"/>
  <c r="L98" i="19"/>
  <c r="H98" i="19"/>
  <c r="L97" i="19"/>
  <c r="H97" i="19"/>
  <c r="L93" i="19"/>
  <c r="H93" i="19"/>
  <c r="H103" i="19" s="1"/>
  <c r="P247" i="19" l="1"/>
  <c r="H263" i="19"/>
  <c r="H167" i="19"/>
  <c r="B248" i="19"/>
  <c r="H104" i="19"/>
  <c r="F104" i="19"/>
  <c r="H136" i="19"/>
  <c r="F136" i="19"/>
  <c r="H168" i="19"/>
  <c r="F168" i="19"/>
  <c r="F200" i="19"/>
  <c r="F232" i="19"/>
  <c r="H264" i="19"/>
  <c r="F264" i="19"/>
  <c r="H293" i="19"/>
  <c r="F293" i="19"/>
  <c r="H319" i="19"/>
  <c r="F319" i="19"/>
  <c r="H199" i="19"/>
  <c r="H200" i="19" s="1"/>
  <c r="O151" i="19"/>
  <c r="B120" i="19"/>
  <c r="B152" i="19"/>
  <c r="P183" i="19"/>
  <c r="B216" i="19"/>
  <c r="L103" i="19"/>
  <c r="O119" i="19"/>
  <c r="O183" i="19"/>
  <c r="P119" i="19"/>
  <c r="P151" i="19"/>
  <c r="B184" i="19"/>
  <c r="P215" i="19"/>
  <c r="O215" i="19"/>
  <c r="O247" i="19"/>
  <c r="D248" i="19"/>
  <c r="L263" i="19"/>
  <c r="O279" i="19"/>
  <c r="D280" i="19"/>
  <c r="L292" i="19"/>
  <c r="O305" i="19"/>
  <c r="D306" i="19"/>
  <c r="P103" i="19"/>
  <c r="B104" i="19"/>
  <c r="F120" i="19"/>
  <c r="P135" i="19"/>
  <c r="B136" i="19"/>
  <c r="F152" i="19"/>
  <c r="P167" i="19"/>
  <c r="B168" i="19"/>
  <c r="H183" i="19"/>
  <c r="H184" i="19" s="1"/>
  <c r="F184" i="19"/>
  <c r="P199" i="19"/>
  <c r="B200" i="19"/>
  <c r="H215" i="19"/>
  <c r="H216" i="19" s="1"/>
  <c r="F216" i="19"/>
  <c r="P231" i="19"/>
  <c r="B232" i="19"/>
  <c r="H247" i="19"/>
  <c r="H248" i="19" s="1"/>
  <c r="F248" i="19"/>
  <c r="P263" i="19"/>
  <c r="B264" i="19"/>
  <c r="F280" i="19"/>
  <c r="P292" i="19"/>
  <c r="P318" i="19"/>
  <c r="B319" i="19"/>
  <c r="A55" i="16"/>
  <c r="A63" i="16"/>
  <c r="O103" i="19"/>
  <c r="D104" i="19"/>
  <c r="L119" i="19"/>
  <c r="O135" i="19"/>
  <c r="D136" i="19"/>
  <c r="L151" i="19"/>
  <c r="O167" i="19"/>
  <c r="D168" i="19"/>
  <c r="L183" i="19"/>
  <c r="O199" i="19"/>
  <c r="D200" i="19"/>
  <c r="L215" i="19"/>
  <c r="O231" i="19"/>
  <c r="D232" i="19"/>
  <c r="O263" i="19"/>
  <c r="O292" i="19"/>
  <c r="O318" i="19"/>
  <c r="D319" i="19"/>
  <c r="D120" i="19"/>
  <c r="L135" i="19"/>
  <c r="D152" i="19"/>
  <c r="L167" i="19"/>
  <c r="D184" i="19"/>
  <c r="L199" i="19"/>
  <c r="D216" i="19"/>
  <c r="L231" i="19"/>
  <c r="L247" i="19"/>
  <c r="H246" i="19"/>
  <c r="D264" i="19"/>
  <c r="L279" i="19"/>
  <c r="D293" i="19"/>
  <c r="L305" i="19"/>
  <c r="H119" i="19"/>
  <c r="H120" i="19" s="1"/>
  <c r="H151" i="19"/>
  <c r="H152" i="19" s="1"/>
  <c r="H231" i="19"/>
  <c r="H232" i="19" s="1"/>
  <c r="H279" i="19"/>
  <c r="H280" i="19" s="1"/>
  <c r="B293" i="19"/>
  <c r="H305" i="19"/>
  <c r="H306" i="19" s="1"/>
  <c r="F306" i="19"/>
  <c r="L318" i="19"/>
  <c r="K8" i="26"/>
  <c r="H317" i="19"/>
  <c r="L317" i="19"/>
  <c r="H304" i="19"/>
  <c r="L304" i="19"/>
  <c r="H291" i="19"/>
  <c r="L291" i="19"/>
  <c r="H278" i="19"/>
  <c r="L278" i="19"/>
  <c r="H262" i="19"/>
  <c r="L262" i="19"/>
  <c r="L246" i="19"/>
  <c r="H230" i="19"/>
  <c r="L230" i="19"/>
  <c r="H214" i="19"/>
  <c r="L214" i="19"/>
  <c r="H198" i="19"/>
  <c r="L198" i="19"/>
  <c r="H182" i="19"/>
  <c r="L182" i="19"/>
  <c r="H166" i="19"/>
  <c r="L166" i="19"/>
  <c r="H150" i="19"/>
  <c r="L150" i="19"/>
  <c r="H134" i="19"/>
  <c r="L134" i="19"/>
  <c r="H118" i="19"/>
  <c r="L118" i="19"/>
  <c r="H102" i="19"/>
  <c r="L102" i="19"/>
  <c r="A64" i="16" l="1"/>
  <c r="A72" i="16"/>
  <c r="A73" i="16" l="1"/>
  <c r="A81" i="16"/>
  <c r="B26" i="15"/>
  <c r="F9" i="9"/>
  <c r="B7" i="11"/>
  <c r="F12" i="8" l="1"/>
  <c r="A82" i="16"/>
  <c r="A90" i="16"/>
  <c r="A91" i="16" s="1"/>
  <c r="F16" i="9"/>
  <c r="H22" i="14" l="1"/>
  <c r="H15" i="19"/>
  <c r="N87" i="19" l="1"/>
  <c r="M87" i="19"/>
  <c r="K87" i="19"/>
  <c r="J87" i="19"/>
  <c r="I87" i="19"/>
  <c r="F87" i="19"/>
  <c r="D87" i="19"/>
  <c r="B87" i="19"/>
  <c r="P86" i="19"/>
  <c r="O86" i="19"/>
  <c r="N86" i="19"/>
  <c r="M86" i="19"/>
  <c r="K86" i="19"/>
  <c r="J86" i="19"/>
  <c r="I86" i="19"/>
  <c r="F86" i="19"/>
  <c r="D86" i="19"/>
  <c r="B86" i="19"/>
  <c r="L85" i="19"/>
  <c r="H85" i="19"/>
  <c r="L84" i="19"/>
  <c r="H84" i="19"/>
  <c r="L83" i="19"/>
  <c r="H83" i="19"/>
  <c r="L82" i="19"/>
  <c r="H82" i="19"/>
  <c r="L81" i="19"/>
  <c r="H81" i="19"/>
  <c r="L77" i="19"/>
  <c r="H77" i="19"/>
  <c r="N71" i="19"/>
  <c r="M71" i="19"/>
  <c r="K71" i="19"/>
  <c r="J71" i="19"/>
  <c r="I71" i="19"/>
  <c r="F71" i="19"/>
  <c r="D71" i="19"/>
  <c r="B71" i="19"/>
  <c r="P70" i="19"/>
  <c r="O70" i="19"/>
  <c r="N70" i="19"/>
  <c r="M70" i="19"/>
  <c r="K70" i="19"/>
  <c r="J70" i="19"/>
  <c r="I70" i="19"/>
  <c r="F70" i="19"/>
  <c r="D70" i="19"/>
  <c r="B70" i="19"/>
  <c r="L69" i="19"/>
  <c r="H69" i="19"/>
  <c r="L68" i="19"/>
  <c r="H68" i="19"/>
  <c r="L67" i="19"/>
  <c r="H67" i="19"/>
  <c r="L66" i="19"/>
  <c r="H66" i="19"/>
  <c r="L65" i="19"/>
  <c r="H65" i="19"/>
  <c r="L61" i="19"/>
  <c r="H61" i="19"/>
  <c r="N55" i="19"/>
  <c r="M55" i="19"/>
  <c r="K55" i="19"/>
  <c r="J55" i="19"/>
  <c r="I55" i="19"/>
  <c r="F55" i="19"/>
  <c r="D55" i="19"/>
  <c r="B55" i="19"/>
  <c r="P54" i="19"/>
  <c r="O54" i="19"/>
  <c r="N54" i="19"/>
  <c r="M54" i="19"/>
  <c r="K54" i="19"/>
  <c r="J54" i="19"/>
  <c r="I54" i="19"/>
  <c r="F54" i="19"/>
  <c r="D54" i="19"/>
  <c r="B54" i="19"/>
  <c r="L53" i="19"/>
  <c r="H53" i="19"/>
  <c r="L52" i="19"/>
  <c r="H52" i="19"/>
  <c r="L51" i="19"/>
  <c r="H51" i="19"/>
  <c r="L50" i="19"/>
  <c r="H50" i="19"/>
  <c r="L46" i="19"/>
  <c r="H46" i="19"/>
  <c r="L45" i="19"/>
  <c r="H45" i="19"/>
  <c r="N39" i="19"/>
  <c r="M39" i="19"/>
  <c r="K39" i="19"/>
  <c r="J39" i="19"/>
  <c r="I39" i="19"/>
  <c r="F39" i="19"/>
  <c r="D39" i="19"/>
  <c r="B39" i="19"/>
  <c r="P38" i="19"/>
  <c r="O38" i="19"/>
  <c r="N38" i="19"/>
  <c r="M38" i="19"/>
  <c r="K38" i="19"/>
  <c r="J38" i="19"/>
  <c r="I38" i="19"/>
  <c r="F38" i="19"/>
  <c r="D38" i="19"/>
  <c r="B38" i="19"/>
  <c r="L37" i="19"/>
  <c r="H37" i="19"/>
  <c r="L36" i="19"/>
  <c r="H36" i="19"/>
  <c r="L35" i="19"/>
  <c r="H35" i="19"/>
  <c r="L31" i="19"/>
  <c r="H31" i="19"/>
  <c r="L30" i="19"/>
  <c r="H30" i="19"/>
  <c r="L29" i="19"/>
  <c r="H29" i="19"/>
  <c r="I23" i="19"/>
  <c r="I22" i="19"/>
  <c r="O87" i="19" l="1"/>
  <c r="P87" i="19"/>
  <c r="L55" i="19"/>
  <c r="L71" i="19"/>
  <c r="L86" i="19"/>
  <c r="D88" i="19"/>
  <c r="P55" i="19"/>
  <c r="D56" i="19"/>
  <c r="F56" i="19"/>
  <c r="B56" i="19"/>
  <c r="H38" i="19"/>
  <c r="B88" i="19"/>
  <c r="P39" i="19"/>
  <c r="B40" i="19"/>
  <c r="H55" i="19"/>
  <c r="H56" i="19" s="1"/>
  <c r="P71" i="19"/>
  <c r="B72" i="19"/>
  <c r="H86" i="19"/>
  <c r="L39" i="19"/>
  <c r="O39" i="19"/>
  <c r="D40" i="19"/>
  <c r="L87" i="19"/>
  <c r="H39" i="19"/>
  <c r="H40" i="19" s="1"/>
  <c r="H71" i="19"/>
  <c r="H72" i="19" s="1"/>
  <c r="F72" i="19"/>
  <c r="H87" i="19"/>
  <c r="H88" i="19" s="1"/>
  <c r="O55" i="19"/>
  <c r="F40" i="19"/>
  <c r="O71" i="19"/>
  <c r="D72" i="19"/>
  <c r="F88" i="19"/>
  <c r="H70" i="19"/>
  <c r="L70" i="19"/>
  <c r="H54" i="19"/>
  <c r="L54" i="19"/>
  <c r="L38" i="19"/>
  <c r="H42" i="14"/>
  <c r="G97" i="14"/>
  <c r="D97" i="14"/>
  <c r="C97" i="14"/>
  <c r="L91" i="14"/>
  <c r="H91" i="14"/>
  <c r="L90" i="14"/>
  <c r="H90" i="14"/>
  <c r="L89" i="14"/>
  <c r="H89" i="14"/>
  <c r="L88" i="14"/>
  <c r="H88" i="14"/>
  <c r="L87" i="14"/>
  <c r="H87" i="14"/>
  <c r="L86" i="14"/>
  <c r="H86" i="14"/>
  <c r="L75" i="14"/>
  <c r="H75" i="14"/>
  <c r="L74" i="14"/>
  <c r="H74" i="14"/>
  <c r="L73" i="14"/>
  <c r="H73" i="14"/>
  <c r="L72" i="14"/>
  <c r="H72" i="14"/>
  <c r="L71" i="14"/>
  <c r="H71" i="14"/>
  <c r="L70" i="14"/>
  <c r="H70" i="14"/>
  <c r="G65" i="14"/>
  <c r="D65" i="14"/>
  <c r="C65" i="14"/>
  <c r="B65" i="14"/>
  <c r="L59" i="14"/>
  <c r="H59" i="14"/>
  <c r="L58" i="14"/>
  <c r="H58" i="14"/>
  <c r="L57" i="14"/>
  <c r="H57" i="14"/>
  <c r="L56" i="14"/>
  <c r="H56" i="14"/>
  <c r="L55" i="14"/>
  <c r="H55" i="14"/>
  <c r="L54" i="14"/>
  <c r="H54" i="14"/>
  <c r="L43" i="14"/>
  <c r="H43" i="14"/>
  <c r="L42" i="14"/>
  <c r="L41" i="14"/>
  <c r="H41" i="14"/>
  <c r="L40" i="14"/>
  <c r="H40" i="14"/>
  <c r="L39" i="14"/>
  <c r="H39" i="14"/>
  <c r="L38" i="14"/>
  <c r="H38" i="14"/>
  <c r="H64" i="14" l="1"/>
  <c r="H63" i="14"/>
  <c r="H95" i="14"/>
  <c r="H96" i="14"/>
  <c r="H97" i="14" s="1"/>
  <c r="L63" i="14"/>
  <c r="L64" i="14"/>
  <c r="L79" i="14"/>
  <c r="L80" i="14"/>
  <c r="L95" i="14"/>
  <c r="L96" i="14"/>
  <c r="H48" i="14"/>
  <c r="H49" i="14" s="1"/>
  <c r="H47" i="14"/>
  <c r="H80" i="14"/>
  <c r="H81" i="14" s="1"/>
  <c r="H79" i="14"/>
  <c r="L47" i="14"/>
  <c r="L48" i="14"/>
  <c r="E49" i="14"/>
  <c r="F65" i="14"/>
  <c r="B97" i="14"/>
  <c r="F97" i="14"/>
  <c r="E65" i="14"/>
  <c r="B81" i="14"/>
  <c r="H65" i="14"/>
  <c r="E81" i="14"/>
  <c r="E97" i="14"/>
  <c r="B49" i="14"/>
  <c r="F49" i="14"/>
  <c r="C49" i="14"/>
  <c r="G49" i="14"/>
  <c r="C81" i="14"/>
  <c r="G81" i="14"/>
  <c r="D49" i="14"/>
  <c r="D81" i="14"/>
  <c r="F81" i="14"/>
  <c r="D20" i="11" l="1"/>
  <c r="E20" i="11"/>
  <c r="D21" i="11"/>
  <c r="E21" i="11"/>
  <c r="E19" i="11"/>
  <c r="D19" i="11"/>
  <c r="E18" i="11"/>
  <c r="D18" i="11"/>
  <c r="D19" i="2"/>
  <c r="E19" i="2"/>
  <c r="D20" i="2"/>
  <c r="E20" i="2"/>
  <c r="E18" i="2"/>
  <c r="D18" i="2"/>
  <c r="E17" i="2"/>
  <c r="D17" i="2"/>
  <c r="D19" i="8"/>
  <c r="E13" i="11"/>
  <c r="D13" i="11"/>
  <c r="E12" i="2"/>
  <c r="D12" i="2"/>
  <c r="B27" i="15"/>
  <c r="D4" i="14"/>
  <c r="C4" i="13"/>
  <c r="C3" i="13"/>
  <c r="C2" i="13"/>
  <c r="B4" i="6"/>
  <c r="B3" i="6"/>
  <c r="B2" i="6"/>
  <c r="B4" i="5"/>
  <c r="B3" i="5"/>
  <c r="B2" i="5"/>
  <c r="B4" i="3"/>
  <c r="B3" i="3"/>
  <c r="B2" i="3"/>
  <c r="B4" i="12"/>
  <c r="B3" i="12"/>
  <c r="B2" i="12"/>
  <c r="B4" i="11"/>
  <c r="B3" i="11"/>
  <c r="B2" i="11"/>
  <c r="B4" i="9"/>
  <c r="B3" i="9"/>
  <c r="B2" i="9"/>
  <c r="B4" i="2"/>
  <c r="B3" i="2"/>
  <c r="B2" i="2"/>
  <c r="E19" i="8" l="1"/>
  <c r="F15" i="8" s="1"/>
  <c r="D5" i="14"/>
  <c r="B12" i="5"/>
  <c r="B30" i="8"/>
  <c r="C19" i="13"/>
  <c r="B13" i="3"/>
  <c r="B33" i="11"/>
  <c r="B21" i="9"/>
  <c r="F13" i="11"/>
  <c r="B31" i="2"/>
  <c r="B28" i="15"/>
  <c r="F12" i="2"/>
  <c r="F17" i="2"/>
  <c r="F18" i="11"/>
  <c r="F24" i="8" l="1"/>
  <c r="F23" i="8"/>
  <c r="F25" i="2"/>
  <c r="F24" i="2"/>
  <c r="F23" i="2"/>
  <c r="F13" i="9"/>
  <c r="F14" i="9"/>
  <c r="F12" i="9"/>
  <c r="B8" i="11"/>
  <c r="F26" i="11"/>
  <c r="F25" i="11"/>
  <c r="F24" i="11"/>
  <c r="B25" i="8" l="1"/>
  <c r="B27" i="8" s="1"/>
  <c r="B28" i="8" s="1"/>
  <c r="B26" i="2"/>
  <c r="B15" i="9"/>
  <c r="B18" i="9" s="1"/>
  <c r="B19" i="9" l="1"/>
  <c r="B14" i="11"/>
  <c r="B15" i="11" l="1"/>
  <c r="N23" i="19" l="1"/>
  <c r="M23" i="19"/>
  <c r="K23" i="19"/>
  <c r="J23" i="19"/>
  <c r="F23" i="19"/>
  <c r="F24" i="19" s="1"/>
  <c r="D23" i="19"/>
  <c r="D24" i="19" s="1"/>
  <c r="B23" i="19"/>
  <c r="B24" i="19" s="1"/>
  <c r="P22" i="19"/>
  <c r="K6" i="19" s="1"/>
  <c r="O22" i="19"/>
  <c r="K7" i="19" s="1"/>
  <c r="N22" i="19"/>
  <c r="M22" i="19"/>
  <c r="K22" i="19"/>
  <c r="G2" i="19"/>
  <c r="G4" i="19" s="1"/>
  <c r="L21" i="19"/>
  <c r="H21" i="19"/>
  <c r="L20" i="19"/>
  <c r="H20" i="19"/>
  <c r="L16" i="19"/>
  <c r="H16" i="19"/>
  <c r="L15" i="19"/>
  <c r="L14" i="19"/>
  <c r="H14" i="19"/>
  <c r="L13" i="19"/>
  <c r="H13" i="19"/>
  <c r="F52" i="21"/>
  <c r="L23" i="19" l="1"/>
  <c r="O23" i="19"/>
  <c r="G7" i="19"/>
  <c r="J52" i="21"/>
  <c r="B6" i="5"/>
  <c r="B14" i="5" s="1"/>
  <c r="B15" i="5" s="1"/>
  <c r="B16" i="5" s="1"/>
  <c r="C39" i="17" s="1"/>
  <c r="B7" i="6"/>
  <c r="B7" i="3"/>
  <c r="B12" i="3" s="1"/>
  <c r="B14" i="3" s="1"/>
  <c r="B15" i="3" s="1"/>
  <c r="C37" i="17" s="1"/>
  <c r="C9" i="13"/>
  <c r="C18" i="13" s="1"/>
  <c r="B9" i="8"/>
  <c r="B31" i="8" s="1"/>
  <c r="B10" i="11"/>
  <c r="B32" i="11" s="1"/>
  <c r="B6" i="9"/>
  <c r="B20" i="9" s="1"/>
  <c r="B22" i="9" s="1"/>
  <c r="B23" i="9" s="1"/>
  <c r="C30" i="17" s="1"/>
  <c r="B9" i="2"/>
  <c r="B30" i="2" s="1"/>
  <c r="G6" i="19"/>
  <c r="N6" i="19" s="1"/>
  <c r="P23" i="19"/>
  <c r="L22" i="19"/>
  <c r="K8" i="19"/>
  <c r="H23" i="19"/>
  <c r="H22" i="19"/>
  <c r="C24" i="17" l="1"/>
  <c r="B33" i="8"/>
  <c r="B12" i="6"/>
  <c r="B13" i="6" s="1"/>
  <c r="B14" i="6" s="1"/>
  <c r="B15" i="6" s="1"/>
  <c r="B17" i="5"/>
  <c r="H24" i="19"/>
  <c r="B7" i="17" s="1"/>
  <c r="G8" i="19"/>
  <c r="N8" i="19" s="1"/>
  <c r="N7" i="19"/>
  <c r="B8" i="12"/>
  <c r="B9" i="12"/>
  <c r="B10" i="12" l="1"/>
  <c r="B11" i="12" s="1"/>
  <c r="C34" i="17" l="1"/>
  <c r="B12" i="12"/>
  <c r="C35" i="17" s="1"/>
  <c r="B5" i="15"/>
  <c r="B12" i="15"/>
  <c r="B13" i="15" s="1"/>
  <c r="C48" i="17" s="1"/>
  <c r="C33" i="14"/>
  <c r="D33" i="14"/>
  <c r="E33" i="14"/>
  <c r="F33" i="14"/>
  <c r="G33" i="14"/>
  <c r="B14" i="15" l="1"/>
  <c r="C49" i="17" s="1"/>
  <c r="D6" i="14"/>
  <c r="D7" i="14" s="1"/>
  <c r="L25" i="14"/>
  <c r="H25" i="14"/>
  <c r="L24" i="14"/>
  <c r="H24" i="14"/>
  <c r="L23" i="14"/>
  <c r="H23" i="14"/>
  <c r="B33" i="14"/>
  <c r="J15" i="14"/>
  <c r="J16" i="14"/>
  <c r="L27" i="14"/>
  <c r="H27" i="14"/>
  <c r="L26" i="14"/>
  <c r="H26" i="14"/>
  <c r="L22" i="14"/>
  <c r="L31" i="14" l="1"/>
  <c r="L32" i="14"/>
  <c r="H31" i="14"/>
  <c r="H32" i="14"/>
  <c r="J17" i="14"/>
  <c r="G15" i="14"/>
  <c r="M15" i="14" s="1"/>
  <c r="G16" i="14"/>
  <c r="M16" i="14" s="1"/>
  <c r="G17" i="14" l="1"/>
  <c r="M17" i="14" s="1"/>
  <c r="H33" i="14"/>
  <c r="D8" i="14" s="1"/>
  <c r="D9" i="14" s="1"/>
  <c r="K41" i="16"/>
  <c r="N41" i="16" s="1"/>
  <c r="K40" i="16"/>
  <c r="N40" i="16" s="1"/>
  <c r="K32" i="16"/>
  <c r="N32" i="16" s="1"/>
  <c r="K31" i="16"/>
  <c r="N31" i="16" s="1"/>
  <c r="K23" i="16"/>
  <c r="N23" i="16" s="1"/>
  <c r="K22" i="16"/>
  <c r="N22" i="16" s="1"/>
  <c r="K14" i="16"/>
  <c r="N14" i="16" s="1"/>
  <c r="K13" i="16"/>
  <c r="N13" i="16" s="1"/>
  <c r="N167" i="13"/>
  <c r="N166" i="13"/>
  <c r="N165" i="13"/>
  <c r="N164" i="13"/>
  <c r="N163" i="13"/>
  <c r="N162" i="13"/>
  <c r="N161" i="13"/>
  <c r="N160" i="13"/>
  <c r="N159" i="13"/>
  <c r="N158" i="13"/>
  <c r="N157" i="13"/>
  <c r="N156" i="13"/>
  <c r="N155" i="13"/>
  <c r="N154" i="13"/>
  <c r="N153" i="13"/>
  <c r="N152" i="13"/>
  <c r="N151" i="13"/>
  <c r="N150" i="13"/>
  <c r="N149" i="13"/>
  <c r="N148" i="13"/>
  <c r="N147" i="13"/>
  <c r="N146" i="13"/>
  <c r="N145" i="13"/>
  <c r="N144" i="13"/>
  <c r="N143" i="13"/>
  <c r="N142" i="13"/>
  <c r="N141" i="13"/>
  <c r="N140" i="13"/>
  <c r="N139" i="13"/>
  <c r="N138" i="13"/>
  <c r="N137" i="13"/>
  <c r="N136" i="13"/>
  <c r="N135" i="13"/>
  <c r="N134" i="13"/>
  <c r="N133" i="13"/>
  <c r="N132" i="13"/>
  <c r="N131" i="13"/>
  <c r="N130" i="13"/>
  <c r="N129" i="13"/>
  <c r="N128" i="13"/>
  <c r="N127" i="13"/>
  <c r="N126" i="13"/>
  <c r="N125" i="13"/>
  <c r="N124" i="13"/>
  <c r="N123" i="13"/>
  <c r="N122" i="13"/>
  <c r="N121" i="13"/>
  <c r="N120" i="13"/>
  <c r="N119" i="13"/>
  <c r="N118" i="13"/>
  <c r="N117" i="13"/>
  <c r="N116" i="13"/>
  <c r="N115" i="13"/>
  <c r="N114" i="13"/>
  <c r="N113" i="13"/>
  <c r="N112" i="13"/>
  <c r="N111" i="13"/>
  <c r="N110" i="13"/>
  <c r="N109" i="13"/>
  <c r="N108" i="13"/>
  <c r="N107" i="13"/>
  <c r="N106" i="13"/>
  <c r="N105" i="13"/>
  <c r="N104" i="13"/>
  <c r="N103" i="13"/>
  <c r="N102" i="13"/>
  <c r="N101" i="13"/>
  <c r="N100" i="13"/>
  <c r="N99" i="13"/>
  <c r="N98" i="13"/>
  <c r="N97" i="13"/>
  <c r="N96" i="13"/>
  <c r="N95" i="13"/>
  <c r="N94" i="13"/>
  <c r="N93" i="13"/>
  <c r="N92" i="13"/>
  <c r="N91" i="13"/>
  <c r="N90" i="13"/>
  <c r="N89" i="13"/>
  <c r="N88" i="13"/>
  <c r="N87" i="13"/>
  <c r="N86" i="13"/>
  <c r="N85" i="13"/>
  <c r="N84" i="13"/>
  <c r="N83" i="13"/>
  <c r="N82" i="13"/>
  <c r="N81" i="13"/>
  <c r="N80" i="13"/>
  <c r="N79" i="13"/>
  <c r="N78" i="13"/>
  <c r="N77" i="13"/>
  <c r="N76" i="13"/>
  <c r="N75" i="13"/>
  <c r="N74" i="13"/>
  <c r="N73" i="13"/>
  <c r="N72" i="13"/>
  <c r="N71" i="13"/>
  <c r="N70" i="13"/>
  <c r="N69" i="13"/>
  <c r="N68" i="13"/>
  <c r="N67" i="13"/>
  <c r="N66" i="13"/>
  <c r="N65" i="13"/>
  <c r="N64" i="13"/>
  <c r="N63" i="13"/>
  <c r="N62" i="13"/>
  <c r="N61" i="13"/>
  <c r="N60" i="13"/>
  <c r="N59" i="13"/>
  <c r="N58" i="13"/>
  <c r="N57" i="13"/>
  <c r="N56" i="13"/>
  <c r="N55" i="13"/>
  <c r="N54" i="13"/>
  <c r="N53" i="13"/>
  <c r="N52" i="13"/>
  <c r="N51" i="13"/>
  <c r="N50" i="13"/>
  <c r="N49" i="13"/>
  <c r="N48" i="13"/>
  <c r="N47" i="13"/>
  <c r="N46" i="13"/>
  <c r="N45" i="13"/>
  <c r="N44" i="13"/>
  <c r="R43" i="13"/>
  <c r="N43" i="13"/>
  <c r="N42" i="13"/>
  <c r="N41" i="13"/>
  <c r="N40" i="13"/>
  <c r="N39" i="13"/>
  <c r="N38" i="13"/>
  <c r="N37" i="13"/>
  <c r="N36" i="13"/>
  <c r="N35" i="13"/>
  <c r="N34" i="13"/>
  <c r="N33" i="13"/>
  <c r="N32" i="13"/>
  <c r="N31" i="13"/>
  <c r="N30" i="13"/>
  <c r="N29" i="13"/>
  <c r="N28" i="13"/>
  <c r="N27" i="13"/>
  <c r="N26" i="13"/>
  <c r="N25" i="13"/>
  <c r="N24" i="13"/>
  <c r="N23" i="13"/>
  <c r="N22" i="13"/>
  <c r="N21" i="13"/>
  <c r="N20" i="13"/>
  <c r="N19" i="13"/>
  <c r="N18" i="13"/>
  <c r="N17" i="13"/>
  <c r="N16" i="13"/>
  <c r="N15" i="13"/>
  <c r="N14" i="13"/>
  <c r="N13" i="13"/>
  <c r="N12" i="13"/>
  <c r="N11" i="13"/>
  <c r="N10" i="13"/>
  <c r="N9" i="13"/>
  <c r="N8" i="13"/>
  <c r="N7" i="13"/>
  <c r="N6" i="13"/>
  <c r="N5" i="13"/>
  <c r="N4" i="13"/>
  <c r="N3" i="13"/>
  <c r="C7" i="13"/>
  <c r="D10" i="14" l="1"/>
  <c r="D11" i="14" s="1"/>
  <c r="D12" i="14" s="1"/>
  <c r="C46" i="17" s="1"/>
  <c r="C16" i="13"/>
  <c r="C17" i="13" s="1"/>
  <c r="C20" i="13" s="1"/>
  <c r="C21" i="13" s="1"/>
  <c r="C43" i="17" s="1"/>
  <c r="M38" i="2"/>
  <c r="M39" i="2"/>
  <c r="M40" i="2"/>
  <c r="C45" i="17" l="1"/>
  <c r="D13" i="14"/>
  <c r="Q13" i="14" s="1"/>
  <c r="H28" i="8"/>
  <c r="K28" i="8"/>
  <c r="H29" i="8"/>
  <c r="K29" i="8"/>
  <c r="H30" i="8"/>
  <c r="K30" i="8"/>
  <c r="H31" i="8"/>
  <c r="K31" i="8"/>
  <c r="H32" i="8"/>
  <c r="K32" i="8"/>
  <c r="H34" i="8"/>
  <c r="K34" i="8"/>
  <c r="H35" i="8"/>
  <c r="K35" i="8"/>
  <c r="H36" i="8"/>
  <c r="K36" i="8"/>
  <c r="H37" i="8"/>
  <c r="K37" i="8"/>
  <c r="H38" i="8"/>
  <c r="K38" i="8"/>
  <c r="H39" i="8"/>
  <c r="K39" i="8"/>
  <c r="H40" i="8"/>
  <c r="K40" i="8"/>
  <c r="H41" i="8"/>
  <c r="K41" i="8"/>
  <c r="H42" i="8"/>
  <c r="K42" i="8"/>
  <c r="H43" i="8"/>
  <c r="K43" i="8"/>
  <c r="H44" i="8"/>
  <c r="K44" i="8"/>
  <c r="H45" i="8"/>
  <c r="K45" i="8"/>
  <c r="H46" i="8"/>
  <c r="K46" i="8"/>
  <c r="H47" i="8"/>
  <c r="K47" i="8"/>
  <c r="H48" i="8"/>
  <c r="K48" i="8"/>
  <c r="H49" i="8"/>
  <c r="K49" i="8"/>
  <c r="H50" i="8"/>
  <c r="K50" i="8"/>
  <c r="H51" i="8"/>
  <c r="K51" i="8"/>
  <c r="H52" i="8"/>
  <c r="K52" i="8"/>
  <c r="H53" i="8"/>
  <c r="K53" i="8"/>
  <c r="H54" i="8"/>
  <c r="K54" i="8"/>
  <c r="H55" i="8"/>
  <c r="K55" i="8"/>
  <c r="H56" i="8"/>
  <c r="K56" i="8"/>
  <c r="H57" i="8"/>
  <c r="K57" i="8"/>
  <c r="H58" i="8"/>
  <c r="K58" i="8"/>
  <c r="H59" i="8"/>
  <c r="K59" i="8"/>
  <c r="H60" i="8"/>
  <c r="K60" i="8"/>
  <c r="H61" i="8"/>
  <c r="K61" i="8"/>
  <c r="H62" i="8"/>
  <c r="K62" i="8"/>
  <c r="H63" i="8"/>
  <c r="K63" i="8"/>
  <c r="H64" i="8"/>
  <c r="K64" i="8"/>
  <c r="H65" i="8"/>
  <c r="K65" i="8"/>
  <c r="H66" i="8"/>
  <c r="K66" i="8"/>
  <c r="H67" i="8"/>
  <c r="K67" i="8"/>
  <c r="H68" i="8"/>
  <c r="K68" i="8"/>
  <c r="H69" i="8"/>
  <c r="K69" i="8"/>
  <c r="H70" i="8"/>
  <c r="K70" i="8"/>
  <c r="H71" i="8"/>
  <c r="K71" i="8"/>
  <c r="H72" i="8"/>
  <c r="K72" i="8"/>
  <c r="H73" i="8"/>
  <c r="K73" i="8"/>
  <c r="H74" i="8"/>
  <c r="K74" i="8"/>
  <c r="H75" i="8"/>
  <c r="K75" i="8"/>
  <c r="H76" i="8"/>
  <c r="K76" i="8"/>
  <c r="H77" i="8"/>
  <c r="K77" i="8"/>
  <c r="H78" i="8"/>
  <c r="K78" i="8"/>
  <c r="H79" i="8"/>
  <c r="K79" i="8"/>
  <c r="H80" i="8"/>
  <c r="K80" i="8"/>
  <c r="H81" i="8"/>
  <c r="K81" i="8"/>
  <c r="H82" i="8"/>
  <c r="K82" i="8"/>
  <c r="H83" i="8"/>
  <c r="K83" i="8"/>
  <c r="H84" i="8"/>
  <c r="K84" i="8"/>
  <c r="H85" i="8"/>
  <c r="K85" i="8"/>
  <c r="H86" i="8"/>
  <c r="K86" i="8"/>
  <c r="H87" i="8"/>
  <c r="K87" i="8"/>
  <c r="H88" i="8"/>
  <c r="K88" i="8"/>
  <c r="H89" i="8"/>
  <c r="K89" i="8"/>
  <c r="H90" i="8"/>
  <c r="K90" i="8"/>
  <c r="H91" i="8"/>
  <c r="K91" i="8"/>
  <c r="H92" i="8"/>
  <c r="K92" i="8"/>
  <c r="H93" i="8"/>
  <c r="K93" i="8"/>
  <c r="H94" i="8"/>
  <c r="K94" i="8"/>
  <c r="H95" i="8"/>
  <c r="K95" i="8"/>
  <c r="H96" i="8"/>
  <c r="K96" i="8"/>
  <c r="H97" i="8"/>
  <c r="K97" i="8"/>
  <c r="H98" i="8"/>
  <c r="K98" i="8"/>
  <c r="H99" i="8"/>
  <c r="K99" i="8"/>
  <c r="H100" i="8"/>
  <c r="K100" i="8"/>
  <c r="H101" i="8"/>
  <c r="K101" i="8"/>
  <c r="H102" i="8"/>
  <c r="K102" i="8"/>
  <c r="H103" i="8"/>
  <c r="K103" i="8"/>
  <c r="H104" i="8"/>
  <c r="K104" i="8"/>
  <c r="H105" i="8"/>
  <c r="K105" i="8"/>
  <c r="H106" i="8"/>
  <c r="K106" i="8"/>
  <c r="H107" i="8"/>
  <c r="K107" i="8"/>
  <c r="H108" i="8"/>
  <c r="K108" i="8"/>
  <c r="H109" i="8"/>
  <c r="K109" i="8"/>
  <c r="H110" i="8"/>
  <c r="K110" i="8"/>
  <c r="H111" i="8"/>
  <c r="K111" i="8"/>
  <c r="H112" i="8"/>
  <c r="K112" i="8"/>
  <c r="H113" i="8"/>
  <c r="K113" i="8"/>
  <c r="H114" i="8"/>
  <c r="K114" i="8"/>
  <c r="H115" i="8"/>
  <c r="K115" i="8"/>
  <c r="H116" i="8"/>
  <c r="K116" i="8"/>
  <c r="H117" i="8"/>
  <c r="K117" i="8"/>
  <c r="H118" i="8"/>
  <c r="K118" i="8"/>
  <c r="H119" i="8"/>
  <c r="K119" i="8"/>
  <c r="H120" i="8"/>
  <c r="K120" i="8"/>
  <c r="H121" i="8"/>
  <c r="K121" i="8"/>
  <c r="H122" i="8"/>
  <c r="K122" i="8"/>
  <c r="H123" i="8"/>
  <c r="K123" i="8"/>
  <c r="H124" i="8"/>
  <c r="K124" i="8"/>
  <c r="H125" i="8"/>
  <c r="K125" i="8"/>
  <c r="H126" i="8"/>
  <c r="K126" i="8"/>
  <c r="H127" i="8"/>
  <c r="K127" i="8"/>
  <c r="H128" i="8"/>
  <c r="K128" i="8"/>
  <c r="H129" i="8"/>
  <c r="K129" i="8"/>
  <c r="H130" i="8"/>
  <c r="K130" i="8"/>
  <c r="H131" i="8"/>
  <c r="K131" i="8"/>
  <c r="H132" i="8"/>
  <c r="K132" i="8"/>
  <c r="H133" i="8"/>
  <c r="K133" i="8"/>
  <c r="H134" i="8"/>
  <c r="K134" i="8"/>
  <c r="H135" i="8"/>
  <c r="K135" i="8"/>
  <c r="H136" i="8"/>
  <c r="K136" i="8"/>
  <c r="H137" i="8"/>
  <c r="K137" i="8"/>
  <c r="H138" i="8"/>
  <c r="K138" i="8"/>
  <c r="H139" i="8"/>
  <c r="K139" i="8"/>
  <c r="H140" i="8"/>
  <c r="K140" i="8"/>
  <c r="H141" i="8"/>
  <c r="K141" i="8"/>
  <c r="H142" i="8"/>
  <c r="K142" i="8"/>
  <c r="H143" i="8"/>
  <c r="K143" i="8"/>
  <c r="H144" i="8"/>
  <c r="K144" i="8"/>
  <c r="H145" i="8"/>
  <c r="K145" i="8"/>
  <c r="H146" i="8"/>
  <c r="K146" i="8"/>
  <c r="H147" i="8"/>
  <c r="K147" i="8"/>
  <c r="H148" i="8"/>
  <c r="K148" i="8"/>
  <c r="H149" i="8"/>
  <c r="K149" i="8"/>
  <c r="H150" i="8"/>
  <c r="K150" i="8"/>
  <c r="H151" i="8"/>
  <c r="K151" i="8"/>
  <c r="H152" i="8"/>
  <c r="K152" i="8"/>
  <c r="H153" i="8"/>
  <c r="K153" i="8"/>
  <c r="H154" i="8"/>
  <c r="K154" i="8"/>
  <c r="H155" i="8"/>
  <c r="K155" i="8"/>
  <c r="H156" i="8"/>
  <c r="K156" i="8"/>
  <c r="H157" i="8"/>
  <c r="K157" i="8"/>
  <c r="H158" i="8"/>
  <c r="K158" i="8"/>
  <c r="H159" i="8"/>
  <c r="K159" i="8"/>
  <c r="H160" i="8"/>
  <c r="K160" i="8"/>
  <c r="H161" i="8"/>
  <c r="K161" i="8"/>
  <c r="H162" i="8"/>
  <c r="K162" i="8"/>
  <c r="H163" i="8"/>
  <c r="K163" i="8"/>
  <c r="H164" i="8"/>
  <c r="K164" i="8"/>
  <c r="H165" i="8"/>
  <c r="K165" i="8"/>
  <c r="H166" i="8"/>
  <c r="K166" i="8"/>
  <c r="H167" i="8"/>
  <c r="K167" i="8"/>
  <c r="H3" i="8"/>
  <c r="H4" i="8"/>
  <c r="H5" i="8"/>
  <c r="H6" i="8"/>
  <c r="H7" i="8"/>
  <c r="H8" i="8"/>
  <c r="H9" i="8"/>
  <c r="H10" i="8"/>
  <c r="H11" i="8"/>
  <c r="H12" i="8"/>
  <c r="H13" i="8"/>
  <c r="H14" i="8"/>
  <c r="H15" i="8"/>
  <c r="H16" i="8"/>
  <c r="H17" i="8"/>
  <c r="H18" i="8"/>
  <c r="H19" i="8"/>
  <c r="H20" i="8"/>
  <c r="H21" i="8"/>
  <c r="H23" i="8"/>
  <c r="H24" i="8"/>
  <c r="H25" i="8"/>
  <c r="H26" i="8"/>
  <c r="H27" i="8"/>
  <c r="H2" i="8"/>
  <c r="K2" i="8"/>
  <c r="K3" i="8"/>
  <c r="K4" i="8"/>
  <c r="K5" i="8"/>
  <c r="K6" i="8"/>
  <c r="K7" i="8"/>
  <c r="K8" i="8"/>
  <c r="K9" i="8"/>
  <c r="K10" i="8"/>
  <c r="K11" i="8"/>
  <c r="K12" i="8"/>
  <c r="K13" i="8"/>
  <c r="K14" i="8"/>
  <c r="K15" i="8"/>
  <c r="K16" i="8"/>
  <c r="K17" i="8"/>
  <c r="K18" i="8"/>
  <c r="K19" i="8"/>
  <c r="K20" i="8"/>
  <c r="K21" i="8"/>
  <c r="K23" i="8"/>
  <c r="K24" i="8"/>
  <c r="K25" i="8"/>
  <c r="K26" i="8"/>
  <c r="K27" i="8"/>
  <c r="Q41" i="2" l="1"/>
  <c r="B7" i="8"/>
  <c r="C11" i="17" l="1"/>
  <c r="B29" i="8"/>
  <c r="B32" i="8" s="1"/>
  <c r="F27" i="11"/>
  <c r="B28" i="11" s="1"/>
  <c r="B30" i="11" s="1"/>
  <c r="B31" i="11" s="1"/>
  <c r="B34" i="11" s="1"/>
  <c r="B35" i="11" s="1"/>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B7" i="2"/>
  <c r="B13" i="2" l="1"/>
  <c r="B14" i="2" s="1"/>
  <c r="B28" i="2" s="1"/>
  <c r="C25" i="17" l="1"/>
  <c r="C26" i="17" s="1"/>
  <c r="B29" i="2"/>
  <c r="B32" i="2" l="1"/>
  <c r="B33" i="2" s="1"/>
  <c r="C28"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<sst xmlns="http://schemas.openxmlformats.org/spreadsheetml/2006/main" count="5060" uniqueCount="1121">
  <si>
    <t>Loan Amount Requested (In INR)</t>
  </si>
  <si>
    <t>Tenure</t>
  </si>
  <si>
    <t>ROI</t>
  </si>
  <si>
    <t>Tenure (Months)</t>
  </si>
  <si>
    <t>Obligation Details</t>
  </si>
  <si>
    <t>Monthly Obligations to be considered in eligibility</t>
  </si>
  <si>
    <t>Income Details</t>
  </si>
  <si>
    <t xml:space="preserve">% considered </t>
  </si>
  <si>
    <t>Frequency</t>
  </si>
  <si>
    <t>Eligibility Computation</t>
  </si>
  <si>
    <t>Appraised Obligations</t>
  </si>
  <si>
    <t>Loan Eligibility - Based on Income</t>
  </si>
  <si>
    <t>EMI</t>
  </si>
  <si>
    <t>Loan Amount</t>
  </si>
  <si>
    <t>Type of Business</t>
  </si>
  <si>
    <t>Manufacturer</t>
  </si>
  <si>
    <t>Industry + Item</t>
  </si>
  <si>
    <t>Agriculture Products Spices</t>
  </si>
  <si>
    <t>Industry Margin</t>
  </si>
  <si>
    <t>Industry</t>
  </si>
  <si>
    <t>Item</t>
  </si>
  <si>
    <t>Trader</t>
  </si>
  <si>
    <t>Service</t>
  </si>
  <si>
    <t>Agriculture Products</t>
  </si>
  <si>
    <t>Animal Products (Including animal and bird feed)</t>
  </si>
  <si>
    <t>Edible Oils</t>
  </si>
  <si>
    <t>Floricultural</t>
  </si>
  <si>
    <t>Fruit and nuts</t>
  </si>
  <si>
    <t>Poultry &amp; Meal Products</t>
  </si>
  <si>
    <t>Agri-seed</t>
  </si>
  <si>
    <t>Spices</t>
  </si>
  <si>
    <t>Starches</t>
  </si>
  <si>
    <t>Sugar</t>
  </si>
  <si>
    <t>Tea &amp; Coffee</t>
  </si>
  <si>
    <t>Tobacco Products</t>
  </si>
  <si>
    <t>Vegetables, roots and tubers</t>
  </si>
  <si>
    <t>Air-conditioners &amp; refrigerators</t>
  </si>
  <si>
    <t>Automobiles</t>
  </si>
  <si>
    <t>2 &amp; 3 Wheelers</t>
  </si>
  <si>
    <t>Automobiles ancillaries</t>
  </si>
  <si>
    <t>Cycle &amp; accessories</t>
  </si>
  <si>
    <t>Passenger &amp; commercial vehicles</t>
  </si>
  <si>
    <t>Tyres&amp; Tubes</t>
  </si>
  <si>
    <t>Professional Services</t>
  </si>
  <si>
    <t>Architectural services &amp; interior designing service</t>
  </si>
  <si>
    <t>Board line/ Multiline</t>
  </si>
  <si>
    <t>General Merchandise Stores</t>
  </si>
  <si>
    <t>Cement</t>
  </si>
  <si>
    <t>Cement Products &amp; asbestos products</t>
  </si>
  <si>
    <t>Chemicals</t>
  </si>
  <si>
    <t>Acids &amp; Salts</t>
  </si>
  <si>
    <t>Caustic Soda</t>
  </si>
  <si>
    <t>Chemicals including inorganic</t>
  </si>
  <si>
    <t>Dyes &amp; pigments</t>
  </si>
  <si>
    <t>Fertilizers</t>
  </si>
  <si>
    <t>Industrial Gases</t>
  </si>
  <si>
    <t>Pesticides</t>
  </si>
  <si>
    <t>Petrochemicals including organic</t>
  </si>
  <si>
    <t>Polymers</t>
  </si>
  <si>
    <t>Refractories</t>
  </si>
  <si>
    <t>Computers</t>
  </si>
  <si>
    <t>Computer – Education</t>
  </si>
  <si>
    <t>Computer – Software</t>
  </si>
  <si>
    <t>Computer – Electronics</t>
  </si>
  <si>
    <t>Construction</t>
  </si>
  <si>
    <t>Ceramic Tiles &amp; Sanitary ware</t>
  </si>
  <si>
    <t>Commercial Complex</t>
  </si>
  <si>
    <t>Construction (Residential)</t>
  </si>
  <si>
    <t>Construction equipment’s</t>
  </si>
  <si>
    <t>Construction (Industrial)</t>
  </si>
  <si>
    <t>Construction (Roads)</t>
  </si>
  <si>
    <t>Consumer Electronics</t>
  </si>
  <si>
    <t>Containers &amp; Packaging</t>
  </si>
  <si>
    <t>Packaging</t>
  </si>
  <si>
    <t>Durables</t>
  </si>
  <si>
    <t>Hardware, Plumbing &amp; Heating Equipment</t>
  </si>
  <si>
    <t>Electronics</t>
  </si>
  <si>
    <t>Domestic Appliances &amp; Machinery</t>
  </si>
  <si>
    <t>Entertainments &amp; Leisure</t>
  </si>
  <si>
    <t>Hotels &amp; Restaurants</t>
  </si>
  <si>
    <t>Recreation &amp; Amusement Parks</t>
  </si>
  <si>
    <t>Travel Services</t>
  </si>
  <si>
    <t>FMCG</t>
  </si>
  <si>
    <t>Food and Beverages</t>
  </si>
  <si>
    <t>Beer, Wine &amp;Distilled Alcoholic Beverages</t>
  </si>
  <si>
    <t>Processed/Packaged, foods/foods &amp; beverages products (other than poultry meat)</t>
  </si>
  <si>
    <t>Soft Drinks</t>
  </si>
  <si>
    <t>Food Processing</t>
  </si>
  <si>
    <t>Bakery products</t>
  </si>
  <si>
    <t>Food Products</t>
  </si>
  <si>
    <t>Dairy products</t>
  </si>
  <si>
    <t>Marine foods</t>
  </si>
  <si>
    <t>Milling products</t>
  </si>
  <si>
    <t>Rice</t>
  </si>
  <si>
    <t>Soya bean products</t>
  </si>
  <si>
    <t>Granite / Marbles</t>
  </si>
  <si>
    <t>Granite</t>
  </si>
  <si>
    <t>Hardware Equipment</t>
  </si>
  <si>
    <t>Office Equipment</t>
  </si>
  <si>
    <t>Healthcare</t>
  </si>
  <si>
    <t>Medical &amp; Health Services/Diagnostic center</t>
  </si>
  <si>
    <t>Medical Equipment &amp; medical supplies</t>
  </si>
  <si>
    <t>Healthcare Providers</t>
  </si>
  <si>
    <t>Diagnostic centers</t>
  </si>
  <si>
    <t>Drugs&amp;Pharmaceuticals</t>
  </si>
  <si>
    <t>Hospitals</t>
  </si>
  <si>
    <t>Household Products</t>
  </si>
  <si>
    <t>Detergents &amp; intermediates</t>
  </si>
  <si>
    <t>Electronics Equipment</t>
  </si>
  <si>
    <t>non - electrical machinery</t>
  </si>
  <si>
    <t>Personal Care</t>
  </si>
  <si>
    <t>Industrial Equipment</t>
  </si>
  <si>
    <t>Abrasives &amp; Grinding</t>
  </si>
  <si>
    <t>Bearings</t>
  </si>
  <si>
    <t>Compressors</t>
  </si>
  <si>
    <t>Electrical Equipment’s/Railway equipment</t>
  </si>
  <si>
    <t>Welding electrodes / sticks / wires / fluxes welding related only</t>
  </si>
  <si>
    <t>Engines</t>
  </si>
  <si>
    <t>Fasteners</t>
  </si>
  <si>
    <t>Industrial furnaces</t>
  </si>
  <si>
    <t>Industrial machinery (All Types)</t>
  </si>
  <si>
    <t>Machine Tools</t>
  </si>
  <si>
    <t>Motors &amp; generators</t>
  </si>
  <si>
    <t>Power transmission line services</t>
  </si>
  <si>
    <t>Pumps</t>
  </si>
  <si>
    <t>Storage batteries</t>
  </si>
  <si>
    <t>Structure’s</t>
  </si>
  <si>
    <t>Switching apparatus</t>
  </si>
  <si>
    <t>Transformers</t>
  </si>
  <si>
    <t>Jewelry</t>
  </si>
  <si>
    <t>Gems &amp;Jewelry</t>
  </si>
  <si>
    <t>Media</t>
  </si>
  <si>
    <t>Advertising</t>
  </si>
  <si>
    <t>Animation Content Provider</t>
  </si>
  <si>
    <t>Cable and other pay television services</t>
  </si>
  <si>
    <t>Printing</t>
  </si>
  <si>
    <t>Publishing</t>
  </si>
  <si>
    <t>Metals</t>
  </si>
  <si>
    <t>Aluminum&amp;Aluminum Products (Manufacturer)</t>
  </si>
  <si>
    <t>Castings &amp; forgings</t>
  </si>
  <si>
    <t>Copper &amp; copper products (other than wire)</t>
  </si>
  <si>
    <t>Ferro alloys, ferrous metals &amp; Pig iron</t>
  </si>
  <si>
    <t>Other non-metallic mineral products</t>
  </si>
  <si>
    <t>Metal Products (other than Steel, Aluminum and Copper) finished metal product only</t>
  </si>
  <si>
    <t>Metallic ores</t>
  </si>
  <si>
    <t>Other non-ferrous metals/Other non-metallic</t>
  </si>
  <si>
    <t>Rolled coils and rolled products</t>
  </si>
  <si>
    <t>Tubes and pipes</t>
  </si>
  <si>
    <t>Wires and cables</t>
  </si>
  <si>
    <t>Mining</t>
  </si>
  <si>
    <t>Coal and Lignite</t>
  </si>
  <si>
    <t>Minerals</t>
  </si>
  <si>
    <t>Minerals &amp; energy Sources</t>
  </si>
  <si>
    <t>Other Construction &amp; allied activities</t>
  </si>
  <si>
    <t>Maintenance of buildings (Facility Management)</t>
  </si>
  <si>
    <t>Other Fund based Financial Services</t>
  </si>
  <si>
    <t>Commission agents services (Only those booking commission income)</t>
  </si>
  <si>
    <t>Others</t>
  </si>
  <si>
    <t>R &amp; D</t>
  </si>
  <si>
    <t>Glass &amp; Glass Products</t>
  </si>
  <si>
    <t>Industries not classified elsewhere (Manufacturing)</t>
  </si>
  <si>
    <t>Industries not classified elsewhere (Services)</t>
  </si>
  <si>
    <t>Industries not classified elsewhere (Trading)</t>
  </si>
  <si>
    <t>Paints</t>
  </si>
  <si>
    <t>Paints &amp; Varnishes</t>
  </si>
  <si>
    <t>Paper</t>
  </si>
  <si>
    <t>Paper &amp; Paper Products</t>
  </si>
  <si>
    <t>Petroleum Products</t>
  </si>
  <si>
    <t>LRG Cylinders</t>
  </si>
  <si>
    <t>Lubricants</t>
  </si>
  <si>
    <t>Photographic &amp; Allied Products</t>
  </si>
  <si>
    <t>Plastics</t>
  </si>
  <si>
    <t>Plastics Films</t>
  </si>
  <si>
    <t>Plastics packaging goods</t>
  </si>
  <si>
    <t>Plastics tubes, Pipes, fittings &amp; sheets</t>
  </si>
  <si>
    <t>Consultants/Business Consultancy</t>
  </si>
  <si>
    <t>Education Consultancy</t>
  </si>
  <si>
    <t>Entertainment and media content provider</t>
  </si>
  <si>
    <t>Event management services</t>
  </si>
  <si>
    <t>Motion Picture production, distribution and exhibition</t>
  </si>
  <si>
    <t>Public Relations</t>
  </si>
  <si>
    <t>Real estate infrastructure services</t>
  </si>
  <si>
    <t>Technical consultancy and engineering services</t>
  </si>
  <si>
    <t>Placement &amp; HR consultancy services</t>
  </si>
  <si>
    <t>Radiobroadcasting media</t>
  </si>
  <si>
    <t>Retail trading</t>
  </si>
  <si>
    <t>Departmental stores</t>
  </si>
  <si>
    <t>Road Transport Infrastructure services</t>
  </si>
  <si>
    <t>Toll revenue</t>
  </si>
  <si>
    <t>Other motor transport services</t>
  </si>
  <si>
    <t>Rubber</t>
  </si>
  <si>
    <t>Rubber &amp; rubber products</t>
  </si>
  <si>
    <t>Services</t>
  </si>
  <si>
    <t>Renting Services</t>
  </si>
  <si>
    <t>Services - Communication</t>
  </si>
  <si>
    <t>Communication equipment (other than mobile phone wholesaler, retailer)</t>
  </si>
  <si>
    <t>Internet Services</t>
  </si>
  <si>
    <t>Other communication services (wireless services, fax services, paper services, other telephone services, other communication services)</t>
  </si>
  <si>
    <t>Software</t>
  </si>
  <si>
    <t>ITES/ Call Centers</t>
  </si>
  <si>
    <t>Specially</t>
  </si>
  <si>
    <t>Footwear</t>
  </si>
  <si>
    <t>Books, Office Suppliers &amp; Stationery</t>
  </si>
  <si>
    <t>Clock &amp; watches</t>
  </si>
  <si>
    <t>Hobby, Toys &amp; Games</t>
  </si>
  <si>
    <t>Home Furniture &amp; Finishing</t>
  </si>
  <si>
    <t>Luggage &amp; Leather Goods</t>
  </si>
  <si>
    <t>Opticians &amp; Optical instruments</t>
  </si>
  <si>
    <t>Pens and Pencils</t>
  </si>
  <si>
    <t>Sports Goods</t>
  </si>
  <si>
    <t>Wood and wood products / Sports goods</t>
  </si>
  <si>
    <t>Telecommunication services</t>
  </si>
  <si>
    <t>Cellular phone infrastructure</t>
  </si>
  <si>
    <t>Television broadcasting media</t>
  </si>
  <si>
    <t>Textiles</t>
  </si>
  <si>
    <t>Blankets &amp; Carpets</t>
  </si>
  <si>
    <t>Blended yarn</t>
  </si>
  <si>
    <t>Jute</t>
  </si>
  <si>
    <t>Readymade Garments</t>
  </si>
  <si>
    <t>Textiles - Cotton</t>
  </si>
  <si>
    <t>Textiles - Silk</t>
  </si>
  <si>
    <t>Textiles - Synthetic</t>
  </si>
  <si>
    <t>Textiles - Specialized (Other than Cotton, Jute &amp; Yarn, Silk and Synthetic)</t>
  </si>
  <si>
    <t>Woolen Textiles</t>
  </si>
  <si>
    <t>Transportation Logistics</t>
  </si>
  <si>
    <t>Cargo (Cargo Handling air &amp; water)</t>
  </si>
  <si>
    <t>Courier</t>
  </si>
  <si>
    <t>Goods Transport Services (Road)</t>
  </si>
  <si>
    <t>Passenger Transport Services (Road)</t>
  </si>
  <si>
    <t>Storage &amp; Warehousing</t>
  </si>
  <si>
    <t>Portal</t>
  </si>
  <si>
    <t>Previous Year</t>
  </si>
  <si>
    <t>Current Year</t>
  </si>
  <si>
    <t>Amount Considered</t>
  </si>
  <si>
    <t>Gross Turnover</t>
  </si>
  <si>
    <t>Income as per Gross Turnover</t>
  </si>
  <si>
    <t>Profit  Before Tax</t>
  </si>
  <si>
    <t>Depreciation</t>
  </si>
  <si>
    <t xml:space="preserve">Salary/Interest paid to partners/directors </t>
  </si>
  <si>
    <t>Interest Paid</t>
  </si>
  <si>
    <t>Rental Income</t>
  </si>
  <si>
    <t>Monthly</t>
  </si>
  <si>
    <t>Rental Income ( Unregistered)</t>
  </si>
  <si>
    <t>Interest From FD / Dividend Income</t>
  </si>
  <si>
    <t>Other Income</t>
  </si>
  <si>
    <t>Eligible Income</t>
  </si>
  <si>
    <t>Monthly Income</t>
  </si>
  <si>
    <t>Eligible Loan Amount</t>
  </si>
  <si>
    <t>Total</t>
  </si>
  <si>
    <t>Gross Receipts</t>
  </si>
  <si>
    <t>Consulting Income</t>
  </si>
  <si>
    <t>Salary Income</t>
  </si>
  <si>
    <t>Applicable Multiplier</t>
  </si>
  <si>
    <t>Loan Tenure</t>
  </si>
  <si>
    <t>Multiplier</t>
  </si>
  <si>
    <t>Cash Profit</t>
  </si>
  <si>
    <t>Profit  After Tax</t>
  </si>
  <si>
    <t>SEP-Individual</t>
  </si>
  <si>
    <t>DSCR according to Cash Profit</t>
  </si>
  <si>
    <t>DSCR according to Imputed Income</t>
  </si>
  <si>
    <t>Gross Profit</t>
  </si>
  <si>
    <t>Annual Interest Serviced</t>
  </si>
  <si>
    <t>Growth Rate (Minimum of last two year CAGR or 20%)</t>
  </si>
  <si>
    <t>Monthly Turnover</t>
  </si>
  <si>
    <t>SENP-Individual</t>
  </si>
  <si>
    <t>Entities</t>
  </si>
  <si>
    <t>Cement Cement Products &amp; asbestos products</t>
  </si>
  <si>
    <t>Agriculture Products Agriculture Products</t>
  </si>
  <si>
    <t>Agriculture Products Animal Products (Including animal and bird feed)</t>
  </si>
  <si>
    <t>Agriculture Products Edible Oils</t>
  </si>
  <si>
    <t>Agriculture Products Floricultural</t>
  </si>
  <si>
    <t>Agriculture Products Fruit and nuts</t>
  </si>
  <si>
    <t>Agriculture Products Poultry &amp; Meal Products</t>
  </si>
  <si>
    <t>Agriculture Products Agri-seed</t>
  </si>
  <si>
    <t>Agriculture Products Starches</t>
  </si>
  <si>
    <t>Agriculture Products Sugar</t>
  </si>
  <si>
    <t>Agriculture Products Tea &amp; Coffee</t>
  </si>
  <si>
    <t>Agriculture Products Tobacco Products</t>
  </si>
  <si>
    <t>Agriculture Products Vegetables, roots and tubers</t>
  </si>
  <si>
    <t>Air-conditioners &amp; refrigerators Air-conditioners &amp; refrigerators</t>
  </si>
  <si>
    <t>Automobiles 2 &amp; 3 Wheelers</t>
  </si>
  <si>
    <t>Automobiles Automobiles ancillaries</t>
  </si>
  <si>
    <t>Automobiles Cycle &amp; accessories</t>
  </si>
  <si>
    <t>Automobiles Passenger &amp; commercial vehicles</t>
  </si>
  <si>
    <t>Automobiles Tyres&amp; Tubes</t>
  </si>
  <si>
    <t>Professional Services Architectural services &amp; interior designing service</t>
  </si>
  <si>
    <t>Board line/ Multiline General Merchandise Stores</t>
  </si>
  <si>
    <t>Chemicals Acids &amp; Salts</t>
  </si>
  <si>
    <t>Chemicals Caustic Soda</t>
  </si>
  <si>
    <t>Chemicals Chemicals including inorganic</t>
  </si>
  <si>
    <t>Chemicals Dyes &amp; pigments</t>
  </si>
  <si>
    <t>Chemicals Fertilizers</t>
  </si>
  <si>
    <t>Chemicals Industrial Gases</t>
  </si>
  <si>
    <t>Chemicals Pesticides</t>
  </si>
  <si>
    <t>Chemicals Petrochemicals including organic</t>
  </si>
  <si>
    <t>Chemicals Polymers</t>
  </si>
  <si>
    <t>Chemicals Refractories</t>
  </si>
  <si>
    <t>Computers Computer – Education</t>
  </si>
  <si>
    <t>Computers Computer – Software</t>
  </si>
  <si>
    <t>Computers Computer – Electronics</t>
  </si>
  <si>
    <t>Construction Ceramic Tiles &amp; Sanitary ware</t>
  </si>
  <si>
    <t>Construction Commercial Complex</t>
  </si>
  <si>
    <t>Construction Construction (Roads)</t>
  </si>
  <si>
    <t>Containers &amp; Packaging Packaging</t>
  </si>
  <si>
    <t>Durables Hardware, Plumbing &amp; Heating Equipment</t>
  </si>
  <si>
    <t>Electronics Domestic Appliances &amp; Machinery</t>
  </si>
  <si>
    <t>Entertainments &amp; Leisure Hotels &amp; Restaurants</t>
  </si>
  <si>
    <t>Entertainments &amp; Leisure Recreation &amp; Amusement Parks</t>
  </si>
  <si>
    <t>Entertainments &amp; Leisure Travel Services</t>
  </si>
  <si>
    <t>FMCG FMCG</t>
  </si>
  <si>
    <t>Food and Beverages Beer, Wine &amp;Distilled Alcoholic Beverages</t>
  </si>
  <si>
    <t>Food and Beverages Processed/Packaged, foods/foods &amp; beverages products (other than poultry meat)</t>
  </si>
  <si>
    <t>Food and Beverages Soft Drinks</t>
  </si>
  <si>
    <t>Food Processing Bakery products</t>
  </si>
  <si>
    <t>Food Products Dairy products</t>
  </si>
  <si>
    <t>Food Products Marine foods</t>
  </si>
  <si>
    <t>Food Products Milling products</t>
  </si>
  <si>
    <t>Food Products Rice</t>
  </si>
  <si>
    <t>Food Products Soya bean products</t>
  </si>
  <si>
    <t>Granite / Marbles Granite</t>
  </si>
  <si>
    <t>Hardware Equipment Office Equipment</t>
  </si>
  <si>
    <t>Healthcare Medical &amp; Health Services/Diagnostic center</t>
  </si>
  <si>
    <t>Healthcare Medical Equipment &amp; medical supplies</t>
  </si>
  <si>
    <t>Healthcare Providers Diagnostic centers</t>
  </si>
  <si>
    <t>Healthcare Providers Drugs&amp;Pharmaceuticals</t>
  </si>
  <si>
    <t>Healthcare Providers Hospitals</t>
  </si>
  <si>
    <t>Household Products Detergents &amp; intermediates</t>
  </si>
  <si>
    <t>Household Products Electronics Equipment</t>
  </si>
  <si>
    <t>Household Products non - electrical machinery</t>
  </si>
  <si>
    <t>Household Products Personal Care</t>
  </si>
  <si>
    <t>Industrial Equipment Abrasives &amp; Grinding</t>
  </si>
  <si>
    <t>Industrial Equipment Bearings</t>
  </si>
  <si>
    <t>Industrial Equipment Compressors</t>
  </si>
  <si>
    <t>Industrial Equipment Electrical Equipment’s/Railway equipment</t>
  </si>
  <si>
    <t>Industrial Equipment Welding electrodes / sticks / wires / fluxes welding related only</t>
  </si>
  <si>
    <t>Industrial Equipment Engines</t>
  </si>
  <si>
    <t>Industrial Equipment Fasteners</t>
  </si>
  <si>
    <t>Industrial Equipment Industrial furnaces</t>
  </si>
  <si>
    <t>Industrial Equipment Industrial machinery (All Types)</t>
  </si>
  <si>
    <t>Industrial Equipment Machine Tools</t>
  </si>
  <si>
    <t>Industrial Equipment Motors &amp; generators</t>
  </si>
  <si>
    <t>Industrial Equipment Power transmission line services</t>
  </si>
  <si>
    <t>Industrial Equipment Pumps</t>
  </si>
  <si>
    <t>Industrial Equipment Storage batteries</t>
  </si>
  <si>
    <t>Industrial Equipment Structure’s</t>
  </si>
  <si>
    <t>Industrial Equipment Switching apparatus</t>
  </si>
  <si>
    <t>Industrial Equipment Transformers</t>
  </si>
  <si>
    <t>Jewelry Gems &amp;Jewelry</t>
  </si>
  <si>
    <t>Media Advertising</t>
  </si>
  <si>
    <t>Media Animation Content Provider</t>
  </si>
  <si>
    <t>Media Cable and other pay television services</t>
  </si>
  <si>
    <t>Media Printing</t>
  </si>
  <si>
    <t>Media Publishing</t>
  </si>
  <si>
    <t>Metals Aluminum&amp;Aluminum Products (Manufacturer)</t>
  </si>
  <si>
    <t>Metals Castings &amp; forgings</t>
  </si>
  <si>
    <t>Metals Copper &amp; copper products (other than wire)</t>
  </si>
  <si>
    <t>Metals Ferro alloys, ferrous metals &amp; Pig iron</t>
  </si>
  <si>
    <t>Metals Other non-metallic mineral products</t>
  </si>
  <si>
    <t>Metals Metal Products (other than Steel, Aluminum and Copper) finished metal product only</t>
  </si>
  <si>
    <t>Metals Metallic ores</t>
  </si>
  <si>
    <t>Metals Other non-ferrous metals/Other non-metallic</t>
  </si>
  <si>
    <t>Metals Rolled coils and rolled products</t>
  </si>
  <si>
    <t>Metals Tubes and pipes</t>
  </si>
  <si>
    <t>Metals Wires and cables</t>
  </si>
  <si>
    <t>Mining Coal and Lignite</t>
  </si>
  <si>
    <t>Mining Minerals</t>
  </si>
  <si>
    <t>Mining Minerals &amp; energy Sources</t>
  </si>
  <si>
    <t>Other Construction &amp; allied activities Maintenance of buildings (Facility Management)</t>
  </si>
  <si>
    <t>Other Fund based Financial Services Commission agents services (Only those booking commission income)</t>
  </si>
  <si>
    <t>Others R &amp; D</t>
  </si>
  <si>
    <t>Others Glass &amp; Glass Products</t>
  </si>
  <si>
    <t>Others Industries not classified elsewhere (Manufacturing)</t>
  </si>
  <si>
    <t>Others Industries not classified elsewhere (Services)</t>
  </si>
  <si>
    <t>Others Industries not classified elsewhere (Trading)</t>
  </si>
  <si>
    <t>Paints Paints &amp; Varnishes</t>
  </si>
  <si>
    <t>Paper Paper &amp; Paper Products</t>
  </si>
  <si>
    <t>Petroleum Products LRG Cylinders</t>
  </si>
  <si>
    <t>Petroleum Products Lubricants</t>
  </si>
  <si>
    <t>Petroleum Products Petroleum Products</t>
  </si>
  <si>
    <t>Photographic &amp; Allied Products Photographic &amp; Allied Products</t>
  </si>
  <si>
    <t>Plastics Plastics Films</t>
  </si>
  <si>
    <t>Plastics Plastics packaging goods</t>
  </si>
  <si>
    <t>Plastics Plastics tubes, Pipes, fittings &amp; sheets</t>
  </si>
  <si>
    <t>Professional Services Consultants/Business Consultancy</t>
  </si>
  <si>
    <t>Professional Services Education Consultancy</t>
  </si>
  <si>
    <t>Professional Services Entertainment and media content provider</t>
  </si>
  <si>
    <t>Professional Services Event management services</t>
  </si>
  <si>
    <t>Professional Services Motion Picture production, distribution and exhibition</t>
  </si>
  <si>
    <t>Professional Services Public Relations</t>
  </si>
  <si>
    <t>Professional Services Real estate infrastructure services</t>
  </si>
  <si>
    <t>Professional Services Technical consultancy and engineering services</t>
  </si>
  <si>
    <t>Professional Services Placement &amp; HR consultancy services</t>
  </si>
  <si>
    <t>Radiobroadcasting media Radiobroadcasting media</t>
  </si>
  <si>
    <t>Retail trading Departmental stores</t>
  </si>
  <si>
    <t>Road Transport Infrastructure services Toll revenue</t>
  </si>
  <si>
    <t>Road Transport Infrastructure services Other motor transport services</t>
  </si>
  <si>
    <t>Rubber Rubber &amp; rubber products</t>
  </si>
  <si>
    <t>Services Renting Services</t>
  </si>
  <si>
    <t>Services - Communication Communication equipment (other than mobile phone wholesaler, retailer)</t>
  </si>
  <si>
    <t>Services - Communication Internet Services</t>
  </si>
  <si>
    <t>Services - Communication Other communication services (wireless services, fax services, paper services, other telephone services, other communication services)</t>
  </si>
  <si>
    <t>Software ITES/ Call Centers</t>
  </si>
  <si>
    <t>Specially Footwear</t>
  </si>
  <si>
    <t>Specially Books, Office Suppliers &amp; Stationery</t>
  </si>
  <si>
    <t>Specially Clock &amp; watches</t>
  </si>
  <si>
    <t>Specially Hobby, Toys &amp; Games</t>
  </si>
  <si>
    <t>Specially Home Furniture &amp; Finishing</t>
  </si>
  <si>
    <t>Specially Luggage &amp; Leather Goods</t>
  </si>
  <si>
    <t>Specially Opticians &amp; Optical instruments</t>
  </si>
  <si>
    <t>Specially Pens and Pencils</t>
  </si>
  <si>
    <t>Specially Sports Goods</t>
  </si>
  <si>
    <t>Specially Wood and wood products / Sports goods</t>
  </si>
  <si>
    <t>Telecommunication services Cellular phone infrastructure</t>
  </si>
  <si>
    <t>Television broadcasting media Television broadcasting media</t>
  </si>
  <si>
    <t>Textiles Blankets &amp; Carpets</t>
  </si>
  <si>
    <t>Textiles Blended yarn</t>
  </si>
  <si>
    <t>Textiles Jute</t>
  </si>
  <si>
    <t>Textiles Readymade Garments</t>
  </si>
  <si>
    <t>Textiles Textiles - Cotton</t>
  </si>
  <si>
    <t>Textiles Textiles - Silk</t>
  </si>
  <si>
    <t>Textiles Textiles - Synthetic</t>
  </si>
  <si>
    <t>Textiles Textiles - Specialized (Other than Cotton, Jute &amp; Yarn, Silk and Synthetic)</t>
  </si>
  <si>
    <t>Textiles Woolen Textiles</t>
  </si>
  <si>
    <t>Transportation Logistics Cargo (Cargo Handling air &amp; water)</t>
  </si>
  <si>
    <t>Transportation Logistics Courier</t>
  </si>
  <si>
    <t>Transportation Logistics Goods Transport Services (Road)</t>
  </si>
  <si>
    <t>Transportation Logistics Passenger Transport Services (Road)</t>
  </si>
  <si>
    <t>Transportation Logistics Storage &amp; Warehousing</t>
  </si>
  <si>
    <t>Transportation Logistics Portal</t>
  </si>
  <si>
    <t>Construction Construction (Residential)</t>
  </si>
  <si>
    <t>Turnover Multiplier</t>
  </si>
  <si>
    <t>Income from House Property/Rental Income</t>
  </si>
  <si>
    <t>Income from other sources</t>
  </si>
  <si>
    <t>Interest from FDs/dividend from other investments</t>
  </si>
  <si>
    <t>Industrial</t>
  </si>
  <si>
    <t>Construction Construction (Industrial)</t>
  </si>
  <si>
    <t>Customer Type</t>
  </si>
  <si>
    <t>Doctor</t>
  </si>
  <si>
    <t>X-11</t>
  </si>
  <si>
    <t>X-10</t>
  </si>
  <si>
    <t>X-9</t>
  </si>
  <si>
    <t>X-8</t>
  </si>
  <si>
    <t>X-7</t>
  </si>
  <si>
    <t>X-6</t>
  </si>
  <si>
    <t>X-5</t>
  </si>
  <si>
    <t>X-4</t>
  </si>
  <si>
    <t>X-3</t>
  </si>
  <si>
    <t>X-2</t>
  </si>
  <si>
    <t>X-1</t>
  </si>
  <si>
    <t>X</t>
  </si>
  <si>
    <t>Margin</t>
  </si>
  <si>
    <t>Borrower #1</t>
  </si>
  <si>
    <t>Name of Customer</t>
  </si>
  <si>
    <t>SENP</t>
  </si>
  <si>
    <t>Date of Birth</t>
  </si>
  <si>
    <t>Current Age</t>
  </si>
  <si>
    <t>Date of Application</t>
  </si>
  <si>
    <t>Maturity Age</t>
  </si>
  <si>
    <t>CIBIL</t>
  </si>
  <si>
    <t>HEADS</t>
  </si>
  <si>
    <t>FIELDS</t>
  </si>
  <si>
    <t>VALUES</t>
  </si>
  <si>
    <t>CIBIL Date</t>
  </si>
  <si>
    <t>Credit Score</t>
  </si>
  <si>
    <t>Trans Union</t>
  </si>
  <si>
    <t>PL</t>
  </si>
  <si>
    <t>Enquiries</t>
  </si>
  <si>
    <t>PL/BL Enquiries in last 2 Months</t>
  </si>
  <si>
    <t>Borrower #2</t>
  </si>
  <si>
    <t>Borrower #4</t>
  </si>
  <si>
    <t>Borrower #5</t>
  </si>
  <si>
    <t>Borrower #3</t>
  </si>
  <si>
    <t>Basic Detail</t>
  </si>
  <si>
    <t>Income Multiplier</t>
  </si>
  <si>
    <t>DSCR</t>
  </si>
  <si>
    <t>₹ 5L to ₹ 100L</t>
  </si>
  <si>
    <t>Gross Margin</t>
  </si>
  <si>
    <t>Projected Turnover</t>
  </si>
  <si>
    <t>₹ 10L to ₹ 100L</t>
  </si>
  <si>
    <t>Repayment Surrogate</t>
  </si>
  <si>
    <t>₹ 5L to ₹ 30L</t>
  </si>
  <si>
    <t>₹ 5L to ₹ 75L</t>
  </si>
  <si>
    <t>₹ 5L to ₹ 50L</t>
  </si>
  <si>
    <t>Gross Receipt</t>
  </si>
  <si>
    <t>ITR Program</t>
  </si>
  <si>
    <t>Proposed EMI</t>
  </si>
  <si>
    <t>ABB</t>
  </si>
  <si>
    <t>BTO</t>
  </si>
  <si>
    <t>Eligibility under different programs</t>
  </si>
  <si>
    <t>Loan Amount Range</t>
  </si>
  <si>
    <t>Average Banking Program</t>
  </si>
  <si>
    <t>Bank Account #1</t>
  </si>
  <si>
    <t>Period</t>
  </si>
  <si>
    <t>Jun to Aug</t>
  </si>
  <si>
    <t>Month</t>
  </si>
  <si>
    <t>Balance / Utilization on date</t>
  </si>
  <si>
    <t>Average</t>
  </si>
  <si>
    <t>Inflows ( Credit)</t>
  </si>
  <si>
    <t>Outflows ( Debit)</t>
  </si>
  <si>
    <t>Net Flow</t>
  </si>
  <si>
    <t>I/W Return</t>
  </si>
  <si>
    <t>O/W Return</t>
  </si>
  <si>
    <t>Credit Entries</t>
  </si>
  <si>
    <t>Debit Entries</t>
  </si>
  <si>
    <t>Jun</t>
  </si>
  <si>
    <t>Jul</t>
  </si>
  <si>
    <t>Aug</t>
  </si>
  <si>
    <t xml:space="preserve">Total </t>
  </si>
  <si>
    <t>Unutilized Limit (CC/OD)</t>
  </si>
  <si>
    <t>O/w Return Ratio</t>
  </si>
  <si>
    <t>I/w Return Ratio</t>
  </si>
  <si>
    <t>Bank Account #2</t>
  </si>
  <si>
    <t>Bank Account #3</t>
  </si>
  <si>
    <t>Bank Account #4</t>
  </si>
  <si>
    <t>Bank Account #5</t>
  </si>
  <si>
    <t>Mar</t>
  </si>
  <si>
    <t>Apr</t>
  </si>
  <si>
    <t>May</t>
  </si>
  <si>
    <t>Mar to Aug</t>
  </si>
  <si>
    <t>Total Average Receipt</t>
  </si>
  <si>
    <r>
      <t xml:space="preserve">Average Credit / Proposed EMI </t>
    </r>
    <r>
      <rPr>
        <b/>
        <sz val="11"/>
        <color rgb="FFFF0000"/>
        <rFont val="Times New Roman"/>
        <family val="1"/>
      </rPr>
      <t>(Minimum 5)</t>
    </r>
  </si>
  <si>
    <t>Maximum EMI</t>
  </si>
  <si>
    <t>Maximum Loan Amount</t>
  </si>
  <si>
    <t>EMI of running Loan</t>
  </si>
  <si>
    <t>Final Loan Amount</t>
  </si>
  <si>
    <t>Loan Details</t>
  </si>
  <si>
    <t>Banking</t>
  </si>
  <si>
    <t>Turnover Details</t>
  </si>
  <si>
    <t>Receipt Details</t>
  </si>
  <si>
    <t>Sr. No.</t>
  </si>
  <si>
    <t>Financer</t>
  </si>
  <si>
    <t>Loan Type</t>
  </si>
  <si>
    <t>Date of Sanction</t>
  </si>
  <si>
    <t>Tenor</t>
  </si>
  <si>
    <t>EMI Served</t>
  </si>
  <si>
    <t>Balace EMI</t>
  </si>
  <si>
    <t>Remark</t>
  </si>
  <si>
    <t>Jan</t>
  </si>
  <si>
    <t>Jan to Mar</t>
  </si>
  <si>
    <t>Feb</t>
  </si>
  <si>
    <t>Feb to Apr</t>
  </si>
  <si>
    <t>Mar to May</t>
  </si>
  <si>
    <t>Apr to June</t>
  </si>
  <si>
    <t>May to July</t>
  </si>
  <si>
    <t>Jul to Sep</t>
  </si>
  <si>
    <t>Aug to Oct</t>
  </si>
  <si>
    <t>Sep</t>
  </si>
  <si>
    <t>Sep to Nov</t>
  </si>
  <si>
    <t>Oct</t>
  </si>
  <si>
    <t>Oct to Dec</t>
  </si>
  <si>
    <t>Nov</t>
  </si>
  <si>
    <t>Nov to Jan</t>
  </si>
  <si>
    <t>Dec</t>
  </si>
  <si>
    <t>Dec to Feb</t>
  </si>
  <si>
    <t>Total Banking Receipt</t>
  </si>
  <si>
    <t>Turnover as per Financials</t>
  </si>
  <si>
    <t>Cheque returns</t>
  </si>
  <si>
    <t>Inward</t>
  </si>
  <si>
    <t>No of cheques</t>
  </si>
  <si>
    <t>%</t>
  </si>
  <si>
    <t>Outward</t>
  </si>
  <si>
    <t>Annualy</t>
  </si>
  <si>
    <t>Turnover Based Income Details</t>
  </si>
  <si>
    <t>ProjectedTurnover</t>
  </si>
  <si>
    <t>EBITDA</t>
  </si>
  <si>
    <t>Heads</t>
  </si>
  <si>
    <t>Monthly Imputed Income</t>
  </si>
  <si>
    <t>EMI on requested Loan Amount</t>
  </si>
  <si>
    <t>Proposed EMI on Applied Amount</t>
  </si>
  <si>
    <t>Jan to Jun</t>
  </si>
  <si>
    <t>Feb to Jul</t>
  </si>
  <si>
    <t>Apr to Sep</t>
  </si>
  <si>
    <t>May to Oct</t>
  </si>
  <si>
    <t>Jun to Nov</t>
  </si>
  <si>
    <t>Jul to Dec</t>
  </si>
  <si>
    <t>Aug to Jan</t>
  </si>
  <si>
    <t>Sep to Feb</t>
  </si>
  <si>
    <t>Oct to Mar</t>
  </si>
  <si>
    <t>Nov to Apr</t>
  </si>
  <si>
    <t>Dec to May</t>
  </si>
  <si>
    <t>Source</t>
  </si>
  <si>
    <t>ABB / EMI</t>
  </si>
  <si>
    <t>Loan Parameters</t>
  </si>
  <si>
    <t>Monthly Obligation</t>
  </si>
  <si>
    <t xml:space="preserve">Gross Turnover </t>
  </si>
  <si>
    <t>Important Link / Checks</t>
  </si>
  <si>
    <t>InstaFinancials</t>
  </si>
  <si>
    <t>Zauba</t>
  </si>
  <si>
    <t>Ministry of Corporate Affairs</t>
  </si>
  <si>
    <t>Profit &amp; Loss Account</t>
  </si>
  <si>
    <t>% Growth</t>
  </si>
  <si>
    <t>Audited</t>
  </si>
  <si>
    <t>Operating Income</t>
  </si>
  <si>
    <t>Gross Sales/Receipts</t>
  </si>
  <si>
    <t>Excise Duty/ Sales Tax, Other Indirect tax</t>
  </si>
  <si>
    <t>Net Sales</t>
  </si>
  <si>
    <t>Other Income (incidental to Business/Business income)</t>
  </si>
  <si>
    <t>Total Operating Income</t>
  </si>
  <si>
    <t>Cost of Goods Sold :</t>
  </si>
  <si>
    <t>Purchases</t>
  </si>
  <si>
    <t xml:space="preserve">Direct Expenses </t>
  </si>
  <si>
    <t>Total Cost of Goods Sold</t>
  </si>
  <si>
    <t>Indirect Expenses :</t>
  </si>
  <si>
    <t>Selling, General &amp; Admin Expenses</t>
  </si>
  <si>
    <t>Miscellaneous / Deferred Revenue Expenses written off</t>
  </si>
  <si>
    <t>Total Indirect Expenses</t>
  </si>
  <si>
    <t>OPBDIT</t>
  </si>
  <si>
    <t>Depreciation and amortisation</t>
  </si>
  <si>
    <t>OPBIT</t>
  </si>
  <si>
    <t>Interest and finance charges</t>
  </si>
  <si>
    <t>OPBT</t>
  </si>
  <si>
    <t>Non Operating Income</t>
  </si>
  <si>
    <t>Non Operating Expenses</t>
  </si>
  <si>
    <t>Profit Before Tax</t>
  </si>
  <si>
    <t xml:space="preserve">Tax </t>
  </si>
  <si>
    <t>PAT</t>
  </si>
  <si>
    <t>Cash Profits</t>
  </si>
  <si>
    <t>Dividend (Inclusive of dividend Tax)</t>
  </si>
  <si>
    <t>Salary to Partner/Director</t>
  </si>
  <si>
    <t>Interest Expenses paid to partners/director</t>
  </si>
  <si>
    <t>Transfer to Reserves</t>
  </si>
  <si>
    <t>Retained Profit</t>
  </si>
  <si>
    <t>General Reserve, Share Premium Reserve and Other reserves</t>
  </si>
  <si>
    <t>Net worth</t>
  </si>
  <si>
    <t>Revaluation Reserve</t>
  </si>
  <si>
    <t>Net Intangibles (Goodwill / Patents / Trademark)</t>
  </si>
  <si>
    <t>Miscellaneous / Deferred Revenue Expenses not written off</t>
  </si>
  <si>
    <t>Tangible Networth</t>
  </si>
  <si>
    <t>Borrowings from affiliates &amp; Associates</t>
  </si>
  <si>
    <t>Long Term Borrowings from Banks &amp; NBFCs - Payable within 1 yr</t>
  </si>
  <si>
    <t>Long Term Borrowings from Banks &amp; NBFCs - Payable beyond 1 yr</t>
  </si>
  <si>
    <t>Other Long term borrowings</t>
  </si>
  <si>
    <t>Total Long Term Debt</t>
  </si>
  <si>
    <t xml:space="preserve"> Short Term Borrowings from Affiliates &amp; Associates</t>
  </si>
  <si>
    <t>Creditors and Bills Payable</t>
  </si>
  <si>
    <t>Working Capital Limit from Banks</t>
  </si>
  <si>
    <t>Provision for Taxation</t>
  </si>
  <si>
    <t>Other Short Term Borrowings</t>
  </si>
  <si>
    <t>Total Current Liabilities</t>
  </si>
  <si>
    <t>Total Liabilities to Outsiders</t>
  </si>
  <si>
    <t>Gross Block of Fixed Assets</t>
  </si>
  <si>
    <t>Less: Depreciation</t>
  </si>
  <si>
    <t>Net Block of Fixed Assets</t>
  </si>
  <si>
    <t>Capital Work In Progress</t>
  </si>
  <si>
    <t>Miscellaneous/Deferred Revenue Expenditure not Written off</t>
  </si>
  <si>
    <t>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</si>
  <si>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</si>
  <si>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</si>
  <si>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</si>
  <si>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</si>
  <si>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</si>
  <si>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</si>
  <si>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</si>
  <si>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</si>
  <si>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</si>
  <si>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</si>
  <si>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TOL/TNW</t>
  </si>
  <si>
    <t>ROCE(%)</t>
  </si>
  <si>
    <t>EBIDTA / Net Sales(%)</t>
  </si>
  <si>
    <t>Asset Turnover Ratio</t>
  </si>
  <si>
    <t>Creditors Turnover (Days)</t>
  </si>
  <si>
    <t>Net Working Capital</t>
  </si>
  <si>
    <t>Avg  Collection Period / Avg Debtor days</t>
  </si>
  <si>
    <t>Average Days in Inventory</t>
  </si>
  <si>
    <t>Inventory to Cost of Goods Sold</t>
  </si>
  <si>
    <t>Current Ratio</t>
  </si>
  <si>
    <t>Liquidity Ratio</t>
  </si>
  <si>
    <t>Gross Profit Margin Ratio (%)</t>
  </si>
  <si>
    <t>Net Profit Margin Ratio (%)</t>
  </si>
  <si>
    <t>Cash Profit Ratio (%)</t>
  </si>
  <si>
    <t>Growth in Sales (%)</t>
  </si>
  <si>
    <t>Growth in PAT (%)</t>
  </si>
  <si>
    <t>Cash Accruals</t>
  </si>
  <si>
    <t>Net Profit After Tax</t>
  </si>
  <si>
    <t>Misc expenses written off/non cash expenses</t>
  </si>
  <si>
    <t>Salary paid to promoter/partners</t>
  </si>
  <si>
    <t>Interest paid to promoters</t>
  </si>
  <si>
    <t>Provision for tax</t>
  </si>
  <si>
    <t>Interest</t>
  </si>
  <si>
    <t>Trade and other receivables</t>
  </si>
  <si>
    <t>Other current liabilities</t>
  </si>
  <si>
    <t>Cash Generated from operations</t>
  </si>
  <si>
    <t>Less: Taxes paid</t>
  </si>
  <si>
    <t>Net Cash from Operations</t>
  </si>
  <si>
    <t>Groos Profit Based Income Details</t>
  </si>
  <si>
    <t>Limit (CC/OD)</t>
  </si>
  <si>
    <t>Observation Sheet</t>
  </si>
  <si>
    <t>No of entries</t>
  </si>
  <si>
    <t>Share Holding Pattern</t>
  </si>
  <si>
    <t>Part of Loan Structure</t>
  </si>
  <si>
    <t>TOTAL</t>
  </si>
  <si>
    <t>Inward (Debit)</t>
  </si>
  <si>
    <t>Outward (Credit)</t>
  </si>
  <si>
    <t>A/C Number</t>
  </si>
  <si>
    <t>A/C name / Type</t>
  </si>
  <si>
    <t>Bank Name</t>
  </si>
  <si>
    <t>Personal Loan</t>
  </si>
  <si>
    <t>Business Loan</t>
  </si>
  <si>
    <t>Auto Loan</t>
  </si>
  <si>
    <t>Home Loan</t>
  </si>
  <si>
    <t>Consumer Loan</t>
  </si>
  <si>
    <t>Gold Loan</t>
  </si>
  <si>
    <t>Two-Wheeler Loan</t>
  </si>
  <si>
    <t>LAP</t>
  </si>
  <si>
    <t>Commercial Vehicle Loan</t>
  </si>
  <si>
    <t>Construction Equipment Loan</t>
  </si>
  <si>
    <t>Term Loan</t>
  </si>
  <si>
    <t>Overdraft</t>
  </si>
  <si>
    <t>Cash Credit</t>
  </si>
  <si>
    <t>Other</t>
  </si>
  <si>
    <t>Number of EMI's Under Structure 1</t>
  </si>
  <si>
    <t>EMI under Structure 1</t>
  </si>
  <si>
    <t>Number of EMI's Under Structure 2</t>
  </si>
  <si>
    <t>EMI under Structure 2</t>
  </si>
  <si>
    <t>Number of EMI's Under Structure 3</t>
  </si>
  <si>
    <t>EMI under Structure 3</t>
  </si>
  <si>
    <t>Number of EMI's Under Structure 4</t>
  </si>
  <si>
    <t>EMI under Structure 4</t>
  </si>
  <si>
    <t>Number of EMI's Under Structure 5</t>
  </si>
  <si>
    <t>EMI under Structure 5</t>
  </si>
  <si>
    <t>Number of EMI's Paid</t>
  </si>
  <si>
    <r>
      <t>Regular EMI</t>
    </r>
    <r>
      <rPr>
        <b/>
        <sz val="12"/>
        <color rgb="FFFF0000"/>
        <rFont val="Times New Roman"/>
        <family val="1"/>
      </rPr>
      <t xml:space="preserve"> (9-36)</t>
    </r>
  </si>
  <si>
    <r>
      <t>Structured EMI</t>
    </r>
    <r>
      <rPr>
        <b/>
        <sz val="12"/>
        <color rgb="FFFF0000"/>
        <rFont val="Times New Roman"/>
        <family val="1"/>
      </rPr>
      <t xml:space="preserve"> (9-36)</t>
    </r>
  </si>
  <si>
    <t>Change %</t>
  </si>
  <si>
    <t>CRISIL Rating</t>
  </si>
  <si>
    <t>Watchout Investor</t>
  </si>
  <si>
    <t>R-system</t>
  </si>
  <si>
    <t>Whois Domain Check</t>
  </si>
  <si>
    <t>Email Checker</t>
  </si>
  <si>
    <t>Enter Details for latest two years</t>
  </si>
  <si>
    <t>LAN Number</t>
  </si>
  <si>
    <t>Paid From</t>
  </si>
  <si>
    <t>March</t>
  </si>
  <si>
    <t>April</t>
  </si>
  <si>
    <t>June</t>
  </si>
  <si>
    <t>July</t>
  </si>
  <si>
    <t>August</t>
  </si>
  <si>
    <t>September</t>
  </si>
  <si>
    <t>October</t>
  </si>
  <si>
    <t>November</t>
  </si>
  <si>
    <t>December</t>
  </si>
  <si>
    <t>January</t>
  </si>
  <si>
    <t>February</t>
  </si>
  <si>
    <t>Quarterly</t>
  </si>
  <si>
    <t>Apr-Jun</t>
  </si>
  <si>
    <t>Jul-Sep</t>
  </si>
  <si>
    <t>Oct-Dec</t>
  </si>
  <si>
    <t>Half yearly</t>
  </si>
  <si>
    <t>Apr-Sep</t>
  </si>
  <si>
    <t>Oct-Mar</t>
  </si>
  <si>
    <t>DEVIATIONS</t>
  </si>
  <si>
    <t>Bank Account #6</t>
  </si>
  <si>
    <t>Bank Account #7</t>
  </si>
  <si>
    <t>Bank Account #8</t>
  </si>
  <si>
    <t>Bank Account #9</t>
  </si>
  <si>
    <t>Bank Account #10</t>
  </si>
  <si>
    <t>Bank Account #11</t>
  </si>
  <si>
    <t>Bank Account #12</t>
  </si>
  <si>
    <t>Bank Account #13</t>
  </si>
  <si>
    <t>Bank Account #14</t>
  </si>
  <si>
    <t>Bank Account #15</t>
  </si>
  <si>
    <t>Bank Account #16</t>
  </si>
  <si>
    <t>Bank Account #17</t>
  </si>
  <si>
    <t>Bank Account #18</t>
  </si>
  <si>
    <t>Bank Account #19</t>
  </si>
  <si>
    <t>Bank Account #20</t>
  </si>
  <si>
    <t>No. of cheques</t>
  </si>
  <si>
    <t>Date of Incorporation</t>
  </si>
  <si>
    <t>Name of Firm / Company</t>
  </si>
  <si>
    <t>Vintage</t>
  </si>
  <si>
    <t>Firm / Company Type</t>
  </si>
  <si>
    <t>Borrower #6</t>
  </si>
  <si>
    <t>Borrower #7</t>
  </si>
  <si>
    <t>Borrower #8</t>
  </si>
  <si>
    <t>Borrower #9</t>
  </si>
  <si>
    <t>EMI Type</t>
  </si>
  <si>
    <t>Jan-Mar</t>
  </si>
  <si>
    <t>Eligiblity</t>
  </si>
  <si>
    <r>
      <t xml:space="preserve">FOIR </t>
    </r>
    <r>
      <rPr>
        <b/>
        <sz val="11"/>
        <color rgb="FFFF0000"/>
        <rFont val="Times New Roman"/>
        <family val="1"/>
      </rPr>
      <t>(Max 75%)</t>
    </r>
  </si>
  <si>
    <t>Proposed Obligation</t>
  </si>
  <si>
    <t>Total Other Income</t>
  </si>
  <si>
    <t>Eligible Monthly Income</t>
  </si>
  <si>
    <t>Gross Receipts (Current year)</t>
  </si>
  <si>
    <t>Income as per ITR</t>
  </si>
  <si>
    <t>Yearly</t>
  </si>
  <si>
    <t>Monthly T/O</t>
  </si>
  <si>
    <t>Turnover Track as per VAT / Service Tax Return</t>
  </si>
  <si>
    <t>Regular</t>
  </si>
  <si>
    <t>Equity Share Capital</t>
  </si>
  <si>
    <t>Long Term Debt</t>
  </si>
  <si>
    <t>Current Liabilities and Provisions</t>
  </si>
  <si>
    <t>Balance Sheet (Equity and Liability)</t>
  </si>
  <si>
    <t>Balance Sheet Total (Equity and Liability)</t>
  </si>
  <si>
    <t>Balance Sheet (Asset)</t>
  </si>
  <si>
    <t>Balance Sheet Total (Asset)</t>
  </si>
  <si>
    <t>Ratios</t>
  </si>
  <si>
    <t>FY16</t>
  </si>
  <si>
    <t>Profit and Loss Account (Amount in ₹ Lacs)</t>
  </si>
  <si>
    <t>Balance Sheet (Amount in ₹ Lacs)</t>
  </si>
  <si>
    <t>Ratios and Cycles</t>
  </si>
  <si>
    <t>Cash Flow Statement</t>
  </si>
  <si>
    <t>Add</t>
  </si>
  <si>
    <t>Less</t>
  </si>
  <si>
    <t>Other income (non business income)</t>
  </si>
  <si>
    <t>Operating Cash Profit/Loss before working capital changes</t>
  </si>
  <si>
    <t>Working Capital Changes</t>
  </si>
  <si>
    <t>Name of Financial Institute</t>
  </si>
  <si>
    <t>Type of Loan</t>
  </si>
  <si>
    <t>Account #1</t>
  </si>
  <si>
    <t>Account #2</t>
  </si>
  <si>
    <t>Account #3</t>
  </si>
  <si>
    <t>Account #4</t>
  </si>
  <si>
    <t>Account #5</t>
  </si>
  <si>
    <t>Account #6</t>
  </si>
  <si>
    <t>Account #7</t>
  </si>
  <si>
    <t>Account #8</t>
  </si>
  <si>
    <t>Account #9</t>
  </si>
  <si>
    <t>Account #10</t>
  </si>
  <si>
    <t>Account #11</t>
  </si>
  <si>
    <t>Account #12</t>
  </si>
  <si>
    <t>Account #13</t>
  </si>
  <si>
    <t>Account #14</t>
  </si>
  <si>
    <t>Account #15</t>
  </si>
  <si>
    <t>Account #16</t>
  </si>
  <si>
    <t>Account #17</t>
  </si>
  <si>
    <t>Consolidated Banking Cashflow</t>
  </si>
  <si>
    <t>Ownership</t>
  </si>
  <si>
    <t>ITR filing Dates</t>
  </si>
  <si>
    <t>Recent Year</t>
  </si>
  <si>
    <t>Residence Norm</t>
  </si>
  <si>
    <t>Office Contact</t>
  </si>
  <si>
    <t>Residence Contact</t>
  </si>
  <si>
    <t>Existing Borrower Top-up</t>
  </si>
  <si>
    <t>Existing Loan Details</t>
  </si>
  <si>
    <t>EMI Amount</t>
  </si>
  <si>
    <t>Amount paid</t>
  </si>
  <si>
    <t>No. of EMI paid (Min. 9)</t>
  </si>
  <si>
    <t>EMI Multiplier</t>
  </si>
  <si>
    <t>Eligibility</t>
  </si>
  <si>
    <t>Max EMI</t>
  </si>
  <si>
    <t>Max. Loan Amount</t>
  </si>
  <si>
    <t>As per product</t>
  </si>
  <si>
    <t>Company / Firm Detail</t>
  </si>
  <si>
    <t>Banking Trend for the Year</t>
  </si>
  <si>
    <t>Other Current Assets:</t>
  </si>
  <si>
    <t>Other current Asset 1…..</t>
  </si>
  <si>
    <t>Other current Asset 3…..</t>
  </si>
  <si>
    <t>Other current Asset 2…..</t>
  </si>
  <si>
    <t>Other current Liability 1…..</t>
  </si>
  <si>
    <t>Other current Liability 2…..</t>
  </si>
  <si>
    <t>Other current Liability 3…..</t>
  </si>
  <si>
    <t>Account Number</t>
  </si>
  <si>
    <t>-</t>
  </si>
  <si>
    <t>Income post obligation</t>
  </si>
  <si>
    <t>FY17</t>
  </si>
  <si>
    <t>POS</t>
  </si>
  <si>
    <t>Monthly Purchase Plotting</t>
  </si>
  <si>
    <t>Sales and Debtor figures collected for</t>
  </si>
  <si>
    <t>Purchase and Creditor figures collected for</t>
  </si>
  <si>
    <t>Creditor days</t>
  </si>
  <si>
    <t>Debtor days</t>
  </si>
  <si>
    <t>Till date Creditor</t>
  </si>
  <si>
    <t>Till date Debtor</t>
  </si>
  <si>
    <t>Till date Working Capital calculation</t>
  </si>
  <si>
    <t>From Date</t>
  </si>
  <si>
    <t>To Date</t>
  </si>
  <si>
    <t>Days</t>
  </si>
  <si>
    <t>Particulars</t>
  </si>
  <si>
    <t>indiankanoon</t>
  </si>
  <si>
    <t>Probe42</t>
  </si>
  <si>
    <t>FY18</t>
  </si>
  <si>
    <t>MSME or not</t>
  </si>
  <si>
    <t>Categorization: Micro/Small/Medium</t>
  </si>
  <si>
    <t>GSTIN</t>
  </si>
  <si>
    <t>Turnover</t>
  </si>
  <si>
    <t>Gross Block of Plant &amp; Machinery - Value</t>
  </si>
  <si>
    <t>Aggregate exposure, including non-fund based facilities, of banks and NBFCs to the borrower does not exceed ₹ 250 million as on May 31, 2018</t>
  </si>
  <si>
    <t>Medium - Trader</t>
  </si>
  <si>
    <t>Micro - Manufacturing</t>
  </si>
  <si>
    <t>Small - Manufacturing</t>
  </si>
  <si>
    <t>Medium - Manufacturing</t>
  </si>
  <si>
    <t>Micro - Service</t>
  </si>
  <si>
    <t>Small - Service</t>
  </si>
  <si>
    <t>Medium - Service</t>
  </si>
  <si>
    <t>Micro - Trader</t>
  </si>
  <si>
    <t>Small - Trader</t>
  </si>
  <si>
    <t>Financial Year</t>
  </si>
  <si>
    <t>Sr no</t>
  </si>
  <si>
    <t>Name of the co-applicant</t>
  </si>
  <si>
    <t>Role</t>
  </si>
  <si>
    <t>Shareholding</t>
  </si>
  <si>
    <t>Beneficial owner</t>
  </si>
  <si>
    <t>TU score</t>
  </si>
  <si>
    <t>PL score</t>
  </si>
  <si>
    <t>KYC documented</t>
  </si>
  <si>
    <t>Number of Shares</t>
  </si>
  <si>
    <t>GST Turnover Surrogate</t>
  </si>
  <si>
    <t>Enterprises</t>
  </si>
  <si>
    <t>MICRO</t>
  </si>
  <si>
    <t>=&lt; Rs. 25 Lacs</t>
  </si>
  <si>
    <t>=&lt; Rs. 10 Lacs</t>
  </si>
  <si>
    <t>SMALL</t>
  </si>
  <si>
    <t>&gt; Rs. 25 Lacs but =&lt; 5 Cr.</t>
  </si>
  <si>
    <t>&gt; Rs. 10 Lacs but =&lt; 2 Cr.</t>
  </si>
  <si>
    <t>MEDIUM</t>
  </si>
  <si>
    <t>&gt; Rs. 5 Cr. but =&lt; 10 Cr.</t>
  </si>
  <si>
    <t>&gt; Rs. 2 Cr. but =&lt; 5 Cr.</t>
  </si>
  <si>
    <t>Investment in Plant and Machinery – Manufacturing Sector</t>
  </si>
  <si>
    <t>Investment in Equipment – Services Sector</t>
  </si>
  <si>
    <t>Guide for updating</t>
  </si>
  <si>
    <t>Type</t>
  </si>
  <si>
    <t>Other Professional</t>
  </si>
  <si>
    <t>Hospitals and Nursing Homes</t>
  </si>
  <si>
    <t>Check</t>
  </si>
  <si>
    <t>ABB / EMI (min.2) for Unaudited program</t>
  </si>
  <si>
    <t>FY19</t>
  </si>
  <si>
    <t>Provisional</t>
  </si>
  <si>
    <t>Profile</t>
  </si>
  <si>
    <t>Dentist</t>
  </si>
  <si>
    <t>Multipllier</t>
  </si>
  <si>
    <t>Validation</t>
  </si>
  <si>
    <t>Definition :</t>
  </si>
  <si>
    <r>
      <t>MSME</t>
    </r>
    <r>
      <rPr>
        <sz val="11"/>
        <color rgb="FF222222"/>
        <rFont val="Calibri"/>
        <family val="2"/>
        <scheme val="minor"/>
      </rPr>
      <t> stands for Micro, Small, and Medium Enterprises. In accordance with the Micro, Small, and Medium Enterprises Development (MSMED) Act in 2006,</t>
    </r>
    <r>
      <rPr>
        <b/>
        <sz val="11"/>
        <color rgb="FF222222"/>
        <rFont val="Calibri"/>
        <family val="2"/>
        <scheme val="minor"/>
      </rPr>
      <t xml:space="preserve"> the enterprises are classified into two divisions. Manufacturing enterprises – engaged in the manufacturing or production of goods in any industry</t>
    </r>
  </si>
  <si>
    <t>MSMEs will be defined on the basis of ‘annual turnover and investment'</t>
  </si>
  <si>
    <t xml:space="preserve">Categorization:drop downs - Micro/Small/Medium </t>
  </si>
  <si>
    <t>Turnover (in crs)</t>
  </si>
  <si>
    <t>Investment (in crs)</t>
  </si>
  <si>
    <t>Applicable - MSE Retail Trade under the ambit of CGTMSE shall be applicable to fresh credit facilities sanctioned by MLIs on or after April 01, 2018 and facilities eligible for guarantee coverage by MLIs on or after February 28, 2018 and refer below exposure</t>
  </si>
  <si>
    <t>CGTMSE - Scheme</t>
  </si>
  <si>
    <t>Composite criteria: Investment and Annual turnover</t>
  </si>
  <si>
    <t>Classification</t>
  </si>
  <si>
    <t>Micro</t>
  </si>
  <si>
    <t>Small</t>
  </si>
  <si>
    <t>Medium</t>
  </si>
  <si>
    <t>Manufacturing &amp; Services</t>
  </si>
  <si>
    <t>Investment &lt;1 cr and Turnover &lt; 5 crs</t>
  </si>
  <si>
    <t>Investment &lt;10 cr and Turnover &lt; 50 crs</t>
  </si>
  <si>
    <t>Investment &lt; 20 cr and Turnover &lt; 100crs</t>
  </si>
  <si>
    <t>Applicability *</t>
  </si>
  <si>
    <t xml:space="preserve">Coverage of Retail Trade under Credit Guarantee Scheme </t>
  </si>
  <si>
    <t xml:space="preserve">MSE Retail Trade will be an eligible activity under Credit Guarantee Scheme of CGTMSE included under Micro and Small Enterprises (MSE) sector. </t>
  </si>
  <si>
    <t xml:space="preserve">Member Lending Institutions “MLIs” can now cover the credit facility extended by them to MSE Retail Traders under Credit Guarantee Scheme of CGTMSE. </t>
  </si>
  <si>
    <t xml:space="preserve">The features of the Scheme are as under: </t>
  </si>
  <si>
    <r>
      <t>·</t>
    </r>
    <r>
      <rPr>
        <sz val="7"/>
        <color theme="1"/>
        <rFont val="Times New Roman"/>
        <family val="1"/>
      </rPr>
      <t xml:space="preserve">         </t>
    </r>
    <r>
      <rPr>
        <sz val="11"/>
        <color theme="1"/>
        <rFont val="Calibri"/>
        <family val="2"/>
        <scheme val="minor"/>
      </rPr>
      <t>Exposure limit for credit facility of retail trade segment will be from ₹10 lakh to ₹100 lakh per MSE borrower.</t>
    </r>
  </si>
  <si>
    <r>
      <t>·</t>
    </r>
    <r>
      <rPr>
        <sz val="7"/>
        <color theme="1"/>
        <rFont val="Times New Roman"/>
        <family val="1"/>
      </rPr>
      <t xml:space="preserve">         </t>
    </r>
    <r>
      <rPr>
        <sz val="11"/>
        <color theme="1"/>
        <rFont val="Calibri"/>
        <family val="2"/>
        <scheme val="minor"/>
      </rPr>
      <t>Extent of guarantee coverage to such credit facility would be 50% irrespective of the category of the borrower.</t>
    </r>
  </si>
  <si>
    <r>
      <t>·</t>
    </r>
    <r>
      <rPr>
        <sz val="7"/>
        <color theme="1"/>
        <rFont val="Times New Roman"/>
        <family val="1"/>
      </rPr>
      <t xml:space="preserve">         </t>
    </r>
    <r>
      <rPr>
        <sz val="11"/>
        <color theme="1"/>
        <rFont val="Calibri"/>
        <family val="2"/>
        <scheme val="minor"/>
      </rPr>
      <t>Applicable fee i.e. AGF will be charged at the rate of 2% of the guaranteed amount for the first year and on the outstanding amount for the remaining</t>
    </r>
  </si>
  <si>
    <t xml:space="preserve"> tenure of the credit facility. Differential pricing structure depending upon NPA / Claim payout ratio of the MLI will also be applicable on the AGF as per </t>
  </si>
  <si>
    <t>CGTMSE Circular No.107/2015-16 dated January 28, 2016.</t>
  </si>
  <si>
    <t>The above modification of including the MSE Retail Trade under the ambit of CGTMSE shall be applicable to fresh credit facilities sanctioned by MLIs on or</t>
  </si>
  <si>
    <t xml:space="preserve"> after April 01, 2018 and facilities eligible for guarantee coverage by MLIs on or after February 28, 2018. All the other covenants of the  current CGS</t>
  </si>
  <si>
    <t xml:space="preserve"> would apply mutatis mutandis to such credit proposals with regard to eligibility criteria and other operational modalities, etc. as modified from time to time.</t>
  </si>
  <si>
    <t>Classification :</t>
  </si>
  <si>
    <t xml:space="preserve">Micro, Small and Medium Enterprises (MSMEs) are classified into two categories: Manufacturing Enterprises and Service Enterprises. </t>
  </si>
  <si>
    <t>Now MSMEs are defined as per the “annual turnover instead of investment in Plant Machinery.</t>
  </si>
  <si>
    <t>As per MSME Act-2006, The MSMEs are classified into two categories;</t>
  </si>
  <si>
    <t xml:space="preserve">1.       </t>
  </si>
  <si>
    <t>Manufacturing Enterprises:-The enterprises engaged in the manufacture or production of goods (as per Development and Regulation) Act, 1951)</t>
  </si>
  <si>
    <t xml:space="preserve"> or employing plant and machinery in the process of value addition to the final product having a distinct name or character or use.</t>
  </si>
  <si>
    <t>Service Enterprises: -The enterprises engaged in providing or rendering of services and are defined in terms of investment in equipment.</t>
  </si>
  <si>
    <t xml:space="preserve"> In the month of February 2018, the Union Cabinet chaired by the Prime Minister Shri Narendra Modi has approved a change in the definition of the MSMEs.</t>
  </si>
  <si>
    <t>₹ 5L to ₹ 25L</t>
  </si>
  <si>
    <t>Manufacturing/Services</t>
  </si>
  <si>
    <t>Manufacturing</t>
  </si>
  <si>
    <t>MSME Validation</t>
  </si>
  <si>
    <t xml:space="preserve">·         Exposure limit for credit facility of retail trade segment will be from ₹10 lakh to ₹100 lakh per MSE borrower.
·         Extent of guarantee coverage to such credit facility would be 50% irrespective of the category of the borrower.
·         Applicable fee i.e. AGF </t>
  </si>
  <si>
    <t>1)  fresh credit facilities sanctioned by MLIs on or after April 01, 2018 
2) facilities eligible for guarantee coverage by MLIs on or after February 28, 2018</t>
  </si>
  <si>
    <t>Applicant Details</t>
  </si>
  <si>
    <t>Co-Applicant Details</t>
  </si>
  <si>
    <t>1st Co-Applicant Details</t>
  </si>
  <si>
    <t>2st Co-Applicant Details</t>
  </si>
  <si>
    <t>3st Co-Applicant Details</t>
  </si>
  <si>
    <t>4st Co-Applicant Details</t>
  </si>
  <si>
    <t>Login Date</t>
  </si>
  <si>
    <t>Name</t>
  </si>
  <si>
    <t>Father Name</t>
  </si>
  <si>
    <t>Mother Name</t>
  </si>
  <si>
    <t>Application Form No.</t>
  </si>
  <si>
    <t>DOI/DOB</t>
  </si>
  <si>
    <t>Address</t>
  </si>
  <si>
    <t>Address-1</t>
  </si>
  <si>
    <t>Address-2</t>
  </si>
  <si>
    <t>City</t>
  </si>
  <si>
    <t>State</t>
  </si>
  <si>
    <t>Pin Code</t>
  </si>
  <si>
    <t>Landline No.</t>
  </si>
  <si>
    <t>Mobile No.</t>
  </si>
  <si>
    <t>Pan No.</t>
  </si>
  <si>
    <t>Aadhar Card No.</t>
  </si>
  <si>
    <t>CIBIL Score TU</t>
  </si>
  <si>
    <t>CIBIL Score PU</t>
  </si>
  <si>
    <t>Company Type</t>
  </si>
  <si>
    <t>Email ID</t>
  </si>
  <si>
    <t>GSTIN NUMBER</t>
  </si>
  <si>
    <t>US ID</t>
  </si>
  <si>
    <t>DSA NAME</t>
  </si>
  <si>
    <t>SALES MANAGER NAME</t>
  </si>
  <si>
    <t xml:space="preserve">Industry Type </t>
  </si>
  <si>
    <t>Profit</t>
  </si>
  <si>
    <t>BL DL Calculator- v3.8</t>
  </si>
  <si>
    <t>Professional (Only CA)</t>
  </si>
  <si>
    <t>Growth %</t>
  </si>
  <si>
    <t>FY15</t>
  </si>
  <si>
    <t>19-18</t>
  </si>
  <si>
    <t>18-17</t>
  </si>
  <si>
    <t>17-16</t>
  </si>
  <si>
    <t>16-15</t>
  </si>
  <si>
    <t>Equity Share Capital / Share Application Money</t>
  </si>
  <si>
    <t>Quasi Equity (Promoter Loans not entailing repayment)</t>
  </si>
  <si>
    <t>Deferred Tax Liability- NEW FIELD</t>
  </si>
  <si>
    <t>Other long term Liabilities- NEW FIELD</t>
  </si>
  <si>
    <t>Total Other Non-Current Assets:</t>
  </si>
  <si>
    <t>Loans and Advances given to others/ Deposits with Banks and others-NEW FIELD</t>
  </si>
  <si>
    <t>Other non-current assets- NEW FIELD</t>
  </si>
  <si>
    <t>Difference</t>
  </si>
  <si>
    <t xml:space="preserve">EBIDTA/ Intrest </t>
  </si>
  <si>
    <t>Long term Debt Equity Ratio (With quasi)</t>
  </si>
  <si>
    <t>Long term Debt Equity Ratio (Without quasi)</t>
  </si>
  <si>
    <t>Interest Coverage Ratio (Including Non-operating income expense)</t>
  </si>
  <si>
    <t>Unaudited</t>
  </si>
  <si>
    <t>DEC</t>
  </si>
  <si>
    <t>JAN</t>
  </si>
  <si>
    <t>FEB</t>
  </si>
  <si>
    <t>MAR</t>
  </si>
  <si>
    <t>APR</t>
  </si>
  <si>
    <t>MAY</t>
  </si>
  <si>
    <t>JUN</t>
  </si>
  <si>
    <t>JUL</t>
  </si>
  <si>
    <t>AUG</t>
  </si>
  <si>
    <t>Owned</t>
  </si>
  <si>
    <t>Mobile Postpaid</t>
  </si>
  <si>
    <t>Office</t>
  </si>
  <si>
    <t>Proprietary</t>
  </si>
  <si>
    <t>Credit Information Report</t>
  </si>
  <si>
    <t>Applicant</t>
  </si>
  <si>
    <t>Co-Applicant 1</t>
  </si>
  <si>
    <t>Co-Applicant 2</t>
  </si>
  <si>
    <t>Co-Applicant 3</t>
  </si>
  <si>
    <t>Co-Applicant 4</t>
  </si>
  <si>
    <t>Co-Applicant 5</t>
  </si>
  <si>
    <t>Credit Information Company</t>
  </si>
  <si>
    <t>DOB/DOI</t>
  </si>
  <si>
    <t>PAN No</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</si>
  <si>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</si>
  <si>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</si>
  <si>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</si>
  <si>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</si>
  <si>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</si>
  <si>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</si>
  <si>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</si>
  <si>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</si>
  <si>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</si>
  <si>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</si>
  <si>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</si>
  <si>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</si>
  <si>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</si>
  <si>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Repayment-Track</t>
  </si>
  <si>
    <t>Sl. No</t>
  </si>
  <si>
    <t>Loan Type - Ownership</t>
  </si>
  <si>
    <t>Financier/Source</t>
  </si>
  <si>
    <t>Loan Credit/ Sanction Amt</t>
  </si>
  <si>
    <t>Loan Debit</t>
  </si>
  <si>
    <t>Start on</t>
  </si>
  <si>
    <t>Outstanding Bal</t>
  </si>
  <si>
    <t>Tenor Left</t>
  </si>
  <si>
    <t>EMI Obligation</t>
  </si>
  <si>
    <t>Bank Name (EMI running)</t>
  </si>
  <si>
    <t>Last 12 Months</t>
  </si>
  <si>
    <t>Remarks (Bounces/ DPD etc)</t>
  </si>
  <si>
    <t>EMI Paid</t>
  </si>
  <si>
    <t>EMI Bounce</t>
  </si>
  <si>
    <t>EMI Amt Paid</t>
  </si>
  <si>
    <t>Avg Previous Day Balance</t>
  </si>
  <si>
    <t>Date</t>
  </si>
  <si>
    <t>Previous Day Balance</t>
  </si>
  <si>
    <t>Previous Bal</t>
  </si>
  <si>
    <t>Consolidated GST / Monthly Sales Plotting</t>
  </si>
  <si>
    <t>FY</t>
  </si>
  <si>
    <t>2020-21</t>
  </si>
  <si>
    <t>Consolidated Monthly Purchase Plotting</t>
  </si>
  <si>
    <t xml:space="preserve">GST / Monthly Sales Plotting </t>
  </si>
  <si>
    <t>GSTIN No</t>
  </si>
  <si>
    <t>2019-20</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</si>
  <si>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</si>
  <si>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</si>
  <si>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</si>
  <si>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</si>
  <si>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</si>
  <si>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</si>
  <si>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</si>
  <si>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</si>
  <si>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</si>
  <si>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</si>
  <si>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</si>
  <si>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</si>
  <si>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</si>
  <si>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</si>
  <si>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</si>
  <si>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</si>
  <si>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</si>
  <si>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</si>
  <si>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</si>
  <si>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</si>
  <si>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</si>
  <si>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Verified on</t>
  </si>
  <si>
    <t>Active Loans</t>
  </si>
  <si>
    <t>Closed Loans</t>
  </si>
  <si>
    <t>Charges Registered</t>
  </si>
  <si>
    <t>SRN</t>
  </si>
  <si>
    <t>Charge Id</t>
  </si>
  <si>
    <t>Charge Holder Name</t>
  </si>
  <si>
    <t>Date of Creation</t>
  </si>
  <si>
    <t>Date of Modification</t>
  </si>
  <si>
    <t>Date of Satisfaction</t>
  </si>
  <si>
    <t>Amount</t>
  </si>
  <si>
    <t>Signatory / Director Details</t>
  </si>
  <si>
    <t>DIN</t>
  </si>
  <si>
    <t>Position</t>
  </si>
  <si>
    <t>Registration Date</t>
  </si>
  <si>
    <t>DSC Registered</t>
  </si>
  <si>
    <t>Expiry Date</t>
  </si>
  <si>
    <t>Associated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</si>
</sst>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 #,##0;&quot;₹&quot;\ \-#,##0"/>
    <numFmt numFmtId="8" formatCode="&quot;₹&quot;\ #,##0.00;[Red]&quot;₹&quot;\ \-#,##0.00"/>
    <numFmt numFmtId="44" formatCode="_ &quot;₹&quot;\ * #,##0.00_ ;_ &quot;₹&quot;\ * \-#,##0.00_ ;_ &quot;₹&quot;\ * &quot;-&quot;??_ ;_ @_ "/>
    <numFmt numFmtId="43" formatCode="_ * #,##0.00_ ;_ * \-#,##0.00_ ;_ * &quot;-&quot;??_ ;_ @_ "/>
    <numFmt numFmtId="164" formatCode="_(&quot;$&quot;* #,##0.00_);_(&quot;$&quot;* \(#,##0.00\);_(&quot;$&quot;* &quot;-&quot;??_);_(@_)"/>
    <numFmt numFmtId="165" formatCode="_(* #,##0.00_);_(* \(#,##0.00\);_(* &quot;-&quot;??_);_(@_)"/>
    <numFmt numFmtId="166" formatCode="&quot;₹&quot;#,##0.00_);[Red]\(&quot;₹&quot;#,##0.00\)"/>
    <numFmt numFmtId="167" formatCode="_(* #,##0_);_(* \(#,##0\);_(* &quot;-&quot;??_);_(@_)"/>
    <numFmt numFmtId="168" formatCode="&quot;₹&quot;\ #,##0.00"/>
    <numFmt numFmtId="169" formatCode="[$-14009]dd/mm/yyyy;@"/>
    <numFmt numFmtId="170" formatCode="&quot;₹&quot;#,##0.00"/>
    <numFmt numFmtId="171" formatCode="_-* #,##0.00_-;\-* #,##0.00_-;_-* &quot;-&quot;??_-;_-@_-"/>
    <numFmt numFmtId="172" formatCode="dd/mmm/yyyy"/>
    <numFmt numFmtId="173" formatCode="mmmm/yyyy"/>
    <numFmt numFmtId="174" formatCode="0;;;@"/>
    <numFmt numFmtId="175" formatCode="General;General;\-"/>
    <numFmt numFmtId="176" formatCode="&quot;₹&quot;\ #,##0;&quot;₹&quot;\ \-#,##0;\-"/>
    <numFmt numFmtId="177" formatCode="&quot;FY&quot;yy"/>
    <numFmt numFmtId="178" formatCode="dd/mmm/yyyy;\-;\-"/>
  </numFmts>
  <fonts count="66" x14ac:knownFonts="1">
    <font>
      <sz val="11"/>
      <color theme="1"/>
      <name val="Calibri"/>
      <family val="2"/>
      <scheme val="minor"/>
    </font>
    <font>
      <sz val="11"/>
      <color theme="1"/>
      <name val="Calibri"/>
      <family val="2"/>
      <scheme val="minor"/>
    </font>
    <font>
      <sz val="9.5"/>
      <color theme="1"/>
      <name val="Arial"/>
      <family val="2"/>
    </font>
    <font>
      <sz val="9.5"/>
      <color rgb="FFFF0000"/>
      <name val="Arial"/>
      <family val="2"/>
    </font>
    <font>
      <b/>
      <sz val="9.5"/>
      <color theme="1"/>
      <name val="Arial"/>
      <family val="2"/>
    </font>
    <font>
      <sz val="9.5"/>
      <color theme="1"/>
      <name val="Calibri"/>
      <family val="2"/>
      <scheme val="minor"/>
    </font>
    <font>
      <b/>
      <sz val="16"/>
      <color theme="0"/>
      <name val="Times New Roman"/>
      <family val="1"/>
    </font>
    <font>
      <b/>
      <sz val="11"/>
      <name val="Times New Roman"/>
      <family val="1"/>
    </font>
    <font>
      <b/>
      <sz val="12"/>
      <color theme="4"/>
      <name val="Times New Roman"/>
      <family val="1"/>
    </font>
    <font>
      <b/>
      <sz val="10"/>
      <color theme="4"/>
      <name val="Times New Roman"/>
      <family val="1"/>
    </font>
    <font>
      <b/>
      <sz val="12"/>
      <color rgb="FF000000"/>
      <name val="Times New Roman"/>
      <family val="1"/>
    </font>
    <font>
      <b/>
      <sz val="10"/>
      <color rgb="FF000000"/>
      <name val="Times New Roman"/>
      <family val="1"/>
    </font>
    <font>
      <b/>
      <sz val="9"/>
      <color rgb="FF000000"/>
      <name val="Times New Roman"/>
      <family val="1"/>
    </font>
    <font>
      <sz val="10"/>
      <color rgb="FF000000"/>
      <name val="Times New Roman"/>
      <family val="1"/>
    </font>
    <font>
      <b/>
      <sz val="8"/>
      <color rgb="FF000000"/>
      <name val="Times New Roman"/>
      <family val="1"/>
    </font>
    <font>
      <b/>
      <sz val="11"/>
      <color theme="1"/>
      <name val="Times New Roman"/>
      <family val="1"/>
    </font>
    <font>
      <b/>
      <sz val="10"/>
      <color theme="1"/>
      <name val="Times New Roman"/>
      <family val="1"/>
    </font>
    <font>
      <sz val="11"/>
      <color theme="1"/>
      <name val="Calibri"/>
      <family val="2"/>
    </font>
    <font>
      <b/>
      <sz val="14"/>
      <color theme="0"/>
      <name val="Times New Roman"/>
      <family val="1"/>
    </font>
    <font>
      <u/>
      <sz val="11"/>
      <color theme="10"/>
      <name val="Calibri"/>
      <family val="2"/>
      <scheme val="minor"/>
    </font>
    <font>
      <b/>
      <sz val="14"/>
      <name val="Times New Roman"/>
      <family val="1"/>
    </font>
    <font>
      <b/>
      <sz val="10"/>
      <name val="Times New Roman"/>
      <family val="1"/>
    </font>
    <font>
      <sz val="10"/>
      <name val="Times New Roman"/>
      <family val="1"/>
    </font>
    <font>
      <b/>
      <sz val="11"/>
      <color rgb="FFFF0000"/>
      <name val="Times New Roman"/>
      <family val="1"/>
    </font>
    <font>
      <b/>
      <sz val="12"/>
      <color theme="8" tint="0.79998168889431442"/>
      <name val="Times New Roman"/>
      <family val="1"/>
    </font>
    <font>
      <b/>
      <sz val="16"/>
      <color theme="8" tint="0.79998168889431442"/>
      <name val="Times New Roman"/>
      <family val="1"/>
    </font>
    <font>
      <b/>
      <sz val="14"/>
      <color rgb="FFFFFF00"/>
      <name val="Times New Roman"/>
      <family val="1"/>
    </font>
    <font>
      <sz val="10"/>
      <color theme="1"/>
      <name val="Times New Roman"/>
      <family val="1"/>
    </font>
    <font>
      <b/>
      <sz val="12"/>
      <color rgb="FF002060"/>
      <name val="Times New Roman"/>
      <family val="1"/>
    </font>
    <font>
      <b/>
      <sz val="12"/>
      <color rgb="FFFF0000"/>
      <name val="Times New Roman"/>
      <family val="1"/>
    </font>
    <font>
      <b/>
      <sz val="10"/>
      <color theme="2"/>
      <name val="Times New Roman"/>
      <family val="1"/>
    </font>
    <font>
      <b/>
      <sz val="12"/>
      <color theme="0"/>
      <name val="Times New Roman"/>
      <family val="1"/>
    </font>
    <font>
      <sz val="9"/>
      <color theme="1"/>
      <name val="Times New Roman"/>
      <family val="1"/>
    </font>
    <font>
      <sz val="9"/>
      <name val="Times New Roman"/>
      <family val="1"/>
    </font>
    <font>
      <b/>
      <sz val="14"/>
      <color theme="5" tint="-0.499984740745262"/>
      <name val="Times New Roman"/>
      <family val="1"/>
    </font>
    <font>
      <b/>
      <sz val="14"/>
      <color theme="8" tint="0.79998168889431442"/>
      <name val="Times New Roman"/>
      <family val="1"/>
    </font>
    <font>
      <b/>
      <sz val="10"/>
      <color theme="3" tint="-0.499984740745262"/>
      <name val="Times New Roman"/>
      <family val="1"/>
    </font>
    <font>
      <sz val="10"/>
      <color theme="3" tint="-0.499984740745262"/>
      <name val="Times New Roman"/>
      <family val="1"/>
    </font>
    <font>
      <sz val="9"/>
      <color theme="3" tint="-0.499984740745262"/>
      <name val="Times New Roman"/>
      <family val="1"/>
    </font>
    <font>
      <b/>
      <sz val="9"/>
      <color theme="1"/>
      <name val="Times New Roman"/>
      <family val="1"/>
    </font>
    <font>
      <sz val="9"/>
      <color rgb="FF000000"/>
      <name val="Times New Roman"/>
      <family val="1"/>
    </font>
    <font>
      <b/>
      <sz val="11"/>
      <color theme="1"/>
      <name val="Calibri"/>
      <family val="2"/>
      <scheme val="minor"/>
    </font>
    <font>
      <b/>
      <sz val="11"/>
      <color rgb="FF222222"/>
      <name val="Calibri"/>
      <family val="2"/>
      <scheme val="minor"/>
    </font>
    <font>
      <sz val="11"/>
      <color rgb="FF222222"/>
      <name val="Calibri"/>
      <family val="2"/>
      <scheme val="minor"/>
    </font>
    <font>
      <b/>
      <sz val="11"/>
      <color rgb="FF000000"/>
      <name val="Calibri"/>
      <family val="2"/>
    </font>
    <font>
      <sz val="11"/>
      <name val="Calibri"/>
      <family val="2"/>
    </font>
    <font>
      <sz val="11"/>
      <color theme="1"/>
      <name val="Symbol"/>
      <family val="1"/>
      <charset val="2"/>
    </font>
    <font>
      <sz val="7"/>
      <color theme="1"/>
      <name val="Times New Roman"/>
      <family val="1"/>
    </font>
    <font>
      <b/>
      <sz val="9"/>
      <color theme="3" tint="0.39997558519241921"/>
      <name val="Times New Roman"/>
      <family val="1"/>
    </font>
    <font>
      <i/>
      <sz val="11"/>
      <color theme="10"/>
      <name val="Calibri"/>
      <family val="2"/>
      <scheme val="minor"/>
    </font>
    <font>
      <b/>
      <sz val="11"/>
      <color theme="0"/>
      <name val="Calibri"/>
      <family val="2"/>
      <scheme val="minor"/>
    </font>
    <font>
      <sz val="11"/>
      <color theme="0"/>
      <name val="Calibri"/>
      <family val="2"/>
      <scheme val="minor"/>
    </font>
    <font>
      <b/>
      <sz val="11"/>
      <color theme="0"/>
      <name val="Times New Roman"/>
      <family val="1"/>
    </font>
    <font>
      <b/>
      <sz val="10"/>
      <color theme="1"/>
      <name val="Calibri"/>
      <family val="2"/>
      <scheme val="minor"/>
    </font>
    <font>
      <sz val="11"/>
      <color theme="1"/>
      <name val="Times New Roman"/>
      <family val="1"/>
    </font>
    <font>
      <sz val="9"/>
      <color theme="1"/>
      <name val="Calibri"/>
      <family val="2"/>
      <scheme val="minor"/>
    </font>
    <font>
      <sz val="10"/>
      <color theme="1"/>
      <name val="Calibri"/>
      <family val="2"/>
      <scheme val="minor"/>
    </font>
    <font>
      <b/>
      <sz val="12"/>
      <color theme="1"/>
      <name val="Times New Roman"/>
      <family val="1"/>
    </font>
    <font>
      <sz val="10"/>
      <color theme="0"/>
      <name val="Calibri"/>
      <family val="2"/>
      <scheme val="minor"/>
    </font>
    <font>
      <b/>
      <sz val="13"/>
      <color theme="0"/>
      <name val="Calibri"/>
      <family val="2"/>
      <scheme val="minor"/>
    </font>
    <font>
      <b/>
      <sz val="10"/>
      <color theme="0"/>
      <name val="Calibri"/>
      <family val="2"/>
      <scheme val="minor"/>
    </font>
    <font>
      <b/>
      <sz val="12"/>
      <color theme="1"/>
      <name val="Calibri"/>
      <family val="2"/>
      <scheme val="minor"/>
    </font>
    <font>
      <b/>
      <sz val="14"/>
      <color theme="0"/>
      <name val="Calibri"/>
      <family val="2"/>
      <scheme val="minor"/>
    </font>
    <font>
      <sz val="10"/>
      <name val="Calibri"/>
      <family val="2"/>
      <scheme val="minor"/>
    </font>
    <font>
      <b/>
      <sz val="14"/>
      <color theme="4"/>
      <name val="Times New Roman"/>
      <family val="1"/>
    </font>
    <font>
      <sz val="10"/>
      <color theme="1"/>
      <name val="Arial"/>
      <family val="2"/>
    </font>
  </fonts>
  <fills count="3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79998168889431442"/>
        <bgColor indexed="22"/>
      </patternFill>
    </fill>
    <fill>
      <patternFill patternType="solid">
        <fgColor theme="6" tint="0.59999389629810485"/>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4.9989318521683403E-2"/>
        <bgColor indexed="22"/>
      </patternFill>
    </fill>
    <fill>
      <patternFill patternType="solid">
        <fgColor theme="3" tint="0.79998168889431442"/>
        <bgColor indexed="41"/>
      </patternFill>
    </fill>
    <fill>
      <patternFill patternType="solid">
        <fgColor theme="0" tint="-4.9989318521683403E-2"/>
        <bgColor indexed="27"/>
      </patternFill>
    </fill>
    <fill>
      <patternFill patternType="solid">
        <fgColor theme="6" tint="0.59999389629810485"/>
        <bgColor indexed="41"/>
      </patternFill>
    </fill>
    <fill>
      <patternFill patternType="solid">
        <fgColor theme="6" tint="0.59999389629810485"/>
        <bgColor indexed="27"/>
      </patternFill>
    </fill>
    <fill>
      <patternFill patternType="solid">
        <fgColor theme="4"/>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A7D971"/>
        <bgColor indexed="27"/>
      </patternFill>
    </fill>
    <fill>
      <patternFill patternType="solid">
        <fgColor rgb="FFA7D971"/>
        <bgColor indexed="41"/>
      </patternFill>
    </fill>
    <fill>
      <patternFill patternType="solid">
        <fgColor theme="3" tint="0.59999389629810485"/>
        <bgColor indexed="64"/>
      </patternFill>
    </fill>
    <fill>
      <patternFill patternType="solid">
        <fgColor rgb="FFDEEAF6"/>
        <bgColor indexed="64"/>
      </patternFill>
    </fill>
    <fill>
      <patternFill patternType="solid">
        <fgColor rgb="FFFFC000"/>
        <bgColor indexed="64"/>
      </patternFill>
    </fill>
    <fill>
      <patternFill patternType="solid">
        <fgColor rgb="FFFFFF00"/>
        <bgColor indexed="64"/>
      </patternFill>
    </fill>
    <fill>
      <patternFill patternType="solid">
        <fgColor rgb="FFFFFF00"/>
        <bgColor indexed="22"/>
      </patternFill>
    </fill>
    <fill>
      <patternFill patternType="solid">
        <fgColor theme="5" tint="0.59999389629810485"/>
        <bgColor indexed="64"/>
      </patternFill>
    </fill>
    <fill>
      <patternFill patternType="solid">
        <fgColor theme="9" tint="-0.249977111117893"/>
        <bgColor indexed="64"/>
      </patternFill>
    </fill>
    <fill>
      <patternFill patternType="solid">
        <fgColor theme="2"/>
        <bgColor indexed="64"/>
      </patternFill>
    </fill>
    <fill>
      <patternFill patternType="solid">
        <fgColor theme="2" tint="-0.89999084444715716"/>
        <bgColor indexed="64"/>
      </patternFill>
    </fill>
    <fill>
      <patternFill patternType="solid">
        <fgColor rgb="FFEBF6F9"/>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rgb="FFB4C6E7"/>
        <bgColor indexed="64"/>
      </patternFill>
    </fill>
    <fill>
      <patternFill patternType="solid">
        <fgColor rgb="FFEDF1F9"/>
        <bgColor indexed="64"/>
      </patternFill>
    </fill>
    <fill>
      <patternFill patternType="solid">
        <fgColor theme="4" tint="0.79998168889431442"/>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1"/>
      </left>
      <right style="thin">
        <color theme="1"/>
      </right>
      <top/>
      <bottom style="thin">
        <color theme="1"/>
      </bottom>
      <diagonal/>
    </border>
    <border>
      <left style="medium">
        <color theme="1"/>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medium">
        <color theme="1"/>
      </right>
      <top style="medium">
        <color theme="1"/>
      </top>
      <bottom style="medium">
        <color theme="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auto="1"/>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0">
    <xf numFmtId="0" fontId="0" fillId="0" borderId="0"/>
    <xf numFmtId="165"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xf numFmtId="171" fontId="1" fillId="0" borderId="0" applyFont="0" applyFill="0" applyBorder="0" applyAlignment="0" applyProtection="0"/>
    <xf numFmtId="0" fontId="1" fillId="0" borderId="0"/>
    <xf numFmtId="0" fontId="1" fillId="0" borderId="0"/>
  </cellStyleXfs>
  <cellXfs count="702">
    <xf numFmtId="0" fontId="0" fillId="0" borderId="0" xfId="0"/>
    <xf numFmtId="0" fontId="3" fillId="2" borderId="0" xfId="0" applyFont="1" applyFill="1" applyAlignment="1" applyProtection="1">
      <alignment vertical="center"/>
      <protection hidden="1"/>
    </xf>
    <xf numFmtId="0" fontId="2" fillId="0" borderId="0" xfId="0" applyFont="1" applyProtection="1">
      <protection hidden="1"/>
    </xf>
    <xf numFmtId="167" fontId="2" fillId="2" borderId="0" xfId="1" applyNumberFormat="1" applyFont="1" applyFill="1" applyProtection="1">
      <protection hidden="1"/>
    </xf>
    <xf numFmtId="165" fontId="21" fillId="6" borderId="1" xfId="4" applyNumberFormat="1" applyFont="1" applyFill="1" applyBorder="1" applyAlignment="1" applyProtection="1">
      <alignment horizontal="center" vertical="center" wrapText="1"/>
      <protection hidden="1"/>
    </xf>
    <xf numFmtId="17" fontId="9" fillId="3" borderId="1" xfId="0" applyNumberFormat="1" applyFont="1" applyFill="1" applyBorder="1" applyAlignment="1" applyProtection="1">
      <alignment horizontal="center" vertical="center"/>
      <protection locked="0"/>
    </xf>
    <xf numFmtId="38" fontId="21" fillId="13" borderId="1" xfId="0" applyNumberFormat="1" applyFont="1" applyFill="1" applyBorder="1" applyAlignment="1" applyProtection="1">
      <alignment horizontal="center" vertical="center" wrapText="1"/>
      <protection hidden="1"/>
    </xf>
    <xf numFmtId="1" fontId="22" fillId="14" borderId="1" xfId="3" applyNumberFormat="1" applyFont="1" applyFill="1" applyBorder="1" applyAlignment="1" applyProtection="1">
      <alignment horizontal="center" vertical="center"/>
      <protection locked="0"/>
    </xf>
    <xf numFmtId="1" fontId="22" fillId="15" borderId="1" xfId="3" applyNumberFormat="1" applyFont="1" applyFill="1" applyBorder="1" applyAlignment="1" applyProtection="1">
      <alignment horizontal="center" vertical="center"/>
      <protection hidden="1"/>
    </xf>
    <xf numFmtId="0" fontId="13" fillId="4" borderId="1" xfId="0" applyFont="1" applyFill="1" applyBorder="1" applyAlignment="1" applyProtection="1">
      <alignment horizontal="center" vertical="center"/>
      <protection hidden="1"/>
    </xf>
    <xf numFmtId="0" fontId="22" fillId="15" borderId="1" xfId="3" applyNumberFormat="1" applyFont="1" applyFill="1" applyBorder="1" applyAlignment="1" applyProtection="1">
      <alignment horizontal="center" vertical="center"/>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0" fontId="0" fillId="0" borderId="0" xfId="0" applyProtection="1">
      <protection hidden="1"/>
    </xf>
    <xf numFmtId="0" fontId="15" fillId="9" borderId="1" xfId="0" applyFont="1" applyFill="1" applyBorder="1" applyAlignment="1" applyProtection="1">
      <alignment vertical="center" wrapText="1"/>
      <protection hidden="1"/>
    </xf>
    <xf numFmtId="0" fontId="17" fillId="0" borderId="0" xfId="0" applyFont="1" applyProtection="1">
      <protection hidden="1"/>
    </xf>
    <xf numFmtId="0" fontId="12" fillId="7" borderId="1" xfId="0" applyFont="1" applyFill="1" applyBorder="1" applyAlignment="1" applyProtection="1">
      <alignment horizontal="center" vertical="center" wrapText="1"/>
      <protection hidden="1"/>
    </xf>
    <xf numFmtId="0" fontId="11" fillId="4" borderId="1" xfId="0" applyFont="1" applyFill="1" applyBorder="1" applyAlignment="1" applyProtection="1">
      <alignment vertical="center"/>
      <protection hidden="1"/>
    </xf>
    <xf numFmtId="0" fontId="2" fillId="2" borderId="0" xfId="0" applyFont="1" applyFill="1" applyProtection="1">
      <protection hidden="1"/>
    </xf>
    <xf numFmtId="0" fontId="0" fillId="2" borderId="0" xfId="0" applyFill="1" applyProtection="1">
      <protection hidden="1"/>
    </xf>
    <xf numFmtId="167" fontId="0" fillId="2" borderId="0" xfId="1" applyNumberFormat="1" applyFont="1" applyFill="1" applyProtection="1">
      <protection hidden="1"/>
    </xf>
    <xf numFmtId="0" fontId="2" fillId="2" borderId="0" xfId="0" applyFont="1" applyFill="1" applyAlignment="1" applyProtection="1">
      <protection hidden="1"/>
    </xf>
    <xf numFmtId="9" fontId="2" fillId="2" borderId="0" xfId="2" applyFont="1" applyFill="1" applyProtection="1">
      <protection hidden="1"/>
    </xf>
    <xf numFmtId="0" fontId="5" fillId="2" borderId="0" xfId="0" applyFont="1" applyFill="1" applyProtection="1">
      <protection hidden="1"/>
    </xf>
    <xf numFmtId="43" fontId="2" fillId="2" borderId="0" xfId="0" applyNumberFormat="1" applyFont="1" applyFill="1" applyProtection="1">
      <protection hidden="1"/>
    </xf>
    <xf numFmtId="167" fontId="2" fillId="2" borderId="0" xfId="0" applyNumberFormat="1" applyFont="1" applyFill="1" applyProtection="1">
      <protection hidden="1"/>
    </xf>
    <xf numFmtId="0" fontId="4" fillId="2" borderId="19" xfId="0" applyFont="1" applyFill="1" applyBorder="1" applyAlignment="1" applyProtection="1">
      <alignment horizontal="center"/>
      <protection hidden="1"/>
    </xf>
    <xf numFmtId="0" fontId="4" fillId="2" borderId="20" xfId="0" applyFont="1" applyFill="1" applyBorder="1" applyAlignment="1" applyProtection="1">
      <alignment horizontal="center"/>
      <protection hidden="1"/>
    </xf>
    <xf numFmtId="0" fontId="4" fillId="2" borderId="5" xfId="0" applyFont="1" applyFill="1" applyBorder="1" applyAlignment="1" applyProtection="1">
      <alignment horizontal="center"/>
      <protection hidden="1"/>
    </xf>
    <xf numFmtId="0" fontId="2" fillId="2" borderId="4" xfId="0" applyFont="1" applyFill="1" applyBorder="1" applyAlignment="1" applyProtection="1">
      <alignment horizontal="center"/>
      <protection hidden="1"/>
    </xf>
    <xf numFmtId="0" fontId="4" fillId="2" borderId="3" xfId="0" applyFont="1" applyFill="1" applyBorder="1" applyAlignment="1" applyProtection="1">
      <alignment horizontal="center"/>
      <protection hidden="1"/>
    </xf>
    <xf numFmtId="0" fontId="2" fillId="2" borderId="2" xfId="0" applyFont="1" applyFill="1" applyBorder="1" applyAlignment="1" applyProtection="1">
      <alignment horizontal="center"/>
      <protection hidden="1"/>
    </xf>
    <xf numFmtId="0" fontId="4" fillId="2" borderId="21" xfId="0" applyFont="1" applyFill="1" applyBorder="1" applyAlignment="1" applyProtection="1">
      <alignment horizontal="center"/>
      <protection hidden="1"/>
    </xf>
    <xf numFmtId="0" fontId="2" fillId="2" borderId="22" xfId="0" applyFont="1" applyFill="1" applyBorder="1" applyAlignment="1" applyProtection="1">
      <alignment horizontal="center"/>
      <protection hidden="1"/>
    </xf>
    <xf numFmtId="0" fontId="4" fillId="2" borderId="0" xfId="0" applyFont="1" applyFill="1" applyBorder="1" applyAlignment="1" applyProtection="1">
      <alignment horizontal="center"/>
      <protection hidden="1"/>
    </xf>
    <xf numFmtId="0" fontId="2" fillId="2" borderId="0" xfId="0" applyFont="1" applyFill="1" applyBorder="1" applyAlignment="1" applyProtection="1">
      <alignment horizontal="center"/>
      <protection hidden="1"/>
    </xf>
    <xf numFmtId="0" fontId="2" fillId="0" borderId="16" xfId="0" applyFont="1" applyBorder="1" applyAlignment="1" applyProtection="1">
      <alignment vertical="top" wrapText="1"/>
      <protection hidden="1"/>
    </xf>
    <xf numFmtId="0" fontId="2" fillId="0" borderId="17" xfId="0" applyFont="1" applyBorder="1" applyAlignment="1" applyProtection="1">
      <alignment vertical="top" wrapText="1"/>
      <protection hidden="1"/>
    </xf>
    <xf numFmtId="0" fontId="2" fillId="0" borderId="10" xfId="0" applyFont="1" applyBorder="1" applyAlignment="1" applyProtection="1">
      <alignment vertical="top" wrapText="1"/>
      <protection hidden="1"/>
    </xf>
    <xf numFmtId="0" fontId="2" fillId="0" borderId="11" xfId="0" applyFont="1" applyBorder="1" applyAlignment="1" applyProtection="1">
      <alignment vertical="top" wrapText="1"/>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168" fontId="22" fillId="15" borderId="1" xfId="3" applyNumberFormat="1" applyFont="1" applyFill="1" applyBorder="1" applyAlignment="1" applyProtection="1">
      <alignment horizontal="center" vertical="center"/>
      <protection hidden="1"/>
    </xf>
    <xf numFmtId="168" fontId="22" fillId="14" borderId="1" xfId="3" applyNumberFormat="1" applyFont="1" applyFill="1" applyBorder="1" applyAlignment="1" applyProtection="1">
      <alignment horizontal="center" vertical="center"/>
      <protection locked="0"/>
    </xf>
    <xf numFmtId="168" fontId="22" fillId="3" borderId="1" xfId="3" applyNumberFormat="1" applyFont="1" applyFill="1" applyBorder="1" applyAlignment="1" applyProtection="1">
      <alignment horizontal="center" vertical="center"/>
      <protection locked="0"/>
    </xf>
    <xf numFmtId="168" fontId="22" fillId="16" borderId="1" xfId="3"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 fontId="8" fillId="3" borderId="1" xfId="0" quotePrefix="1" applyNumberFormat="1" applyFont="1" applyFill="1" applyBorder="1" applyAlignment="1" applyProtection="1">
      <alignment vertical="center"/>
      <protection locked="0"/>
    </xf>
    <xf numFmtId="168" fontId="13" fillId="3" borderId="1" xfId="3" applyNumberFormat="1" applyFont="1" applyFill="1" applyBorder="1" applyAlignment="1" applyProtection="1">
      <alignment horizontal="center" vertical="center"/>
      <protection locked="0"/>
    </xf>
    <xf numFmtId="0" fontId="21" fillId="13" borderId="1" xfId="0" applyFont="1" applyFill="1" applyBorder="1" applyAlignment="1" applyProtection="1">
      <alignment horizontal="center" vertical="center" wrapText="1"/>
      <protection hidden="1"/>
    </xf>
    <xf numFmtId="165" fontId="21" fillId="6" borderId="6" xfId="4" applyNumberFormat="1" applyFont="1" applyFill="1" applyBorder="1" applyAlignment="1" applyProtection="1">
      <alignment horizontal="center" vertical="center"/>
      <protection hidden="1"/>
    </xf>
    <xf numFmtId="10" fontId="22" fillId="15" borderId="1" xfId="4" applyNumberFormat="1" applyFont="1" applyFill="1" applyBorder="1" applyAlignment="1" applyProtection="1">
      <alignment horizontal="center" vertical="center"/>
      <protection hidden="1"/>
    </xf>
    <xf numFmtId="17" fontId="9" fillId="3" borderId="1" xfId="0" applyNumberFormat="1" applyFont="1" applyFill="1" applyBorder="1" applyAlignment="1" applyProtection="1">
      <alignment horizontal="center" vertical="center"/>
      <protection hidden="1"/>
    </xf>
    <xf numFmtId="168" fontId="22" fillId="14" borderId="1" xfId="3" applyNumberFormat="1" applyFont="1" applyFill="1" applyBorder="1" applyAlignment="1" applyProtection="1">
      <alignment horizontal="center" vertical="center"/>
      <protection hidden="1"/>
    </xf>
    <xf numFmtId="0" fontId="16" fillId="9"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165" fontId="21" fillId="6" borderId="1" xfId="4" applyNumberFormat="1" applyFont="1" applyFill="1" applyBorder="1" applyAlignment="1" applyProtection="1">
      <alignment horizontal="center" vertical="center"/>
      <protection hidden="1"/>
    </xf>
    <xf numFmtId="0" fontId="11" fillId="4" borderId="1" xfId="0" applyFont="1" applyFill="1" applyBorder="1" applyAlignment="1" applyProtection="1">
      <alignment horizontal="center" vertical="center" wrapText="1"/>
      <protection hidden="1"/>
    </xf>
    <xf numFmtId="0" fontId="14" fillId="4" borderId="1" xfId="0" applyFont="1" applyFill="1" applyBorder="1" applyAlignment="1" applyProtection="1">
      <alignment horizontal="center" vertical="center" wrapText="1"/>
      <protection hidden="1"/>
    </xf>
    <xf numFmtId="0" fontId="2" fillId="2" borderId="0" xfId="0" applyFont="1" applyFill="1" applyAlignment="1" applyProtection="1">
      <alignment horizontal="center"/>
      <protection hidden="1"/>
    </xf>
    <xf numFmtId="168" fontId="21" fillId="20" borderId="1" xfId="3" applyNumberFormat="1" applyFont="1" applyFill="1" applyBorder="1" applyAlignment="1" applyProtection="1">
      <alignment horizontal="center" vertical="center"/>
      <protection hidden="1"/>
    </xf>
    <xf numFmtId="168" fontId="21" fillId="21" borderId="1" xfId="3" applyNumberFormat="1" applyFont="1" applyFill="1" applyBorder="1" applyAlignment="1" applyProtection="1">
      <alignment horizontal="center" vertical="center"/>
      <protection hidden="1"/>
    </xf>
    <xf numFmtId="49" fontId="0" fillId="0" borderId="0" xfId="0" applyNumberFormat="1" applyProtection="1">
      <protection hidden="1"/>
    </xf>
    <xf numFmtId="1" fontId="0" fillId="0" borderId="0" xfId="0" applyNumberFormat="1" applyProtection="1">
      <protection hidden="1"/>
    </xf>
    <xf numFmtId="1" fontId="8" fillId="3" borderId="1" xfId="0" quotePrefix="1" applyNumberFormat="1" applyFont="1" applyFill="1" applyBorder="1" applyAlignment="1" applyProtection="1">
      <alignment horizontal="center" vertical="center"/>
      <protection locked="0"/>
    </xf>
    <xf numFmtId="0" fontId="13" fillId="4" borderId="1" xfId="0" applyFont="1" applyFill="1" applyBorder="1" applyAlignment="1" applyProtection="1">
      <alignment horizontal="center" vertical="center"/>
      <protection locked="0"/>
    </xf>
    <xf numFmtId="169" fontId="11" fillId="3" borderId="1" xfId="0" applyNumberFormat="1" applyFont="1" applyFill="1" applyBorder="1" applyAlignment="1" applyProtection="1">
      <alignment horizontal="center" vertical="center"/>
      <protection locked="0" hidden="1"/>
    </xf>
    <xf numFmtId="168" fontId="13" fillId="3" borderId="1" xfId="3" applyNumberFormat="1" applyFont="1" applyFill="1" applyBorder="1" applyAlignment="1" applyProtection="1">
      <alignment horizontal="center" vertical="center"/>
      <protection locked="0" hidden="1"/>
    </xf>
    <xf numFmtId="0" fontId="38" fillId="4" borderId="1" xfId="0" applyFont="1" applyFill="1" applyBorder="1" applyAlignment="1" applyProtection="1">
      <alignment horizontal="center" vertical="center"/>
      <protection hidden="1"/>
    </xf>
    <xf numFmtId="1" fontId="38" fillId="11" borderId="1" xfId="0" applyNumberFormat="1" applyFont="1" applyFill="1" applyBorder="1" applyAlignment="1" applyProtection="1">
      <alignment horizontal="center" vertical="center"/>
      <protection hidden="1"/>
    </xf>
    <xf numFmtId="0" fontId="37" fillId="4" borderId="1" xfId="0" applyFont="1" applyFill="1" applyBorder="1" applyAlignment="1" applyProtection="1">
      <alignment vertical="center"/>
      <protection hidden="1"/>
    </xf>
    <xf numFmtId="0" fontId="0" fillId="0" borderId="0" xfId="0" applyBorder="1" applyProtection="1">
      <protection hidden="1"/>
    </xf>
    <xf numFmtId="14" fontId="32" fillId="3" borderId="1" xfId="0" applyNumberFormat="1" applyFont="1" applyFill="1" applyBorder="1" applyAlignment="1" applyProtection="1">
      <alignment horizontal="center" vertical="center"/>
      <protection locked="0"/>
    </xf>
    <xf numFmtId="10" fontId="13" fillId="3" borderId="1" xfId="0" applyNumberFormat="1"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168" fontId="11" fillId="11" borderId="1" xfId="3" applyNumberFormat="1" applyFont="1" applyFill="1" applyBorder="1" applyAlignment="1" applyProtection="1">
      <alignment horizontal="center" vertical="center"/>
      <protection hidden="1"/>
    </xf>
    <xf numFmtId="0" fontId="12" fillId="11" borderId="6" xfId="3" applyNumberFormat="1" applyFont="1" applyFill="1" applyBorder="1" applyAlignment="1" applyProtection="1">
      <alignment vertical="center"/>
      <protection hidden="1"/>
    </xf>
    <xf numFmtId="0" fontId="12" fillId="11" borderId="8" xfId="3" applyNumberFormat="1" applyFont="1" applyFill="1" applyBorder="1" applyAlignment="1" applyProtection="1">
      <alignment vertical="center"/>
      <protection hidden="1"/>
    </xf>
    <xf numFmtId="0" fontId="12" fillId="11" borderId="7" xfId="3" applyNumberFormat="1" applyFont="1" applyFill="1" applyBorder="1" applyAlignment="1" applyProtection="1">
      <alignment vertical="center"/>
      <protection hidden="1"/>
    </xf>
    <xf numFmtId="0" fontId="27" fillId="4" borderId="1" xfId="0" applyFont="1" applyFill="1" applyBorder="1" applyAlignment="1" applyProtection="1">
      <alignment vertical="center"/>
      <protection hidden="1"/>
    </xf>
    <xf numFmtId="169" fontId="13" fillId="3" borderId="1" xfId="0" applyNumberFormat="1" applyFont="1" applyFill="1" applyBorder="1" applyAlignment="1" applyProtection="1">
      <alignment horizontal="center" vertical="center"/>
      <protection locked="0"/>
    </xf>
    <xf numFmtId="0" fontId="13" fillId="3" borderId="1" xfId="0" applyFont="1" applyFill="1" applyBorder="1" applyAlignment="1" applyProtection="1">
      <alignment vertical="center"/>
      <protection locked="0"/>
    </xf>
    <xf numFmtId="0" fontId="11" fillId="4" borderId="1" xfId="0" applyFont="1" applyFill="1" applyBorder="1" applyAlignment="1" applyProtection="1">
      <alignment horizontal="center" vertical="center"/>
      <protection locked="0"/>
    </xf>
    <xf numFmtId="0" fontId="13" fillId="4" borderId="6" xfId="0" applyFont="1" applyFill="1" applyBorder="1" applyAlignment="1" applyProtection="1">
      <alignment horizontal="center" vertical="center"/>
      <protection locked="0"/>
    </xf>
    <xf numFmtId="0" fontId="11" fillId="4" borderId="6" xfId="0" applyFont="1" applyFill="1" applyBorder="1" applyAlignment="1" applyProtection="1">
      <alignment vertical="center"/>
      <protection locked="0"/>
    </xf>
    <xf numFmtId="0" fontId="11" fillId="4" borderId="7" xfId="0" applyFont="1" applyFill="1" applyBorder="1" applyAlignment="1" applyProtection="1">
      <alignment vertical="center"/>
      <protection locked="0"/>
    </xf>
    <xf numFmtId="9" fontId="13" fillId="3" borderId="1" xfId="2" applyFont="1" applyFill="1" applyBorder="1" applyAlignment="1" applyProtection="1">
      <alignment horizontal="center" vertical="center"/>
    </xf>
    <xf numFmtId="0" fontId="39" fillId="23" borderId="1" xfId="0" applyFont="1" applyFill="1" applyBorder="1" applyAlignment="1" applyProtection="1">
      <alignment horizontal="center" vertical="center" wrapText="1"/>
      <protection hidden="1"/>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68" fontId="16" fillId="11" borderId="1" xfId="5" applyNumberFormat="1" applyFont="1" applyFill="1" applyBorder="1" applyAlignment="1" applyProtection="1">
      <alignment horizontal="right" vertical="center"/>
      <protection hidden="1"/>
    </xf>
    <xf numFmtId="0" fontId="15" fillId="9" borderId="1" xfId="0" applyFont="1" applyFill="1" applyBorder="1" applyAlignment="1" applyProtection="1">
      <alignment horizontal="left" vertical="center" wrapText="1"/>
      <protection hidden="1"/>
    </xf>
    <xf numFmtId="170" fontId="16" fillId="11" borderId="1" xfId="5" applyNumberFormat="1" applyFont="1" applyFill="1" applyBorder="1" applyAlignment="1" applyProtection="1">
      <alignment horizontal="right" vertical="center"/>
      <protection hidden="1"/>
    </xf>
    <xf numFmtId="0" fontId="16" fillId="11" borderId="1" xfId="5" applyNumberFormat="1" applyFont="1" applyFill="1" applyBorder="1" applyAlignment="1" applyProtection="1">
      <alignment horizontal="right" vertical="center"/>
      <protection hidden="1"/>
    </xf>
    <xf numFmtId="0" fontId="0" fillId="0" borderId="14" xfId="0" applyBorder="1" applyProtection="1">
      <protection hidden="1"/>
    </xf>
    <xf numFmtId="0" fontId="39" fillId="11" borderId="1"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locked="0"/>
    </xf>
    <xf numFmtId="10" fontId="16" fillId="9" borderId="1" xfId="0" applyNumberFormat="1" applyFont="1" applyFill="1" applyBorder="1" applyAlignment="1" applyProtection="1">
      <alignment horizontal="center" vertical="center"/>
      <protection hidden="1"/>
    </xf>
    <xf numFmtId="168" fontId="16" fillId="3" borderId="6"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0" fontId="16" fillId="9" borderId="1" xfId="0" applyFont="1" applyFill="1" applyBorder="1" applyAlignment="1" applyProtection="1">
      <alignment horizontal="center" vertical="center" wrapText="1"/>
      <protection hidden="1"/>
    </xf>
    <xf numFmtId="0" fontId="15" fillId="9" borderId="6" xfId="0" applyFont="1" applyFill="1" applyBorder="1" applyAlignment="1" applyProtection="1">
      <alignment horizontal="center" vertical="center" wrapText="1"/>
      <protection hidden="1"/>
    </xf>
    <xf numFmtId="168" fontId="16" fillId="3" borderId="6" xfId="5" applyNumberFormat="1" applyFont="1" applyFill="1" applyBorder="1" applyAlignment="1" applyProtection="1">
      <alignment horizontal="right" vertical="center"/>
      <protection locked="0"/>
    </xf>
    <xf numFmtId="0" fontId="15" fillId="9" borderId="1" xfId="0" applyFont="1" applyFill="1" applyBorder="1" applyAlignment="1" applyProtection="1">
      <alignment horizontal="center" vertical="center" wrapText="1"/>
      <protection hidden="1"/>
    </xf>
    <xf numFmtId="168" fontId="16" fillId="11" borderId="1" xfId="5" applyNumberFormat="1" applyFont="1" applyFill="1" applyBorder="1" applyAlignment="1" applyProtection="1">
      <alignment horizontal="right" vertical="center"/>
      <protection hidden="1"/>
    </xf>
    <xf numFmtId="0" fontId="13" fillId="3" borderId="1" xfId="0" applyFont="1" applyFill="1" applyBorder="1" applyAlignment="1" applyProtection="1">
      <alignment horizontal="left" vertical="center"/>
      <protection locked="0"/>
    </xf>
    <xf numFmtId="0" fontId="37" fillId="4" borderId="6" xfId="0" applyFont="1" applyFill="1" applyBorder="1" applyAlignment="1" applyProtection="1">
      <alignment horizontal="left" vertical="center"/>
      <protection hidden="1"/>
    </xf>
    <xf numFmtId="168" fontId="11" fillId="11" borderId="1" xfId="0" applyNumberFormat="1" applyFont="1" applyFill="1" applyBorder="1" applyAlignment="1" applyProtection="1">
      <alignment horizontal="center" vertical="center"/>
      <protection hidden="1"/>
    </xf>
    <xf numFmtId="168" fontId="38" fillId="3" borderId="6" xfId="0" applyNumberFormat="1" applyFont="1" applyFill="1" applyBorder="1" applyAlignment="1" applyProtection="1">
      <alignment horizontal="center" vertical="center"/>
      <protection locked="0"/>
    </xf>
    <xf numFmtId="168" fontId="16" fillId="11" borderId="6" xfId="5" applyNumberFormat="1" applyFont="1" applyFill="1" applyBorder="1" applyAlignment="1" applyProtection="1">
      <alignment horizontal="center" vertical="center"/>
      <protection hidden="1"/>
    </xf>
    <xf numFmtId="0" fontId="15" fillId="9" borderId="6" xfId="0" applyFont="1" applyFill="1" applyBorder="1" applyAlignment="1" applyProtection="1">
      <alignment horizontal="left" vertical="center" wrapText="1"/>
      <protection hidden="1"/>
    </xf>
    <xf numFmtId="0" fontId="16" fillId="9" borderId="6" xfId="0" applyFont="1" applyFill="1" applyBorder="1" applyAlignment="1" applyProtection="1">
      <alignment horizontal="center" vertical="center" wrapText="1"/>
      <protection hidden="1"/>
    </xf>
    <xf numFmtId="0" fontId="16" fillId="9" borderId="7" xfId="0" applyFont="1" applyFill="1" applyBorder="1" applyAlignment="1" applyProtection="1">
      <alignment horizontal="center" vertical="center" wrapText="1"/>
      <protection hidden="1"/>
    </xf>
    <xf numFmtId="168" fontId="16" fillId="11" borderId="1" xfId="5" applyNumberFormat="1" applyFont="1" applyFill="1" applyBorder="1" applyAlignment="1" applyProtection="1">
      <alignment horizontal="center" vertical="center"/>
      <protection hidden="1"/>
    </xf>
    <xf numFmtId="10" fontId="16" fillId="3" borderId="1" xfId="5" applyNumberFormat="1" applyFont="1" applyFill="1" applyBorder="1" applyAlignment="1" applyProtection="1">
      <alignment horizontal="center" vertical="center"/>
      <protection locked="0"/>
    </xf>
    <xf numFmtId="0" fontId="16" fillId="3" borderId="1" xfId="5" applyNumberFormat="1" applyFont="1" applyFill="1" applyBorder="1" applyAlignment="1" applyProtection="1">
      <alignment horizontal="center" vertical="center"/>
      <protection locked="0"/>
    </xf>
    <xf numFmtId="0" fontId="15" fillId="9" borderId="1" xfId="0" applyFont="1" applyFill="1" applyBorder="1" applyAlignment="1" applyProtection="1">
      <alignment horizontal="left" vertical="center" wrapText="1"/>
      <protection hidden="1"/>
    </xf>
    <xf numFmtId="0" fontId="16" fillId="11" borderId="1" xfId="5" applyNumberFormat="1" applyFont="1" applyFill="1" applyBorder="1" applyAlignment="1" applyProtection="1">
      <alignment horizontal="right" vertical="center"/>
      <protection hidden="1"/>
    </xf>
    <xf numFmtId="8" fontId="16" fillId="11" borderId="1" xfId="0" applyNumberFormat="1" applyFont="1" applyFill="1" applyBorder="1" applyAlignment="1" applyProtection="1">
      <alignment horizontal="right"/>
      <protection hidden="1"/>
    </xf>
    <xf numFmtId="49" fontId="16" fillId="3" borderId="1" xfId="0" applyNumberFormat="1" applyFont="1" applyFill="1" applyBorder="1" applyAlignment="1" applyProtection="1">
      <alignment horizontal="right"/>
      <protection locked="0"/>
    </xf>
    <xf numFmtId="8" fontId="16" fillId="11" borderId="6" xfId="0" applyNumberFormat="1" applyFont="1" applyFill="1" applyBorder="1" applyAlignment="1" applyProtection="1">
      <alignment horizontal="right"/>
      <protection locked="0"/>
    </xf>
    <xf numFmtId="170" fontId="16" fillId="3" borderId="1" xfId="0" applyNumberFormat="1" applyFont="1" applyFill="1" applyBorder="1" applyAlignment="1" applyProtection="1">
      <alignment horizontal="right"/>
      <protection locked="0"/>
    </xf>
    <xf numFmtId="0" fontId="4" fillId="2" borderId="1" xfId="0" applyFont="1" applyFill="1" applyBorder="1" applyAlignment="1" applyProtection="1">
      <alignment horizontal="center"/>
      <protection hidden="1"/>
    </xf>
    <xf numFmtId="0" fontId="2" fillId="2" borderId="1" xfId="0" applyFont="1" applyFill="1" applyBorder="1" applyAlignment="1" applyProtection="1">
      <alignment horizontal="left"/>
      <protection hidden="1"/>
    </xf>
    <xf numFmtId="0" fontId="2" fillId="2" borderId="1" xfId="0" applyFont="1" applyFill="1" applyBorder="1" applyProtection="1">
      <protection hidden="1"/>
    </xf>
    <xf numFmtId="10" fontId="16" fillId="11" borderId="1" xfId="2" applyNumberFormat="1" applyFont="1" applyFill="1" applyBorder="1" applyAlignment="1" applyProtection="1">
      <alignment horizontal="right" vertical="center"/>
      <protection hidden="1"/>
    </xf>
    <xf numFmtId="168" fontId="16" fillId="3" borderId="6" xfId="5" applyNumberFormat="1" applyFont="1" applyFill="1" applyBorder="1" applyAlignment="1" applyProtection="1">
      <alignment horizontal="center" vertical="center"/>
      <protection locked="0"/>
    </xf>
    <xf numFmtId="9" fontId="16" fillId="7" borderId="1" xfId="2" applyFont="1" applyFill="1" applyBorder="1" applyAlignment="1" applyProtection="1">
      <alignment horizontal="center" vertical="center"/>
      <protection hidden="1"/>
    </xf>
    <xf numFmtId="0" fontId="37" fillId="4" borderId="6" xfId="0" applyFont="1" applyFill="1" applyBorder="1" applyAlignment="1" applyProtection="1">
      <alignment horizontal="center" vertical="center"/>
      <protection hidden="1"/>
    </xf>
    <xf numFmtId="9" fontId="16" fillId="3" borderId="1"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68" fontId="16" fillId="11" borderId="1" xfId="5" applyNumberFormat="1" applyFont="1" applyFill="1" applyBorder="1" applyAlignment="1" applyProtection="1">
      <alignment horizontal="right" vertical="center"/>
      <protection hidden="1"/>
    </xf>
    <xf numFmtId="0" fontId="16" fillId="11" borderId="1" xfId="5" applyNumberFormat="1" applyFont="1" applyFill="1" applyBorder="1" applyAlignment="1" applyProtection="1">
      <alignment horizontal="right" vertical="center"/>
      <protection hidden="1"/>
    </xf>
    <xf numFmtId="0" fontId="15" fillId="9" borderId="1" xfId="0" applyFont="1" applyFill="1" applyBorder="1" applyAlignment="1" applyProtection="1">
      <alignment horizontal="left" vertical="center" wrapText="1"/>
      <protection hidden="1"/>
    </xf>
    <xf numFmtId="170" fontId="16" fillId="11" borderId="1" xfId="0" applyNumberFormat="1" applyFont="1" applyFill="1" applyBorder="1" applyAlignment="1" applyProtection="1">
      <alignment horizontal="right"/>
      <protection hidden="1"/>
    </xf>
    <xf numFmtId="0" fontId="15" fillId="9" borderId="1" xfId="0" applyFont="1" applyFill="1" applyBorder="1" applyAlignment="1" applyProtection="1">
      <alignment horizontal="left" vertical="center" wrapText="1"/>
      <protection hidden="1"/>
    </xf>
    <xf numFmtId="0" fontId="15" fillId="25" borderId="1" xfId="0" applyFont="1" applyFill="1" applyBorder="1" applyAlignment="1" applyProtection="1">
      <alignment horizontal="left" vertical="center" wrapText="1"/>
      <protection hidden="1"/>
    </xf>
    <xf numFmtId="0" fontId="41" fillId="0" borderId="0" xfId="0" applyFont="1" applyProtection="1">
      <protection hidden="1"/>
    </xf>
    <xf numFmtId="0" fontId="39" fillId="23" borderId="1" xfId="0" applyFont="1" applyFill="1" applyBorder="1" applyAlignment="1" applyProtection="1">
      <alignment horizontal="left" vertical="center" wrapText="1"/>
      <protection hidden="1"/>
    </xf>
    <xf numFmtId="0" fontId="32" fillId="3" borderId="1" xfId="0" applyFont="1" applyFill="1" applyBorder="1" applyAlignment="1" applyProtection="1">
      <alignment horizontal="left" vertical="center" wrapText="1"/>
      <protection locked="0"/>
    </xf>
    <xf numFmtId="0" fontId="0" fillId="0" borderId="0" xfId="0" applyAlignment="1">
      <alignment horizontal="left" vertical="center" indent="5"/>
    </xf>
    <xf numFmtId="0" fontId="41" fillId="0" borderId="30" xfId="0" applyFont="1" applyBorder="1" applyAlignment="1">
      <alignment horizontal="center" vertical="center" wrapText="1"/>
    </xf>
    <xf numFmtId="0" fontId="41" fillId="0" borderId="31" xfId="0" applyFont="1" applyBorder="1" applyAlignment="1">
      <alignment horizontal="center" vertical="center" wrapText="1"/>
    </xf>
    <xf numFmtId="0" fontId="41" fillId="0" borderId="32" xfId="0" applyFont="1" applyBorder="1" applyAlignment="1">
      <alignment horizontal="center" vertical="center" wrapText="1"/>
    </xf>
    <xf numFmtId="0" fontId="41" fillId="0" borderId="30" xfId="0" applyFont="1" applyBorder="1" applyAlignment="1">
      <alignment vertical="center" wrapText="1"/>
    </xf>
    <xf numFmtId="0" fontId="0" fillId="0" borderId="31" xfId="0" applyBorder="1" applyAlignment="1">
      <alignment vertical="center" wrapText="1"/>
    </xf>
    <xf numFmtId="0" fontId="0" fillId="0" borderId="30" xfId="0" applyBorder="1" applyAlignment="1">
      <alignment vertical="center" wrapText="1"/>
    </xf>
    <xf numFmtId="0" fontId="44" fillId="0" borderId="0" xfId="0" applyFont="1" applyAlignment="1">
      <alignment vertical="center"/>
    </xf>
    <xf numFmtId="0" fontId="45" fillId="0" borderId="0" xfId="0" applyFont="1" applyAlignment="1">
      <alignment vertical="center"/>
    </xf>
    <xf numFmtId="0" fontId="46" fillId="0" borderId="0" xfId="0" applyFont="1" applyAlignment="1">
      <alignment horizontal="left" vertical="center" indent="5"/>
    </xf>
    <xf numFmtId="0" fontId="0" fillId="0" borderId="0" xfId="0" applyAlignment="1">
      <alignment vertical="center"/>
    </xf>
    <xf numFmtId="0" fontId="43" fillId="0" borderId="0" xfId="0" applyFont="1" applyAlignment="1">
      <alignment vertical="center"/>
    </xf>
    <xf numFmtId="0" fontId="0" fillId="0" borderId="0" xfId="0" applyAlignment="1" applyProtection="1">
      <alignment horizontal="left"/>
      <protection hidden="1"/>
    </xf>
    <xf numFmtId="0" fontId="0" fillId="0" borderId="0" xfId="0" applyAlignment="1">
      <alignment horizontal="left" vertical="top" indent="5"/>
    </xf>
    <xf numFmtId="0" fontId="0" fillId="0" borderId="0" xfId="0" applyAlignment="1">
      <alignment horizontal="left" vertical="top"/>
    </xf>
    <xf numFmtId="0" fontId="0" fillId="0" borderId="0" xfId="0" applyAlignment="1" applyProtection="1">
      <alignment horizontal="left" vertical="top"/>
      <protection hidden="1"/>
    </xf>
    <xf numFmtId="2" fontId="9" fillId="3" borderId="1" xfId="0" applyNumberFormat="1" applyFont="1" applyFill="1" applyBorder="1" applyAlignment="1" applyProtection="1">
      <alignment horizontal="center" vertical="center"/>
      <protection locked="0"/>
    </xf>
    <xf numFmtId="0" fontId="48" fillId="3" borderId="1" xfId="0" applyFont="1" applyFill="1" applyBorder="1" applyAlignment="1" applyProtection="1">
      <alignment horizontal="center" vertical="center" wrapText="1"/>
      <protection locked="0"/>
    </xf>
    <xf numFmtId="0" fontId="0" fillId="27" borderId="1" xfId="0" applyFill="1" applyBorder="1" applyAlignment="1" applyProtection="1">
      <alignment vertical="center" wrapText="1"/>
      <protection hidden="1"/>
    </xf>
    <xf numFmtId="0" fontId="13" fillId="3" borderId="1" xfId="0" applyFont="1" applyFill="1" applyBorder="1" applyAlignment="1" applyProtection="1">
      <alignment horizontal="center" vertical="center"/>
      <protection locked="0"/>
    </xf>
    <xf numFmtId="0" fontId="0" fillId="19" borderId="1" xfId="0" applyFill="1" applyBorder="1" applyAlignment="1">
      <alignment horizontal="left"/>
    </xf>
    <xf numFmtId="15" fontId="0" fillId="19" borderId="1" xfId="0" applyNumberFormat="1" applyFill="1" applyBorder="1" applyAlignment="1">
      <alignment horizontal="left"/>
    </xf>
    <xf numFmtId="0" fontId="0" fillId="19" borderId="1" xfId="0" quotePrefix="1" applyFill="1" applyBorder="1" applyAlignment="1">
      <alignment horizontal="left"/>
    </xf>
    <xf numFmtId="15" fontId="0" fillId="19" borderId="1" xfId="0" quotePrefix="1" applyNumberFormat="1" applyFill="1" applyBorder="1" applyAlignment="1">
      <alignment horizontal="left"/>
    </xf>
    <xf numFmtId="0" fontId="0" fillId="19" borderId="1" xfId="0" applyFill="1" applyBorder="1" applyAlignment="1">
      <alignment horizontal="left" vertical="center" wrapText="1"/>
    </xf>
    <xf numFmtId="0" fontId="0" fillId="19" borderId="1" xfId="0" applyFill="1" applyBorder="1" applyAlignment="1">
      <alignment horizontal="left" vertical="center"/>
    </xf>
    <xf numFmtId="0" fontId="0" fillId="19" borderId="1" xfId="0" applyFill="1" applyBorder="1"/>
    <xf numFmtId="0" fontId="19" fillId="19" borderId="1" xfId="6" applyFill="1" applyBorder="1" applyAlignment="1">
      <alignment horizontal="left"/>
    </xf>
    <xf numFmtId="0" fontId="49" fillId="19" borderId="1" xfId="6" applyFont="1" applyFill="1" applyBorder="1" applyAlignment="1">
      <alignment horizontal="left"/>
    </xf>
    <xf numFmtId="0" fontId="21" fillId="13" borderId="1" xfId="0" applyFont="1" applyFill="1" applyBorder="1" applyAlignment="1" applyProtection="1">
      <alignment horizontal="center" vertical="center" wrapText="1"/>
      <protection hidden="1"/>
    </xf>
    <xf numFmtId="0" fontId="41" fillId="0" borderId="0" xfId="0" applyFont="1"/>
    <xf numFmtId="0" fontId="18" fillId="28" borderId="6" xfId="0" applyFont="1" applyFill="1" applyBorder="1"/>
    <xf numFmtId="0" fontId="52" fillId="28" borderId="7" xfId="0" applyFont="1" applyFill="1" applyBorder="1"/>
    <xf numFmtId="0" fontId="52" fillId="28" borderId="8" xfId="0" applyFont="1" applyFill="1" applyBorder="1"/>
    <xf numFmtId="0" fontId="16" fillId="22" borderId="1" xfId="0" applyFont="1" applyFill="1" applyBorder="1" applyAlignment="1">
      <alignment horizontal="center"/>
    </xf>
    <xf numFmtId="0" fontId="15" fillId="29" borderId="6" xfId="0" applyFont="1" applyFill="1" applyBorder="1"/>
    <xf numFmtId="0" fontId="15" fillId="29" borderId="7" xfId="0" applyFont="1" applyFill="1" applyBorder="1"/>
    <xf numFmtId="0" fontId="15" fillId="29" borderId="8" xfId="0" applyFont="1" applyFill="1" applyBorder="1"/>
    <xf numFmtId="0" fontId="32" fillId="3" borderId="1" xfId="0" applyFont="1" applyFill="1" applyBorder="1"/>
    <xf numFmtId="168" fontId="32" fillId="3" borderId="1" xfId="7" applyNumberFormat="1" applyFont="1" applyFill="1" applyBorder="1" applyAlignment="1" applyProtection="1">
      <alignment horizontal="right" vertical="center"/>
      <protection locked="0"/>
    </xf>
    <xf numFmtId="9" fontId="32" fillId="3" borderId="1" xfId="2" applyFont="1" applyFill="1" applyBorder="1" applyAlignment="1">
      <alignment horizontal="center"/>
    </xf>
    <xf numFmtId="168" fontId="33" fillId="3" borderId="1" xfId="7" applyNumberFormat="1" applyFont="1" applyFill="1" applyBorder="1" applyAlignment="1" applyProtection="1">
      <alignment horizontal="right" vertical="center"/>
      <protection locked="0"/>
    </xf>
    <xf numFmtId="0" fontId="16" fillId="10" borderId="1" xfId="0" applyFont="1" applyFill="1" applyBorder="1"/>
    <xf numFmtId="9" fontId="16" fillId="10" borderId="1" xfId="2" applyFont="1" applyFill="1" applyBorder="1" applyAlignment="1">
      <alignment horizontal="center"/>
    </xf>
    <xf numFmtId="0" fontId="53" fillId="0" borderId="0" xfId="0" applyFont="1"/>
    <xf numFmtId="2" fontId="32" fillId="3" borderId="1" xfId="0" applyNumberFormat="1" applyFont="1" applyFill="1" applyBorder="1" applyProtection="1">
      <protection locked="0"/>
    </xf>
    <xf numFmtId="2" fontId="15" fillId="29" borderId="7" xfId="0" applyNumberFormat="1" applyFont="1" applyFill="1" applyBorder="1"/>
    <xf numFmtId="0" fontId="15" fillId="18" borderId="1" xfId="0" applyFont="1" applyFill="1" applyBorder="1"/>
    <xf numFmtId="0" fontId="7" fillId="18" borderId="1" xfId="0" applyFont="1" applyFill="1" applyBorder="1"/>
    <xf numFmtId="0" fontId="55" fillId="0" borderId="0" xfId="0" applyFont="1"/>
    <xf numFmtId="0" fontId="31" fillId="30" borderId="1" xfId="0" applyFont="1" applyFill="1" applyBorder="1"/>
    <xf numFmtId="0" fontId="52" fillId="30" borderId="1" xfId="0" applyFont="1" applyFill="1" applyBorder="1"/>
    <xf numFmtId="0" fontId="18" fillId="28" borderId="1" xfId="0" applyFont="1" applyFill="1" applyBorder="1"/>
    <xf numFmtId="0" fontId="51" fillId="28" borderId="7" xfId="0" applyFont="1" applyFill="1" applyBorder="1"/>
    <xf numFmtId="0" fontId="51" fillId="28" borderId="8" xfId="0" applyFont="1" applyFill="1" applyBorder="1"/>
    <xf numFmtId="0" fontId="33" fillId="3" borderId="1" xfId="0" applyFont="1" applyFill="1" applyBorder="1"/>
    <xf numFmtId="9" fontId="33" fillId="3" borderId="1" xfId="2" applyFont="1" applyFill="1" applyBorder="1" applyAlignment="1">
      <alignment horizontal="center"/>
    </xf>
    <xf numFmtId="0" fontId="16" fillId="10" borderId="6" xfId="0" applyFont="1" applyFill="1" applyBorder="1"/>
    <xf numFmtId="2" fontId="27" fillId="10" borderId="7" xfId="0" applyNumberFormat="1" applyFont="1" applyFill="1" applyBorder="1"/>
    <xf numFmtId="0" fontId="27" fillId="10" borderId="7" xfId="0" applyFont="1" applyFill="1" applyBorder="1" applyAlignment="1">
      <alignment horizontal="center"/>
    </xf>
    <xf numFmtId="0" fontId="27" fillId="10" borderId="8" xfId="0" applyFont="1" applyFill="1" applyBorder="1" applyAlignment="1">
      <alignment horizontal="center"/>
    </xf>
    <xf numFmtId="0" fontId="56" fillId="0" borderId="0" xfId="0" applyFont="1"/>
    <xf numFmtId="0" fontId="50" fillId="0" borderId="0" xfId="0" applyFont="1"/>
    <xf numFmtId="0" fontId="16" fillId="22" borderId="1" xfId="0" applyFont="1" applyFill="1" applyBorder="1" applyAlignment="1" applyProtection="1">
      <alignment horizontal="center"/>
      <protection locked="0"/>
    </xf>
    <xf numFmtId="0" fontId="25" fillId="0" borderId="0" xfId="0" applyFont="1" applyFill="1" applyBorder="1" applyAlignment="1" applyProtection="1">
      <alignment horizontal="center"/>
      <protection hidden="1"/>
    </xf>
    <xf numFmtId="168" fontId="16" fillId="0" borderId="0" xfId="5" applyNumberFormat="1" applyFont="1" applyFill="1" applyBorder="1" applyAlignment="1" applyProtection="1">
      <alignment horizontal="right" vertical="center"/>
      <protection locked="0"/>
    </xf>
    <xf numFmtId="10" fontId="16" fillId="0" borderId="0" xfId="0" applyNumberFormat="1" applyFont="1" applyFill="1" applyBorder="1" applyAlignment="1" applyProtection="1">
      <alignment horizontal="right" vertical="center"/>
      <protection locked="0"/>
    </xf>
    <xf numFmtId="0" fontId="16" fillId="0" borderId="0" xfId="0" applyFont="1" applyFill="1" applyBorder="1" applyAlignment="1" applyProtection="1">
      <alignment horizontal="right"/>
      <protection locked="0"/>
    </xf>
    <xf numFmtId="8" fontId="16" fillId="0" borderId="0" xfId="0" applyNumberFormat="1" applyFont="1" applyFill="1" applyBorder="1" applyAlignment="1" applyProtection="1">
      <alignment horizontal="right"/>
      <protection hidden="1"/>
    </xf>
    <xf numFmtId="168" fontId="16" fillId="0" borderId="0" xfId="0" applyNumberFormat="1" applyFont="1" applyFill="1" applyBorder="1" applyAlignment="1" applyProtection="1">
      <alignment horizontal="right"/>
      <protection hidden="1"/>
    </xf>
    <xf numFmtId="2" fontId="16" fillId="0" borderId="0" xfId="0" applyNumberFormat="1" applyFont="1" applyFill="1" applyBorder="1" applyAlignment="1" applyProtection="1">
      <alignment horizontal="right"/>
      <protection hidden="1"/>
    </xf>
    <xf numFmtId="0" fontId="16" fillId="0" borderId="0" xfId="5" applyNumberFormat="1" applyFont="1" applyFill="1" applyBorder="1" applyAlignment="1" applyProtection="1">
      <alignment horizontal="center" vertical="center"/>
      <protection hidden="1"/>
    </xf>
    <xf numFmtId="9" fontId="16" fillId="0" borderId="0" xfId="2" applyFont="1" applyFill="1" applyBorder="1" applyAlignment="1" applyProtection="1">
      <alignment horizontal="center" vertical="center"/>
      <protection hidden="1"/>
    </xf>
    <xf numFmtId="165" fontId="20" fillId="0" borderId="0" xfId="4" applyNumberFormat="1" applyFont="1" applyFill="1" applyBorder="1" applyAlignment="1" applyProtection="1">
      <alignment horizontal="center" vertical="center"/>
      <protection hidden="1"/>
    </xf>
    <xf numFmtId="165" fontId="8" fillId="0" borderId="0" xfId="4" applyNumberFormat="1" applyFont="1" applyFill="1" applyBorder="1" applyAlignment="1" applyProtection="1">
      <alignment horizontal="center" vertical="center" wrapText="1"/>
      <protection locked="0"/>
    </xf>
    <xf numFmtId="0" fontId="21" fillId="0" borderId="0" xfId="0" applyFont="1" applyFill="1" applyBorder="1" applyAlignment="1" applyProtection="1">
      <alignment horizontal="center" vertical="center" wrapText="1"/>
      <protection hidden="1"/>
    </xf>
    <xf numFmtId="1" fontId="22" fillId="0" borderId="0" xfId="3" applyNumberFormat="1" applyFont="1" applyFill="1" applyBorder="1" applyAlignment="1" applyProtection="1">
      <alignment horizontal="center" vertical="center"/>
      <protection locked="0"/>
    </xf>
    <xf numFmtId="1" fontId="22" fillId="0" borderId="0" xfId="3" applyNumberFormat="1" applyFont="1" applyFill="1" applyBorder="1" applyAlignment="1" applyProtection="1">
      <alignment horizontal="center" vertical="center"/>
      <protection hidden="1"/>
    </xf>
    <xf numFmtId="10" fontId="22" fillId="0" borderId="0" xfId="4" applyNumberFormat="1" applyFont="1" applyFill="1" applyBorder="1" applyAlignment="1" applyProtection="1">
      <alignment horizontal="center" vertical="center"/>
      <protection hidden="1"/>
    </xf>
    <xf numFmtId="38" fontId="21" fillId="0" borderId="0" xfId="0" applyNumberFormat="1" applyFont="1" applyFill="1" applyBorder="1" applyAlignment="1" applyProtection="1">
      <alignment horizontal="center" vertical="center" wrapText="1"/>
      <protection hidden="1"/>
    </xf>
    <xf numFmtId="38" fontId="21" fillId="13" borderId="6" xfId="0" applyNumberFormat="1" applyFont="1" applyFill="1" applyBorder="1" applyAlignment="1" applyProtection="1">
      <alignment horizontal="center" vertical="center" wrapText="1"/>
      <protection hidden="1"/>
    </xf>
    <xf numFmtId="0" fontId="0" fillId="0" borderId="0" xfId="0" applyFill="1" applyBorder="1" applyProtection="1">
      <protection hidden="1"/>
    </xf>
    <xf numFmtId="3" fontId="22" fillId="15" borderId="1" xfId="3" applyNumberFormat="1" applyFont="1" applyFill="1" applyBorder="1" applyAlignment="1" applyProtection="1">
      <alignment horizontal="center" vertical="center"/>
      <protection hidden="1"/>
    </xf>
    <xf numFmtId="0" fontId="0" fillId="28" borderId="1" xfId="0" applyFill="1" applyBorder="1" applyAlignment="1">
      <alignment horizontal="center"/>
    </xf>
    <xf numFmtId="9" fontId="16" fillId="18" borderId="1" xfId="2" applyFont="1" applyFill="1" applyBorder="1" applyAlignment="1">
      <alignment horizontal="center"/>
    </xf>
    <xf numFmtId="9" fontId="21" fillId="18" borderId="1" xfId="2" applyFont="1" applyFill="1" applyBorder="1" applyAlignment="1">
      <alignment horizontal="center"/>
    </xf>
    <xf numFmtId="0" fontId="32" fillId="3" borderId="1" xfId="0" applyFont="1" applyFill="1" applyBorder="1" applyProtection="1">
      <protection locked="0"/>
    </xf>
    <xf numFmtId="0" fontId="54" fillId="3" borderId="1" xfId="0" applyFont="1" applyFill="1" applyBorder="1" applyProtection="1">
      <protection locked="0"/>
    </xf>
    <xf numFmtId="0" fontId="27" fillId="31" borderId="1" xfId="0" applyFont="1" applyFill="1" applyBorder="1"/>
    <xf numFmtId="2" fontId="16" fillId="31" borderId="1" xfId="0" applyNumberFormat="1" applyFont="1" applyFill="1" applyBorder="1" applyAlignment="1">
      <alignment horizontal="center"/>
    </xf>
    <xf numFmtId="9" fontId="32" fillId="31" borderId="1" xfId="2" applyFont="1" applyFill="1" applyBorder="1" applyAlignment="1">
      <alignment horizontal="center"/>
    </xf>
    <xf numFmtId="10" fontId="16" fillId="31" borderId="1" xfId="2" applyNumberFormat="1" applyFont="1" applyFill="1" applyBorder="1" applyAlignment="1">
      <alignment horizontal="center"/>
    </xf>
    <xf numFmtId="165" fontId="16" fillId="10" borderId="1" xfId="1" applyFont="1" applyFill="1" applyBorder="1"/>
    <xf numFmtId="9" fontId="39" fillId="10" borderId="1" xfId="2" applyFont="1" applyFill="1" applyBorder="1" applyAlignment="1">
      <alignment horizontal="center"/>
    </xf>
    <xf numFmtId="0" fontId="39" fillId="29" borderId="7" xfId="0" applyFont="1" applyFill="1" applyBorder="1" applyAlignment="1">
      <alignment horizontal="center"/>
    </xf>
    <xf numFmtId="0" fontId="39" fillId="29" borderId="8" xfId="0" applyFont="1" applyFill="1" applyBorder="1" applyAlignment="1">
      <alignment horizontal="center"/>
    </xf>
    <xf numFmtId="9" fontId="39" fillId="18" borderId="1" xfId="2" applyFont="1" applyFill="1" applyBorder="1" applyAlignment="1">
      <alignment horizontal="center"/>
    </xf>
    <xf numFmtId="165" fontId="16" fillId="18" borderId="1" xfId="1" applyFont="1" applyFill="1" applyBorder="1"/>
    <xf numFmtId="165" fontId="21" fillId="18" borderId="1" xfId="1" applyFont="1" applyFill="1" applyBorder="1"/>
    <xf numFmtId="165" fontId="52" fillId="30" borderId="1" xfId="1" applyFont="1" applyFill="1" applyBorder="1"/>
    <xf numFmtId="165" fontId="33" fillId="3" borderId="1" xfId="1" applyFont="1" applyFill="1" applyBorder="1"/>
    <xf numFmtId="165" fontId="32" fillId="3" borderId="1" xfId="1" applyFont="1" applyFill="1" applyBorder="1"/>
    <xf numFmtId="165" fontId="16" fillId="31" borderId="1" xfId="1" applyFont="1" applyFill="1" applyBorder="1" applyAlignment="1">
      <alignment horizontal="center"/>
    </xf>
    <xf numFmtId="0" fontId="16" fillId="22" borderId="1" xfId="0" applyFont="1" applyFill="1" applyBorder="1" applyAlignment="1" applyProtection="1">
      <alignment horizontal="center"/>
      <protection hidden="1"/>
    </xf>
    <xf numFmtId="168" fontId="16" fillId="10" borderId="1" xfId="1" applyNumberFormat="1" applyFont="1" applyFill="1" applyBorder="1"/>
    <xf numFmtId="168" fontId="32" fillId="3" borderId="1" xfId="0" applyNumberFormat="1" applyFont="1" applyFill="1" applyBorder="1" applyProtection="1">
      <protection locked="0"/>
    </xf>
    <xf numFmtId="168" fontId="15" fillId="29" borderId="7" xfId="0" applyNumberFormat="1" applyFont="1" applyFill="1" applyBorder="1"/>
    <xf numFmtId="168" fontId="16" fillId="18" borderId="1" xfId="1" applyNumberFormat="1" applyFont="1" applyFill="1" applyBorder="1"/>
    <xf numFmtId="168" fontId="21" fillId="18" borderId="1" xfId="1" applyNumberFormat="1" applyFont="1" applyFill="1" applyBorder="1"/>
    <xf numFmtId="168" fontId="16" fillId="3" borderId="6" xfId="5" applyNumberFormat="1"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0" fontId="36" fillId="4" borderId="6" xfId="0" applyFont="1" applyFill="1" applyBorder="1" applyAlignment="1" applyProtection="1">
      <alignment horizontal="center" vertical="center"/>
      <protection hidden="1"/>
    </xf>
    <xf numFmtId="168" fontId="11" fillId="11" borderId="6" xfId="0" applyNumberFormat="1" applyFont="1" applyFill="1" applyBorder="1" applyAlignment="1" applyProtection="1">
      <alignment horizontal="center" vertical="center"/>
      <protection hidden="1"/>
    </xf>
    <xf numFmtId="0" fontId="36" fillId="4" borderId="1" xfId="0"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locked="0"/>
    </xf>
    <xf numFmtId="0" fontId="58" fillId="2" borderId="0" xfId="8" applyFont="1" applyFill="1"/>
    <xf numFmtId="0" fontId="56" fillId="2" borderId="0" xfId="8" applyFont="1" applyFill="1"/>
    <xf numFmtId="0" fontId="56" fillId="2" borderId="33" xfId="8" applyFont="1" applyFill="1" applyBorder="1"/>
    <xf numFmtId="0" fontId="58" fillId="2" borderId="0" xfId="8" applyFont="1" applyFill="1" applyAlignment="1">
      <alignment vertical="center"/>
    </xf>
    <xf numFmtId="0" fontId="56" fillId="2" borderId="0" xfId="8" applyFont="1" applyFill="1" applyAlignment="1">
      <alignment vertical="center"/>
    </xf>
    <xf numFmtId="0" fontId="56" fillId="2" borderId="33" xfId="8" applyFont="1" applyFill="1" applyBorder="1" applyAlignment="1">
      <alignment vertical="center"/>
    </xf>
    <xf numFmtId="0" fontId="60" fillId="2" borderId="0" xfId="8" applyFont="1" applyFill="1"/>
    <xf numFmtId="0" fontId="61" fillId="2" borderId="0" xfId="8" applyFont="1" applyFill="1"/>
    <xf numFmtId="0" fontId="61" fillId="2" borderId="33" xfId="8" applyFont="1" applyFill="1" applyBorder="1"/>
    <xf numFmtId="17" fontId="41" fillId="35" borderId="23" xfId="8" applyNumberFormat="1" applyFont="1" applyFill="1" applyBorder="1" applyAlignment="1">
      <alignment horizontal="center" vertical="center" wrapText="1"/>
    </xf>
    <xf numFmtId="0" fontId="41" fillId="35" borderId="12" xfId="8" applyFont="1" applyFill="1" applyBorder="1" applyAlignment="1">
      <alignment horizontal="center" vertical="center" wrapText="1"/>
    </xf>
    <xf numFmtId="0" fontId="41" fillId="35" borderId="46" xfId="8" applyFont="1" applyFill="1" applyBorder="1" applyAlignment="1">
      <alignment horizontal="center" vertical="center" wrapText="1"/>
    </xf>
    <xf numFmtId="17" fontId="41" fillId="35" borderId="23" xfId="8" applyNumberFormat="1" applyFont="1" applyFill="1" applyBorder="1" applyAlignment="1">
      <alignment horizontal="center" vertical="center"/>
    </xf>
    <xf numFmtId="0" fontId="41" fillId="35" borderId="12" xfId="8" applyFont="1" applyFill="1" applyBorder="1" applyAlignment="1">
      <alignment horizontal="center" vertical="center"/>
    </xf>
    <xf numFmtId="17" fontId="41" fillId="35" borderId="45" xfId="8" applyNumberFormat="1" applyFont="1" applyFill="1" applyBorder="1" applyAlignment="1">
      <alignment horizontal="center" vertical="center"/>
    </xf>
    <xf numFmtId="0" fontId="41" fillId="35" borderId="46" xfId="8" applyFont="1" applyFill="1" applyBorder="1" applyAlignment="1">
      <alignment horizontal="center" vertical="center"/>
    </xf>
    <xf numFmtId="0" fontId="56" fillId="2" borderId="24" xfId="8" applyFont="1" applyFill="1" applyBorder="1" applyAlignment="1">
      <alignment vertical="center"/>
    </xf>
    <xf numFmtId="0" fontId="56" fillId="2" borderId="13" xfId="8" applyFont="1" applyFill="1" applyBorder="1" applyAlignment="1">
      <alignment vertical="center"/>
    </xf>
    <xf numFmtId="3" fontId="56" fillId="2" borderId="13" xfId="8" applyNumberFormat="1" applyFont="1" applyFill="1" applyBorder="1" applyAlignment="1">
      <alignment vertical="center"/>
    </xf>
    <xf numFmtId="3" fontId="63" fillId="0" borderId="47" xfId="8" applyNumberFormat="1" applyFont="1" applyBorder="1" applyAlignment="1">
      <alignment vertical="center"/>
    </xf>
    <xf numFmtId="14" fontId="56" fillId="2" borderId="13" xfId="8" applyNumberFormat="1" applyFont="1" applyFill="1" applyBorder="1" applyAlignment="1">
      <alignment vertical="center"/>
    </xf>
    <xf numFmtId="1" fontId="56" fillId="36" borderId="13" xfId="8" applyNumberFormat="1" applyFont="1" applyFill="1" applyBorder="1" applyAlignment="1">
      <alignment vertical="center"/>
    </xf>
    <xf numFmtId="0" fontId="56" fillId="2" borderId="13" xfId="8" applyFont="1" applyFill="1" applyBorder="1" applyAlignment="1">
      <alignment horizontal="center" vertical="center"/>
    </xf>
    <xf numFmtId="0" fontId="56" fillId="36" borderId="13" xfId="8" applyFont="1" applyFill="1" applyBorder="1" applyAlignment="1">
      <alignment vertical="center"/>
    </xf>
    <xf numFmtId="174" fontId="56" fillId="36" borderId="13" xfId="8" applyNumberFormat="1" applyFont="1" applyFill="1" applyBorder="1" applyAlignment="1">
      <alignment vertical="center"/>
    </xf>
    <xf numFmtId="3" fontId="56" fillId="36" borderId="13" xfId="8" applyNumberFormat="1" applyFont="1" applyFill="1" applyBorder="1" applyAlignment="1">
      <alignment vertical="center"/>
    </xf>
    <xf numFmtId="3" fontId="56" fillId="36" borderId="9" xfId="8" applyNumberFormat="1" applyFont="1" applyFill="1" applyBorder="1" applyAlignment="1">
      <alignment vertical="center"/>
    </xf>
    <xf numFmtId="0" fontId="56" fillId="2" borderId="15" xfId="8" applyFont="1" applyFill="1" applyBorder="1" applyAlignment="1">
      <alignment vertical="center"/>
    </xf>
    <xf numFmtId="0" fontId="56" fillId="2" borderId="9" xfId="8" applyFont="1" applyFill="1" applyBorder="1" applyAlignment="1">
      <alignment vertical="center"/>
    </xf>
    <xf numFmtId="3" fontId="56" fillId="2" borderId="9" xfId="8" applyNumberFormat="1" applyFont="1" applyFill="1" applyBorder="1" applyAlignment="1">
      <alignment vertical="center"/>
    </xf>
    <xf numFmtId="3" fontId="63" fillId="0" borderId="0" xfId="8" applyNumberFormat="1" applyFont="1" applyAlignment="1">
      <alignment vertical="center"/>
    </xf>
    <xf numFmtId="14" fontId="56" fillId="2" borderId="9" xfId="8" applyNumberFormat="1" applyFont="1" applyFill="1" applyBorder="1" applyAlignment="1">
      <alignment vertical="center"/>
    </xf>
    <xf numFmtId="0" fontId="56" fillId="2" borderId="9" xfId="8" applyFont="1" applyFill="1" applyBorder="1" applyAlignment="1">
      <alignment horizontal="center" vertical="center"/>
    </xf>
    <xf numFmtId="0" fontId="56" fillId="2" borderId="25" xfId="8" applyFont="1" applyFill="1" applyBorder="1" applyAlignment="1">
      <alignment vertical="center"/>
    </xf>
    <xf numFmtId="0" fontId="0" fillId="9" borderId="48" xfId="0" applyFill="1" applyBorder="1" applyAlignment="1">
      <alignment vertical="center"/>
    </xf>
    <xf numFmtId="0" fontId="0" fillId="9" borderId="49" xfId="0" applyFill="1" applyBorder="1" applyAlignment="1">
      <alignment vertical="center"/>
    </xf>
    <xf numFmtId="174" fontId="0" fillId="9" borderId="49" xfId="0" applyNumberFormat="1" applyFill="1" applyBorder="1" applyAlignment="1">
      <alignment vertical="center"/>
    </xf>
    <xf numFmtId="3" fontId="0" fillId="9" borderId="49" xfId="0" applyNumberFormat="1" applyFill="1" applyBorder="1" applyAlignment="1">
      <alignment vertical="center"/>
    </xf>
    <xf numFmtId="3" fontId="0" fillId="9" borderId="41" xfId="0" applyNumberFormat="1" applyFill="1" applyBorder="1" applyAlignment="1">
      <alignment vertical="center"/>
    </xf>
    <xf numFmtId="174" fontId="0" fillId="9" borderId="50" xfId="0" applyNumberFormat="1" applyFill="1" applyBorder="1" applyAlignment="1">
      <alignment vertical="center"/>
    </xf>
    <xf numFmtId="0" fontId="35" fillId="17" borderId="1" xfId="0" applyFont="1" applyFill="1" applyBorder="1" applyAlignment="1">
      <alignment vertical="center"/>
    </xf>
    <xf numFmtId="168" fontId="38" fillId="3" borderId="6" xfId="0" applyNumberFormat="1" applyFont="1" applyFill="1" applyBorder="1" applyAlignment="1" applyProtection="1">
      <alignment horizontal="center" vertical="center"/>
      <protection hidden="1"/>
    </xf>
    <xf numFmtId="0" fontId="37" fillId="4" borderId="1" xfId="0" applyFont="1" applyFill="1" applyBorder="1" applyAlignment="1">
      <alignment horizontal="center" vertical="center"/>
    </xf>
    <xf numFmtId="0" fontId="30" fillId="17" borderId="1" xfId="0" applyFont="1" applyFill="1" applyBorder="1" applyAlignment="1">
      <alignment horizontal="center" vertical="center"/>
    </xf>
    <xf numFmtId="0" fontId="35" fillId="17" borderId="6" xfId="0" applyFont="1" applyFill="1" applyBorder="1" applyAlignment="1">
      <alignment vertical="center"/>
    </xf>
    <xf numFmtId="0" fontId="35" fillId="17" borderId="7" xfId="0" applyFont="1" applyFill="1" applyBorder="1" applyAlignment="1" applyProtection="1">
      <alignment vertical="center"/>
      <protection hidden="1"/>
    </xf>
    <xf numFmtId="0" fontId="38" fillId="4" borderId="1" xfId="0" applyFont="1" applyFill="1" applyBorder="1" applyAlignment="1">
      <alignment horizontal="center" vertical="center"/>
    </xf>
    <xf numFmtId="168" fontId="38" fillId="3" borderId="1" xfId="0" applyNumberFormat="1" applyFont="1" applyFill="1" applyBorder="1" applyAlignment="1" applyProtection="1">
      <alignment horizontal="center" vertical="center"/>
      <protection locked="0"/>
    </xf>
    <xf numFmtId="17" fontId="11" fillId="4" borderId="1" xfId="0" applyNumberFormat="1" applyFont="1" applyFill="1" applyBorder="1" applyAlignment="1" applyProtection="1">
      <alignment horizontal="center" vertical="center"/>
      <protection locked="0" hidden="1"/>
    </xf>
    <xf numFmtId="14" fontId="13" fillId="3" borderId="1" xfId="0" applyNumberFormat="1" applyFont="1" applyFill="1" applyBorder="1" applyAlignment="1" applyProtection="1">
      <alignment horizontal="center" vertical="center"/>
      <protection locked="0"/>
    </xf>
    <xf numFmtId="0" fontId="1" fillId="2" borderId="0" xfId="9" applyFill="1"/>
    <xf numFmtId="14" fontId="1" fillId="2" borderId="1" xfId="9" applyNumberFormat="1" applyFill="1" applyBorder="1" applyAlignment="1">
      <alignment horizontal="right" vertical="center"/>
    </xf>
    <xf numFmtId="14" fontId="41" fillId="9" borderId="1" xfId="9" applyNumberFormat="1" applyFont="1" applyFill="1" applyBorder="1" applyAlignment="1">
      <alignment horizontal="left" vertical="center"/>
    </xf>
    <xf numFmtId="1" fontId="1" fillId="2" borderId="38" xfId="9" applyNumberFormat="1" applyFill="1" applyBorder="1" applyAlignment="1">
      <alignment horizontal="right" vertical="center"/>
    </xf>
    <xf numFmtId="175" fontId="65" fillId="2" borderId="1" xfId="9" applyNumberFormat="1" applyFont="1" applyFill="1" applyBorder="1"/>
    <xf numFmtId="176" fontId="65" fillId="2" borderId="38" xfId="9" applyNumberFormat="1" applyFont="1" applyFill="1" applyBorder="1"/>
    <xf numFmtId="175" fontId="65" fillId="37" borderId="39" xfId="9" applyNumberFormat="1" applyFont="1" applyFill="1" applyBorder="1"/>
    <xf numFmtId="176" fontId="65" fillId="37" borderId="19" xfId="9" applyNumberFormat="1" applyFont="1" applyFill="1" applyBorder="1"/>
    <xf numFmtId="0" fontId="41" fillId="9" borderId="22" xfId="9" applyFont="1" applyFill="1" applyBorder="1" applyAlignment="1">
      <alignment horizontal="center" vertical="center" wrapText="1"/>
    </xf>
    <xf numFmtId="0" fontId="41" fillId="9" borderId="13" xfId="9" applyFont="1" applyFill="1" applyBorder="1" applyAlignment="1">
      <alignment horizontal="center" vertical="center" wrapText="1"/>
    </xf>
    <xf numFmtId="0" fontId="41" fillId="9" borderId="21" xfId="9" applyFont="1" applyFill="1" applyBorder="1" applyAlignment="1">
      <alignment horizontal="center" vertical="center" wrapText="1"/>
    </xf>
    <xf numFmtId="0" fontId="55" fillId="2" borderId="37" xfId="9" applyFont="1" applyFill="1" applyBorder="1" applyAlignment="1">
      <alignment horizontal="center" vertical="center" wrapText="1"/>
    </xf>
    <xf numFmtId="0" fontId="55" fillId="2" borderId="1" xfId="9" applyFont="1" applyFill="1" applyBorder="1" applyAlignment="1">
      <alignment horizontal="center" vertical="center" wrapText="1"/>
    </xf>
    <xf numFmtId="14" fontId="55" fillId="2" borderId="1" xfId="9" applyNumberFormat="1" applyFont="1" applyFill="1" applyBorder="1" applyAlignment="1">
      <alignment horizontal="center" vertical="center" wrapText="1"/>
    </xf>
    <xf numFmtId="5" fontId="55" fillId="2" borderId="1" xfId="9" applyNumberFormat="1" applyFont="1" applyFill="1" applyBorder="1" applyAlignment="1">
      <alignment horizontal="center" vertical="center" wrapText="1"/>
    </xf>
    <xf numFmtId="0" fontId="55" fillId="2" borderId="38" xfId="9" applyFont="1" applyFill="1" applyBorder="1" applyAlignment="1">
      <alignment horizontal="center" vertical="center" wrapText="1"/>
    </xf>
    <xf numFmtId="0" fontId="55" fillId="2" borderId="20" xfId="9" applyFont="1" applyFill="1" applyBorder="1" applyAlignment="1">
      <alignment horizontal="center" vertical="center" wrapText="1"/>
    </xf>
    <xf numFmtId="0" fontId="55" fillId="2" borderId="39" xfId="9" applyFont="1" applyFill="1" applyBorder="1" applyAlignment="1">
      <alignment horizontal="center" vertical="center" wrapText="1"/>
    </xf>
    <xf numFmtId="14" fontId="55" fillId="2" borderId="39" xfId="9" applyNumberFormat="1" applyFont="1" applyFill="1" applyBorder="1" applyAlignment="1">
      <alignment horizontal="center" vertical="center" wrapText="1"/>
    </xf>
    <xf numFmtId="5" fontId="55" fillId="2" borderId="39" xfId="9" applyNumberFormat="1" applyFont="1" applyFill="1" applyBorder="1" applyAlignment="1">
      <alignment horizontal="center" vertical="center" wrapText="1"/>
    </xf>
    <xf numFmtId="0" fontId="55" fillId="2" borderId="19" xfId="9" applyFont="1" applyFill="1" applyBorder="1" applyAlignment="1">
      <alignment horizontal="center" vertical="center" wrapText="1"/>
    </xf>
    <xf numFmtId="0" fontId="1" fillId="2" borderId="0" xfId="9" applyFill="1" applyAlignment="1">
      <alignment wrapText="1"/>
    </xf>
    <xf numFmtId="0" fontId="41" fillId="9" borderId="53" xfId="9" applyFont="1" applyFill="1" applyBorder="1" applyAlignment="1">
      <alignment horizontal="center" vertical="center" wrapText="1"/>
    </xf>
    <xf numFmtId="0" fontId="41" fillId="9" borderId="51" xfId="9" applyFont="1" applyFill="1" applyBorder="1" applyAlignment="1">
      <alignment horizontal="center" vertical="center" wrapText="1"/>
    </xf>
    <xf numFmtId="0" fontId="1" fillId="2" borderId="0" xfId="9" applyFill="1" applyAlignment="1">
      <alignment horizontal="center"/>
    </xf>
    <xf numFmtId="1" fontId="55" fillId="2" borderId="37" xfId="9" applyNumberFormat="1" applyFont="1" applyFill="1" applyBorder="1" applyAlignment="1">
      <alignment horizontal="center" vertical="center" wrapText="1"/>
    </xf>
    <xf numFmtId="49" fontId="55" fillId="2" borderId="1" xfId="9" applyNumberFormat="1" applyFont="1" applyFill="1" applyBorder="1" applyAlignment="1">
      <alignment horizontal="center" vertical="center" wrapText="1"/>
    </xf>
    <xf numFmtId="1" fontId="55" fillId="2" borderId="20" xfId="9" applyNumberFormat="1" applyFont="1" applyFill="1" applyBorder="1" applyAlignment="1">
      <alignment horizontal="center" vertical="center" wrapText="1"/>
    </xf>
    <xf numFmtId="49" fontId="55" fillId="2" borderId="39" xfId="9" applyNumberFormat="1" applyFont="1" applyFill="1" applyBorder="1" applyAlignment="1">
      <alignment horizontal="center" vertical="center" wrapText="1"/>
    </xf>
    <xf numFmtId="177" fontId="16" fillId="22" borderId="1" xfId="0" applyNumberFormat="1" applyFont="1" applyFill="1" applyBorder="1" applyAlignment="1" applyProtection="1">
      <alignment horizontal="center"/>
      <protection locked="0"/>
    </xf>
    <xf numFmtId="177" fontId="16" fillId="22" borderId="1" xfId="0" applyNumberFormat="1" applyFont="1" applyFill="1" applyBorder="1" applyAlignment="1" applyProtection="1">
      <alignment horizontal="center"/>
    </xf>
    <xf numFmtId="0" fontId="13" fillId="3" borderId="1" xfId="0" applyFont="1" applyFill="1" applyBorder="1" applyAlignment="1" applyProtection="1">
      <alignment horizontal="center" vertical="center"/>
      <protection locked="0"/>
    </xf>
    <xf numFmtId="168" fontId="11" fillId="11" borderId="6" xfId="0" applyNumberFormat="1" applyFont="1" applyFill="1" applyBorder="1" applyAlignment="1" applyProtection="1">
      <alignment horizontal="center" vertical="center"/>
      <protection hidden="1"/>
    </xf>
    <xf numFmtId="178" fontId="13" fillId="3" borderId="1" xfId="0" applyNumberFormat="1" applyFont="1" applyFill="1" applyBorder="1" applyAlignment="1" applyProtection="1">
      <alignment horizontal="center" vertical="center"/>
      <protection locked="0"/>
    </xf>
    <xf numFmtId="177" fontId="39" fillId="22" borderId="1" xfId="7" applyNumberFormat="1" applyFont="1" applyFill="1" applyBorder="1" applyAlignment="1" applyProtection="1">
      <alignment horizontal="center" vertical="center"/>
      <protection locked="0"/>
    </xf>
    <xf numFmtId="0" fontId="0" fillId="28" borderId="1" xfId="0" applyFill="1" applyBorder="1" applyAlignment="1">
      <alignment horizontal="center"/>
    </xf>
    <xf numFmtId="0" fontId="34" fillId="18" borderId="1" xfId="0" applyFont="1" applyFill="1" applyBorder="1" applyAlignment="1" applyProtection="1">
      <alignment horizontal="center" vertical="center" wrapText="1"/>
      <protection hidden="1"/>
    </xf>
    <xf numFmtId="0" fontId="7" fillId="9" borderId="1" xfId="6" applyFont="1" applyFill="1" applyBorder="1" applyAlignment="1" applyProtection="1">
      <alignment horizontal="center" vertical="center" wrapText="1"/>
      <protection hidden="1"/>
    </xf>
    <xf numFmtId="0" fontId="16" fillId="7" borderId="1" xfId="0" applyNumberFormat="1" applyFont="1" applyFill="1" applyBorder="1" applyAlignment="1" applyProtection="1">
      <alignment horizontal="center" vertical="center"/>
      <protection hidden="1"/>
    </xf>
    <xf numFmtId="168" fontId="16" fillId="7" borderId="1" xfId="0" applyNumberFormat="1" applyFont="1" applyFill="1" applyBorder="1" applyAlignment="1" applyProtection="1">
      <alignment horizontal="right" vertical="center"/>
      <protection hidden="1"/>
    </xf>
    <xf numFmtId="168" fontId="16" fillId="7" borderId="6" xfId="0" applyNumberFormat="1" applyFont="1" applyFill="1" applyBorder="1" applyAlignment="1" applyProtection="1">
      <alignment horizontal="right" vertical="center"/>
      <protection hidden="1"/>
    </xf>
    <xf numFmtId="168" fontId="16" fillId="7" borderId="7" xfId="0" applyNumberFormat="1" applyFont="1" applyFill="1" applyBorder="1" applyAlignment="1" applyProtection="1">
      <alignment horizontal="right" vertical="center"/>
      <protection hidden="1"/>
    </xf>
    <xf numFmtId="168" fontId="16" fillId="7" borderId="1" xfId="0" applyNumberFormat="1" applyFont="1" applyFill="1" applyBorder="1" applyAlignment="1" applyProtection="1">
      <alignment horizontal="center" vertical="center"/>
      <protection hidden="1"/>
    </xf>
    <xf numFmtId="0" fontId="31" fillId="17" borderId="6" xfId="0" applyFont="1" applyFill="1" applyBorder="1" applyAlignment="1" applyProtection="1">
      <alignment horizontal="center" vertical="center" wrapText="1"/>
      <protection hidden="1"/>
    </xf>
    <xf numFmtId="0" fontId="31" fillId="17" borderId="7" xfId="0" applyFont="1" applyFill="1" applyBorder="1" applyAlignment="1" applyProtection="1">
      <alignment horizontal="center" vertical="center" wrapText="1"/>
      <protection hidden="1"/>
    </xf>
    <xf numFmtId="10" fontId="16" fillId="9" borderId="1" xfId="0" applyNumberFormat="1" applyFont="1" applyFill="1" applyBorder="1" applyAlignment="1" applyProtection="1">
      <alignment horizontal="left" vertical="center"/>
      <protection hidden="1"/>
    </xf>
    <xf numFmtId="168" fontId="16" fillId="3" borderId="1" xfId="5" applyNumberFormat="1" applyFont="1" applyFill="1" applyBorder="1" applyAlignment="1" applyProtection="1">
      <alignment horizontal="center" vertical="center"/>
      <protection locked="0"/>
    </xf>
    <xf numFmtId="0" fontId="18" fillId="17" borderId="6" xfId="0" applyFont="1" applyFill="1" applyBorder="1" applyAlignment="1" applyProtection="1">
      <alignment horizontal="center" vertical="center" wrapText="1"/>
      <protection hidden="1"/>
    </xf>
    <xf numFmtId="0" fontId="18" fillId="17" borderId="7" xfId="0" applyFont="1" applyFill="1" applyBorder="1" applyAlignment="1" applyProtection="1">
      <alignment horizontal="center" vertical="center" wrapText="1"/>
      <protection hidden="1"/>
    </xf>
    <xf numFmtId="0" fontId="7" fillId="9" borderId="12" xfId="6" applyFont="1" applyFill="1" applyBorder="1" applyAlignment="1" applyProtection="1">
      <alignment horizontal="center" vertical="center" wrapText="1"/>
      <protection hidden="1"/>
    </xf>
    <xf numFmtId="0" fontId="7" fillId="9" borderId="13" xfId="6" applyFont="1" applyFill="1" applyBorder="1" applyAlignment="1" applyProtection="1">
      <alignment horizontal="center" vertical="center" wrapText="1"/>
      <protection hidden="1"/>
    </xf>
    <xf numFmtId="168" fontId="16" fillId="7" borderId="6" xfId="0" applyNumberFormat="1" applyFont="1" applyFill="1" applyBorder="1" applyAlignment="1" applyProtection="1">
      <alignment horizontal="center" vertical="center"/>
      <protection hidden="1"/>
    </xf>
    <xf numFmtId="168" fontId="16" fillId="7" borderId="7" xfId="0" applyNumberFormat="1" applyFont="1" applyFill="1" applyBorder="1" applyAlignment="1" applyProtection="1">
      <alignment horizontal="center" vertical="center"/>
      <protection hidden="1"/>
    </xf>
    <xf numFmtId="10" fontId="16" fillId="9" borderId="6" xfId="0" applyNumberFormat="1" applyFont="1" applyFill="1" applyBorder="1" applyAlignment="1" applyProtection="1">
      <alignment horizontal="center" vertical="center"/>
      <protection hidden="1"/>
    </xf>
    <xf numFmtId="10" fontId="16" fillId="9" borderId="7" xfId="0" applyNumberFormat="1" applyFont="1" applyFill="1" applyBorder="1" applyAlignment="1" applyProtection="1">
      <alignment horizontal="center" vertical="center"/>
      <protection hidden="1"/>
    </xf>
    <xf numFmtId="0" fontId="18" fillId="17" borderId="1" xfId="0" applyFont="1" applyFill="1" applyBorder="1" applyAlignment="1" applyProtection="1">
      <alignment horizontal="center" vertical="center" wrapText="1"/>
      <protection hidden="1"/>
    </xf>
    <xf numFmtId="0" fontId="7" fillId="9" borderId="9" xfId="6" applyFont="1" applyFill="1" applyBorder="1" applyAlignment="1" applyProtection="1">
      <alignment horizontal="center" vertical="center" wrapText="1"/>
      <protection hidden="1"/>
    </xf>
    <xf numFmtId="2" fontId="16" fillId="7" borderId="1" xfId="0" applyNumberFormat="1" applyFont="1" applyFill="1" applyBorder="1" applyAlignment="1" applyProtection="1">
      <alignment horizontal="right"/>
      <protection hidden="1"/>
    </xf>
    <xf numFmtId="8" fontId="16" fillId="7" borderId="1" xfId="0" applyNumberFormat="1" applyFont="1" applyFill="1" applyBorder="1" applyAlignment="1" applyProtection="1">
      <alignment horizontal="right"/>
      <protection hidden="1"/>
    </xf>
    <xf numFmtId="0" fontId="16" fillId="7" borderId="1" xfId="0" applyFont="1" applyFill="1" applyBorder="1" applyAlignment="1" applyProtection="1">
      <alignment horizontal="right"/>
      <protection hidden="1"/>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0" fontId="16" fillId="7" borderId="1" xfId="2" applyNumberFormat="1" applyFont="1" applyFill="1" applyBorder="1" applyAlignment="1" applyProtection="1">
      <alignment horizontal="center" vertical="center"/>
      <protection hidden="1"/>
    </xf>
    <xf numFmtId="10" fontId="16" fillId="7" borderId="1" xfId="0" applyNumberFormat="1" applyFont="1" applyFill="1" applyBorder="1" applyAlignment="1" applyProtection="1">
      <alignment horizontal="center" vertical="center"/>
      <protection hidden="1"/>
    </xf>
    <xf numFmtId="2" fontId="16" fillId="7" borderId="1" xfId="0" applyNumberFormat="1" applyFont="1" applyFill="1" applyBorder="1" applyAlignment="1" applyProtection="1">
      <alignment horizontal="center" vertical="center"/>
      <protection hidden="1"/>
    </xf>
    <xf numFmtId="0" fontId="42" fillId="0" borderId="0" xfId="0" applyFont="1" applyAlignment="1">
      <alignment horizontal="left" vertical="top" wrapText="1"/>
    </xf>
    <xf numFmtId="0" fontId="0" fillId="0" borderId="0" xfId="0" applyAlignment="1">
      <alignment horizontal="left"/>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29" xfId="0" applyFont="1" applyBorder="1" applyAlignment="1">
      <alignment horizontal="center" vertical="center" wrapText="1"/>
    </xf>
    <xf numFmtId="0" fontId="15" fillId="11" borderId="1" xfId="0" applyFont="1" applyFill="1" applyBorder="1" applyAlignment="1" applyProtection="1">
      <alignment horizontal="center" vertical="center" wrapText="1"/>
      <protection hidden="1"/>
    </xf>
    <xf numFmtId="0" fontId="55" fillId="2" borderId="39" xfId="9" applyFont="1" applyFill="1" applyBorder="1" applyAlignment="1">
      <alignment horizontal="center" vertical="center" wrapText="1"/>
    </xf>
    <xf numFmtId="0" fontId="55" fillId="2" borderId="19" xfId="9" applyFont="1" applyFill="1" applyBorder="1" applyAlignment="1">
      <alignment horizontal="center" vertical="center" wrapText="1"/>
    </xf>
    <xf numFmtId="0" fontId="41" fillId="9" borderId="37" xfId="9" applyFont="1" applyFill="1" applyBorder="1"/>
    <xf numFmtId="0" fontId="41" fillId="9" borderId="1" xfId="9" applyFont="1" applyFill="1" applyBorder="1"/>
    <xf numFmtId="0" fontId="41" fillId="9" borderId="20" xfId="9" applyFont="1" applyFill="1" applyBorder="1"/>
    <xf numFmtId="0" fontId="41" fillId="9" borderId="39" xfId="9" applyFont="1" applyFill="1" applyBorder="1"/>
    <xf numFmtId="0" fontId="62" fillId="32" borderId="34" xfId="9" applyFont="1" applyFill="1" applyBorder="1" applyAlignment="1">
      <alignment horizontal="center" vertical="center"/>
    </xf>
    <xf numFmtId="0" fontId="62" fillId="32" borderId="35" xfId="9" applyFont="1" applyFill="1" applyBorder="1" applyAlignment="1">
      <alignment horizontal="center" vertical="center"/>
    </xf>
    <xf numFmtId="0" fontId="62" fillId="32" borderId="36" xfId="9" applyFont="1" applyFill="1" applyBorder="1" applyAlignment="1">
      <alignment horizontal="center" vertical="center"/>
    </xf>
    <xf numFmtId="0" fontId="62" fillId="32" borderId="4" xfId="9" applyFont="1" applyFill="1" applyBorder="1" applyAlignment="1">
      <alignment horizontal="center" vertical="center" wrapText="1"/>
    </xf>
    <xf numFmtId="0" fontId="62" fillId="32" borderId="52" xfId="9" applyFont="1" applyFill="1" applyBorder="1" applyAlignment="1">
      <alignment horizontal="center" vertical="center" wrapText="1"/>
    </xf>
    <xf numFmtId="0" fontId="62" fillId="32" borderId="5" xfId="9" applyFont="1" applyFill="1" applyBorder="1" applyAlignment="1">
      <alignment horizontal="center" vertical="center" wrapText="1"/>
    </xf>
    <xf numFmtId="0" fontId="41" fillId="9" borderId="51" xfId="9" applyFont="1" applyFill="1" applyBorder="1" applyAlignment="1">
      <alignment horizontal="center" vertical="center" wrapText="1"/>
    </xf>
    <xf numFmtId="0" fontId="41" fillId="9" borderId="54" xfId="9" applyFont="1" applyFill="1" applyBorder="1" applyAlignment="1">
      <alignment horizontal="center" vertical="center" wrapText="1"/>
    </xf>
    <xf numFmtId="0" fontId="55" fillId="2" borderId="1" xfId="9" applyFont="1" applyFill="1" applyBorder="1" applyAlignment="1">
      <alignment horizontal="center" vertical="center" wrapText="1"/>
    </xf>
    <xf numFmtId="0" fontId="55" fillId="2" borderId="38" xfId="9" applyFont="1" applyFill="1" applyBorder="1" applyAlignment="1">
      <alignment horizontal="center" vertical="center" wrapText="1"/>
    </xf>
    <xf numFmtId="0" fontId="41" fillId="9" borderId="57" xfId="9" applyFont="1" applyFill="1" applyBorder="1" applyAlignment="1">
      <alignment vertical="center"/>
    </xf>
    <xf numFmtId="0" fontId="41" fillId="9" borderId="7" xfId="9" applyFont="1" applyFill="1" applyBorder="1" applyAlignment="1">
      <alignment vertical="center"/>
    </xf>
    <xf numFmtId="0" fontId="41" fillId="9" borderId="8" xfId="9" applyFont="1" applyFill="1" applyBorder="1" applyAlignment="1">
      <alignment vertical="center"/>
    </xf>
    <xf numFmtId="0" fontId="1" fillId="2" borderId="1" xfId="9" applyFill="1" applyBorder="1" applyAlignment="1">
      <alignment horizontal="right" vertical="center"/>
    </xf>
    <xf numFmtId="0" fontId="1" fillId="2" borderId="38" xfId="9" applyFill="1" applyBorder="1" applyAlignment="1">
      <alignment horizontal="right" vertical="center"/>
    </xf>
    <xf numFmtId="14" fontId="1" fillId="2" borderId="1" xfId="9" applyNumberFormat="1" applyFill="1" applyBorder="1" applyAlignment="1">
      <alignment horizontal="right" vertical="center"/>
    </xf>
    <xf numFmtId="14" fontId="1" fillId="2" borderId="38" xfId="9" applyNumberFormat="1" applyFill="1" applyBorder="1" applyAlignment="1">
      <alignment horizontal="right" vertical="center"/>
    </xf>
    <xf numFmtId="0" fontId="1" fillId="2" borderId="12" xfId="9" applyFill="1" applyBorder="1" applyAlignment="1">
      <alignment horizontal="right" vertical="center"/>
    </xf>
    <xf numFmtId="0" fontId="1" fillId="2" borderId="46" xfId="9" applyFill="1" applyBorder="1" applyAlignment="1">
      <alignment horizontal="right" vertical="center"/>
    </xf>
    <xf numFmtId="0" fontId="41" fillId="9" borderId="58" xfId="9" applyFont="1" applyFill="1" applyBorder="1" applyAlignment="1">
      <alignment horizontal="left" vertical="center"/>
    </xf>
    <xf numFmtId="0" fontId="41" fillId="9" borderId="59" xfId="9" applyFont="1" applyFill="1" applyBorder="1" applyAlignment="1">
      <alignment horizontal="left" vertical="center"/>
    </xf>
    <xf numFmtId="0" fontId="41" fillId="9" borderId="60" xfId="9" applyFont="1" applyFill="1" applyBorder="1" applyAlignment="1">
      <alignment horizontal="left" vertical="center"/>
    </xf>
    <xf numFmtId="22" fontId="1" fillId="2" borderId="61" xfId="9" applyNumberFormat="1" applyFill="1" applyBorder="1" applyAlignment="1">
      <alignment horizontal="right" vertical="center"/>
    </xf>
    <xf numFmtId="22" fontId="1" fillId="2" borderId="59" xfId="9" applyNumberFormat="1" applyFill="1" applyBorder="1" applyAlignment="1">
      <alignment horizontal="right" vertical="center"/>
    </xf>
    <xf numFmtId="22" fontId="1" fillId="2" borderId="62" xfId="9" applyNumberFormat="1" applyFill="1" applyBorder="1" applyAlignment="1">
      <alignment horizontal="right" vertical="center"/>
    </xf>
    <xf numFmtId="0" fontId="41" fillId="9" borderId="57" xfId="9" applyFont="1" applyFill="1" applyBorder="1" applyAlignment="1">
      <alignment vertical="center" wrapText="1"/>
    </xf>
    <xf numFmtId="0" fontId="41" fillId="9" borderId="7" xfId="9" applyFont="1" applyFill="1" applyBorder="1" applyAlignment="1">
      <alignment vertical="center" wrapText="1"/>
    </xf>
    <xf numFmtId="0" fontId="41" fillId="9" borderId="8" xfId="9" applyFont="1" applyFill="1" applyBorder="1" applyAlignment="1">
      <alignment vertical="center" wrapText="1"/>
    </xf>
    <xf numFmtId="0" fontId="1" fillId="2" borderId="1" xfId="9" applyFill="1" applyBorder="1" applyAlignment="1">
      <alignment horizontal="right" vertical="center" wrapText="1"/>
    </xf>
    <xf numFmtId="0" fontId="1" fillId="2" borderId="38" xfId="9" applyFill="1" applyBorder="1" applyAlignment="1">
      <alignment horizontal="right" vertical="center" wrapText="1"/>
    </xf>
    <xf numFmtId="5" fontId="65" fillId="2" borderId="1" xfId="9" applyNumberFormat="1" applyFont="1" applyFill="1" applyBorder="1" applyAlignment="1">
      <alignment horizontal="right" vertical="center"/>
    </xf>
    <xf numFmtId="5" fontId="65" fillId="2" borderId="38" xfId="9" applyNumberFormat="1" applyFont="1" applyFill="1" applyBorder="1" applyAlignment="1">
      <alignment horizontal="right" vertical="center"/>
    </xf>
    <xf numFmtId="49" fontId="0" fillId="2" borderId="1" xfId="9" applyNumberFormat="1" applyFont="1" applyFill="1" applyBorder="1" applyAlignment="1">
      <alignment horizontal="right" vertical="center"/>
    </xf>
    <xf numFmtId="49" fontId="1" fillId="2" borderId="1" xfId="9" applyNumberFormat="1" applyFill="1" applyBorder="1" applyAlignment="1">
      <alignment horizontal="right" vertical="center"/>
    </xf>
    <xf numFmtId="49" fontId="1" fillId="2" borderId="38" xfId="9" applyNumberFormat="1" applyFill="1" applyBorder="1" applyAlignment="1">
      <alignment horizontal="right" vertical="center"/>
    </xf>
    <xf numFmtId="0" fontId="62" fillId="32" borderId="27" xfId="9" applyFont="1" applyFill="1" applyBorder="1" applyAlignment="1">
      <alignment horizontal="center" vertical="center"/>
    </xf>
    <xf numFmtId="0" fontId="62" fillId="32" borderId="28" xfId="9" applyFont="1" applyFill="1" applyBorder="1" applyAlignment="1">
      <alignment horizontal="center" vertical="center"/>
    </xf>
    <xf numFmtId="0" fontId="62" fillId="32" borderId="29" xfId="9" applyFont="1" applyFill="1" applyBorder="1" applyAlignment="1">
      <alignment horizontal="center" vertical="center"/>
    </xf>
    <xf numFmtId="0" fontId="41" fillId="9" borderId="55" xfId="9" applyFont="1" applyFill="1" applyBorder="1" applyAlignment="1">
      <alignment vertical="center"/>
    </xf>
    <xf numFmtId="0" fontId="41" fillId="9" borderId="56" xfId="9" applyFont="1" applyFill="1" applyBorder="1" applyAlignment="1">
      <alignment vertical="center"/>
    </xf>
    <xf numFmtId="0" fontId="41" fillId="9" borderId="24" xfId="9" applyFont="1" applyFill="1" applyBorder="1" applyAlignment="1">
      <alignment vertical="center"/>
    </xf>
    <xf numFmtId="0" fontId="1" fillId="2" borderId="13" xfId="9" applyFill="1" applyBorder="1" applyAlignment="1">
      <alignment horizontal="right" vertical="center"/>
    </xf>
    <xf numFmtId="0" fontId="1" fillId="2" borderId="21" xfId="9" applyFill="1" applyBorder="1" applyAlignment="1">
      <alignment horizontal="right" vertical="center"/>
    </xf>
    <xf numFmtId="0" fontId="15" fillId="10" borderId="6" xfId="0" applyFont="1" applyFill="1" applyBorder="1" applyAlignment="1" applyProtection="1">
      <alignment horizontal="center" vertical="center" wrapText="1"/>
      <protection hidden="1"/>
    </xf>
    <xf numFmtId="0" fontId="15" fillId="10" borderId="7" xfId="0" applyFont="1" applyFill="1" applyBorder="1" applyAlignment="1" applyProtection="1">
      <alignment horizontal="center" vertical="center" wrapText="1"/>
      <protection hidden="1"/>
    </xf>
    <xf numFmtId="0" fontId="15" fillId="10" borderId="8" xfId="0" applyFont="1" applyFill="1" applyBorder="1" applyAlignment="1" applyProtection="1">
      <alignment horizontal="center" vertical="center" wrapText="1"/>
      <protection hidden="1"/>
    </xf>
    <xf numFmtId="0" fontId="16" fillId="7" borderId="1" xfId="5" applyNumberFormat="1" applyFont="1" applyFill="1" applyBorder="1" applyAlignment="1" applyProtection="1">
      <alignment horizontal="center" vertical="center"/>
      <protection hidden="1"/>
    </xf>
    <xf numFmtId="1" fontId="16" fillId="7" borderId="1" xfId="5" applyNumberFormat="1" applyFont="1" applyFill="1" applyBorder="1" applyAlignment="1" applyProtection="1">
      <alignment horizontal="center" vertical="center"/>
      <protection hidden="1"/>
    </xf>
    <xf numFmtId="0" fontId="16" fillId="10" borderId="6" xfId="5" applyNumberFormat="1" applyFont="1" applyFill="1" applyBorder="1" applyAlignment="1" applyProtection="1">
      <alignment horizontal="center" vertical="center"/>
      <protection hidden="1"/>
    </xf>
    <xf numFmtId="0" fontId="16" fillId="10" borderId="7" xfId="5" applyNumberFormat="1" applyFont="1" applyFill="1" applyBorder="1" applyAlignment="1" applyProtection="1">
      <alignment horizontal="center" vertical="center"/>
      <protection hidden="1"/>
    </xf>
    <xf numFmtId="0" fontId="16" fillId="10" borderId="8" xfId="5" applyNumberFormat="1" applyFont="1" applyFill="1" applyBorder="1" applyAlignment="1" applyProtection="1">
      <alignment horizontal="center" vertical="center"/>
      <protection hidden="1"/>
    </xf>
    <xf numFmtId="9" fontId="16" fillId="7" borderId="6" xfId="2" applyFont="1" applyFill="1" applyBorder="1" applyAlignment="1" applyProtection="1">
      <alignment horizontal="center" vertical="center"/>
      <protection hidden="1"/>
    </xf>
    <xf numFmtId="9" fontId="16" fillId="7" borderId="7" xfId="2" applyFont="1" applyFill="1" applyBorder="1" applyAlignment="1" applyProtection="1">
      <alignment horizontal="center" vertical="center"/>
      <protection hidden="1"/>
    </xf>
    <xf numFmtId="9" fontId="16" fillId="7" borderId="8" xfId="2" applyFont="1" applyFill="1" applyBorder="1" applyAlignment="1" applyProtection="1">
      <alignment horizontal="center" vertical="center"/>
      <protection hidden="1"/>
    </xf>
    <xf numFmtId="0" fontId="15" fillId="9" borderId="6" xfId="0" applyFont="1" applyFill="1" applyBorder="1" applyAlignment="1" applyProtection="1">
      <alignment horizontal="center" vertical="center" wrapText="1"/>
      <protection hidden="1"/>
    </xf>
    <xf numFmtId="0" fontId="15" fillId="9" borderId="7" xfId="0" applyFont="1" applyFill="1" applyBorder="1" applyAlignment="1" applyProtection="1">
      <alignment horizontal="center" vertical="center" wrapText="1"/>
      <protection hidden="1"/>
    </xf>
    <xf numFmtId="0" fontId="15" fillId="9" borderId="8" xfId="0" applyFont="1" applyFill="1" applyBorder="1" applyAlignment="1" applyProtection="1">
      <alignment horizontal="center" vertical="center" wrapText="1"/>
      <protection hidden="1"/>
    </xf>
    <xf numFmtId="0" fontId="16" fillId="10" borderId="1" xfId="5" applyNumberFormat="1" applyFont="1" applyFill="1" applyBorder="1" applyAlignment="1" applyProtection="1">
      <alignment horizontal="center" vertical="center"/>
      <protection hidden="1"/>
    </xf>
    <xf numFmtId="1" fontId="16" fillId="7" borderId="6" xfId="5" applyNumberFormat="1" applyFont="1" applyFill="1" applyBorder="1" applyAlignment="1" applyProtection="1">
      <alignment horizontal="center" vertical="center"/>
      <protection hidden="1"/>
    </xf>
    <xf numFmtId="0" fontId="16" fillId="7" borderId="7" xfId="5" applyNumberFormat="1" applyFont="1" applyFill="1" applyBorder="1" applyAlignment="1" applyProtection="1">
      <alignment horizontal="center" vertical="center"/>
      <protection hidden="1"/>
    </xf>
    <xf numFmtId="0" fontId="16" fillId="7" borderId="8" xfId="5" applyNumberFormat="1" applyFont="1" applyFill="1" applyBorder="1" applyAlignment="1" applyProtection="1">
      <alignment horizontal="center" vertical="center"/>
      <protection hidden="1"/>
    </xf>
    <xf numFmtId="165" fontId="8" fillId="12" borderId="6" xfId="4" applyNumberFormat="1" applyFont="1" applyFill="1" applyBorder="1" applyAlignment="1" applyProtection="1">
      <alignment horizontal="center" vertical="center" wrapText="1"/>
      <protection locked="0"/>
    </xf>
    <xf numFmtId="165" fontId="8" fillId="12" borderId="7" xfId="4" applyNumberFormat="1" applyFont="1" applyFill="1" applyBorder="1" applyAlignment="1" applyProtection="1">
      <alignment horizontal="center" vertical="center" wrapText="1"/>
      <protection locked="0"/>
    </xf>
    <xf numFmtId="165" fontId="8" fillId="12" borderId="8" xfId="4" applyNumberFormat="1" applyFont="1" applyFill="1" applyBorder="1" applyAlignment="1" applyProtection="1">
      <alignment horizontal="center" vertical="center" wrapText="1"/>
      <protection locked="0"/>
    </xf>
    <xf numFmtId="0" fontId="21" fillId="13" borderId="1" xfId="0" applyFont="1" applyFill="1" applyBorder="1" applyAlignment="1" applyProtection="1">
      <alignment horizontal="center" vertical="center" wrapText="1"/>
      <protection hidden="1"/>
    </xf>
    <xf numFmtId="167" fontId="22" fillId="13" borderId="6" xfId="4" applyNumberFormat="1" applyFont="1" applyFill="1" applyBorder="1" applyAlignment="1" applyProtection="1">
      <alignment horizontal="center" vertical="center"/>
      <protection hidden="1"/>
    </xf>
    <xf numFmtId="167" fontId="22" fillId="13" borderId="7" xfId="4" applyNumberFormat="1" applyFont="1" applyFill="1" applyBorder="1" applyAlignment="1" applyProtection="1">
      <alignment horizontal="center" vertical="center"/>
      <protection hidden="1"/>
    </xf>
    <xf numFmtId="167" fontId="22" fillId="13" borderId="8" xfId="4" applyNumberFormat="1" applyFont="1" applyFill="1" applyBorder="1" applyAlignment="1" applyProtection="1">
      <alignment horizontal="center" vertical="center"/>
      <protection hidden="1"/>
    </xf>
    <xf numFmtId="0" fontId="21" fillId="13" borderId="6" xfId="0" applyFont="1" applyFill="1" applyBorder="1" applyAlignment="1" applyProtection="1">
      <alignment horizontal="center" vertical="center" wrapText="1"/>
      <protection hidden="1"/>
    </xf>
    <xf numFmtId="165" fontId="20" fillId="6" borderId="1" xfId="4"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65" fontId="21" fillId="6" borderId="7" xfId="4" applyNumberFormat="1" applyFont="1" applyFill="1" applyBorder="1" applyAlignment="1" applyProtection="1">
      <alignment horizontal="center" vertical="center"/>
      <protection hidden="1"/>
    </xf>
    <xf numFmtId="165" fontId="21" fillId="6" borderId="8" xfId="4" applyNumberFormat="1" applyFont="1" applyFill="1" applyBorder="1" applyAlignment="1" applyProtection="1">
      <alignment horizontal="center" vertical="center"/>
      <protection hidden="1"/>
    </xf>
    <xf numFmtId="49" fontId="8" fillId="12" borderId="6" xfId="4" applyNumberFormat="1" applyFont="1" applyFill="1" applyBorder="1" applyAlignment="1" applyProtection="1">
      <alignment horizontal="center" vertical="center" wrapText="1"/>
      <protection locked="0"/>
    </xf>
    <xf numFmtId="49" fontId="8" fillId="12" borderId="7" xfId="4" applyNumberFormat="1" applyFont="1" applyFill="1" applyBorder="1" applyAlignment="1" applyProtection="1">
      <alignment horizontal="center" vertical="center" wrapText="1"/>
      <protection locked="0"/>
    </xf>
    <xf numFmtId="49" fontId="8" fillId="12" borderId="8" xfId="4" applyNumberFormat="1" applyFont="1" applyFill="1" applyBorder="1" applyAlignment="1" applyProtection="1">
      <alignment horizontal="center" vertical="center" wrapText="1"/>
      <protection locked="0"/>
    </xf>
    <xf numFmtId="1" fontId="8" fillId="3" borderId="6" xfId="0" quotePrefix="1" applyNumberFormat="1" applyFont="1" applyFill="1" applyBorder="1" applyAlignment="1" applyProtection="1">
      <alignment horizontal="center" vertical="center"/>
      <protection locked="0"/>
    </xf>
    <xf numFmtId="1" fontId="8" fillId="3" borderId="8" xfId="0" quotePrefix="1" applyNumberFormat="1" applyFont="1" applyFill="1" applyBorder="1" applyAlignment="1" applyProtection="1">
      <alignment horizontal="center" vertical="center"/>
      <protection locked="0"/>
    </xf>
    <xf numFmtId="8" fontId="16" fillId="11" borderId="6" xfId="0" applyNumberFormat="1" applyFont="1" applyFill="1" applyBorder="1" applyAlignment="1" applyProtection="1">
      <alignment horizontal="right"/>
      <protection hidden="1"/>
    </xf>
    <xf numFmtId="8" fontId="16" fillId="11" borderId="7" xfId="0" applyNumberFormat="1" applyFont="1" applyFill="1" applyBorder="1" applyAlignment="1" applyProtection="1">
      <alignment horizontal="right"/>
      <protection hidden="1"/>
    </xf>
    <xf numFmtId="8" fontId="16" fillId="11" borderId="8" xfId="0" applyNumberFormat="1" applyFont="1" applyFill="1" applyBorder="1" applyAlignment="1" applyProtection="1">
      <alignment horizontal="right"/>
      <protection hidden="1"/>
    </xf>
    <xf numFmtId="2" fontId="16" fillId="11" borderId="6" xfId="0" applyNumberFormat="1" applyFont="1" applyFill="1" applyBorder="1" applyAlignment="1" applyProtection="1">
      <alignment horizontal="right"/>
      <protection hidden="1"/>
    </xf>
    <xf numFmtId="2" fontId="16" fillId="11" borderId="7" xfId="0" applyNumberFormat="1" applyFont="1" applyFill="1" applyBorder="1" applyAlignment="1" applyProtection="1">
      <alignment horizontal="right"/>
      <protection hidden="1"/>
    </xf>
    <xf numFmtId="2" fontId="16" fillId="11" borderId="8" xfId="0" applyNumberFormat="1" applyFont="1" applyFill="1" applyBorder="1" applyAlignment="1" applyProtection="1">
      <alignment horizontal="right"/>
      <protection hidden="1"/>
    </xf>
    <xf numFmtId="0" fontId="25" fillId="17" borderId="1" xfId="0" applyFont="1" applyFill="1" applyBorder="1" applyAlignment="1" applyProtection="1">
      <alignment horizontal="center"/>
      <protection hidden="1"/>
    </xf>
    <xf numFmtId="8" fontId="16" fillId="11" borderId="1" xfId="0" applyNumberFormat="1" applyFont="1" applyFill="1" applyBorder="1" applyAlignment="1" applyProtection="1">
      <alignment horizontal="right"/>
      <protection hidden="1"/>
    </xf>
    <xf numFmtId="168" fontId="16" fillId="11" borderId="1" xfId="0" applyNumberFormat="1" applyFont="1" applyFill="1" applyBorder="1" applyAlignment="1" applyProtection="1">
      <alignment horizontal="right"/>
      <protection hidden="1"/>
    </xf>
    <xf numFmtId="2" fontId="16" fillId="11" borderId="1" xfId="0" applyNumberFormat="1" applyFont="1" applyFill="1" applyBorder="1" applyAlignment="1" applyProtection="1">
      <alignment horizontal="right"/>
      <protection hidden="1"/>
    </xf>
    <xf numFmtId="0" fontId="15" fillId="9"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0" fontId="15" fillId="24" borderId="1" xfId="0" applyFont="1" applyFill="1" applyBorder="1" applyAlignment="1" applyProtection="1">
      <alignment horizontal="center" vertical="center" wrapText="1"/>
      <protection hidden="1"/>
    </xf>
    <xf numFmtId="2" fontId="16" fillId="11" borderId="1" xfId="5" applyNumberFormat="1" applyFont="1" applyFill="1" applyBorder="1" applyAlignment="1" applyProtection="1">
      <alignment horizontal="right" vertical="center"/>
      <protection hidden="1"/>
    </xf>
    <xf numFmtId="168" fontId="16" fillId="11" borderId="1" xfId="5" applyNumberFormat="1" applyFont="1" applyFill="1" applyBorder="1" applyAlignment="1" applyProtection="1">
      <alignment horizontal="right" vertical="center"/>
      <protection hidden="1"/>
    </xf>
    <xf numFmtId="0" fontId="16" fillId="3" borderId="1" xfId="5" applyNumberFormat="1" applyFont="1" applyFill="1" applyBorder="1" applyAlignment="1" applyProtection="1">
      <alignment horizontal="center" vertical="center"/>
      <protection locked="0"/>
    </xf>
    <xf numFmtId="168" fontId="16" fillId="11" borderId="1" xfId="5" applyNumberFormat="1" applyFont="1" applyFill="1" applyBorder="1" applyAlignment="1" applyProtection="1">
      <alignment horizontal="center" vertical="center"/>
      <protection hidden="1"/>
    </xf>
    <xf numFmtId="0" fontId="26" fillId="17" borderId="1" xfId="0" applyFont="1" applyFill="1" applyBorder="1" applyAlignment="1" applyProtection="1">
      <alignment horizontal="center"/>
      <protection hidden="1"/>
    </xf>
    <xf numFmtId="0" fontId="16" fillId="9" borderId="1" xfId="0" applyFont="1" applyFill="1" applyBorder="1" applyAlignment="1" applyProtection="1">
      <alignment horizontal="center" vertical="center" wrapText="1"/>
      <protection hidden="1"/>
    </xf>
    <xf numFmtId="9" fontId="16" fillId="3" borderId="1" xfId="5" applyNumberFormat="1" applyFont="1" applyFill="1" applyBorder="1" applyAlignment="1" applyProtection="1">
      <alignment horizontal="center" vertical="center"/>
      <protection locked="0"/>
    </xf>
    <xf numFmtId="0" fontId="16" fillId="11" borderId="1" xfId="0" applyFont="1" applyFill="1" applyBorder="1" applyAlignment="1" applyProtection="1">
      <alignment horizontal="right"/>
      <protection hidden="1"/>
    </xf>
    <xf numFmtId="168" fontId="16" fillId="11" borderId="6" xfId="5" applyNumberFormat="1" applyFont="1" applyFill="1" applyBorder="1" applyAlignment="1" applyProtection="1">
      <alignment horizontal="right" vertical="center"/>
      <protection hidden="1"/>
    </xf>
    <xf numFmtId="168" fontId="16" fillId="11" borderId="7" xfId="5" applyNumberFormat="1" applyFont="1" applyFill="1" applyBorder="1" applyAlignment="1" applyProtection="1">
      <alignment horizontal="right" vertical="center"/>
      <protection hidden="1"/>
    </xf>
    <xf numFmtId="170" fontId="16" fillId="11" borderId="1" xfId="0" applyNumberFormat="1" applyFont="1" applyFill="1" applyBorder="1" applyAlignment="1" applyProtection="1">
      <alignment horizontal="right"/>
      <protection hidden="1"/>
    </xf>
    <xf numFmtId="170" fontId="16" fillId="11" borderId="6" xfId="0" applyNumberFormat="1" applyFont="1" applyFill="1" applyBorder="1" applyAlignment="1" applyProtection="1">
      <alignment horizontal="right"/>
      <protection hidden="1"/>
    </xf>
    <xf numFmtId="170" fontId="16" fillId="11" borderId="7" xfId="0" applyNumberFormat="1" applyFont="1" applyFill="1" applyBorder="1" applyAlignment="1" applyProtection="1">
      <alignment horizontal="right"/>
      <protection hidden="1"/>
    </xf>
    <xf numFmtId="0" fontId="16" fillId="11" borderId="1" xfId="5" applyNumberFormat="1" applyFont="1" applyFill="1" applyBorder="1" applyAlignment="1" applyProtection="1">
      <alignment horizontal="right" vertical="center"/>
      <protection hidden="1"/>
    </xf>
    <xf numFmtId="0" fontId="15" fillId="9" borderId="18" xfId="0" applyFont="1" applyFill="1" applyBorder="1" applyAlignment="1" applyProtection="1">
      <alignment horizontal="left" vertical="center" wrapText="1"/>
      <protection hidden="1"/>
    </xf>
    <xf numFmtId="0" fontId="15" fillId="9" borderId="15" xfId="0" applyFont="1" applyFill="1" applyBorder="1" applyAlignment="1" applyProtection="1">
      <alignment horizontal="left" vertical="center" wrapText="1"/>
      <protection hidden="1"/>
    </xf>
    <xf numFmtId="168" fontId="16" fillId="3" borderId="6" xfId="5" applyNumberFormat="1" applyFont="1" applyFill="1" applyBorder="1" applyAlignment="1" applyProtection="1">
      <alignment horizontal="center" vertical="center"/>
      <protection locked="0"/>
    </xf>
    <xf numFmtId="168" fontId="16" fillId="3" borderId="7" xfId="5" applyNumberFormat="1" applyFont="1" applyFill="1" applyBorder="1" applyAlignment="1" applyProtection="1">
      <alignment horizontal="center" vertical="center"/>
      <protection locked="0"/>
    </xf>
    <xf numFmtId="165" fontId="7" fillId="6" borderId="1" xfId="4" applyNumberFormat="1" applyFont="1" applyFill="1" applyBorder="1" applyAlignment="1" applyProtection="1">
      <alignment horizontal="center" vertical="center"/>
      <protection hidden="1"/>
    </xf>
    <xf numFmtId="0" fontId="8" fillId="3" borderId="1" xfId="0" applyFont="1" applyFill="1" applyBorder="1" applyAlignment="1" applyProtection="1">
      <alignment horizontal="center" vertical="center"/>
      <protection locked="0"/>
    </xf>
    <xf numFmtId="0" fontId="11" fillId="7" borderId="1" xfId="0" applyFont="1" applyFill="1" applyBorder="1" applyAlignment="1" applyProtection="1">
      <alignment horizontal="center" vertical="center"/>
      <protection hidden="1"/>
    </xf>
    <xf numFmtId="0" fontId="6" fillId="5" borderId="1" xfId="0" applyFont="1" applyFill="1" applyBorder="1" applyAlignment="1" applyProtection="1">
      <alignment horizontal="center" vertical="center"/>
      <protection hidden="1"/>
    </xf>
    <xf numFmtId="0" fontId="12" fillId="4" borderId="1" xfId="0"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locked="0"/>
    </xf>
    <xf numFmtId="0" fontId="14" fillId="7" borderId="1" xfId="0" applyFont="1" applyFill="1" applyBorder="1" applyAlignment="1" applyProtection="1">
      <alignment horizontal="center" vertical="center"/>
      <protection hidden="1"/>
    </xf>
    <xf numFmtId="0" fontId="11" fillId="4" borderId="1" xfId="0" applyFont="1" applyFill="1" applyBorder="1" applyAlignment="1" applyProtection="1">
      <alignment horizontal="center" vertical="center"/>
      <protection hidden="1"/>
    </xf>
    <xf numFmtId="0" fontId="13" fillId="0" borderId="1" xfId="0" applyFont="1" applyFill="1" applyBorder="1" applyAlignment="1" applyProtection="1">
      <alignment horizontal="center" vertical="center"/>
      <protection locked="0"/>
    </xf>
    <xf numFmtId="1" fontId="10" fillId="7" borderId="1" xfId="0" applyNumberFormat="1"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xf numFmtId="0" fontId="10" fillId="4" borderId="1" xfId="0" applyFont="1" applyFill="1" applyBorder="1" applyAlignment="1" applyProtection="1">
      <alignment horizontal="center" vertical="center"/>
      <protection hidden="1"/>
    </xf>
    <xf numFmtId="169" fontId="8" fillId="3" borderId="1" xfId="0" applyNumberFormat="1" applyFont="1" applyFill="1" applyBorder="1" applyAlignment="1" applyProtection="1">
      <alignment horizontal="center" vertical="center"/>
      <protection locked="0"/>
    </xf>
    <xf numFmtId="169" fontId="9" fillId="3" borderId="1" xfId="0" applyNumberFormat="1" applyFont="1" applyFill="1" applyBorder="1" applyAlignment="1" applyProtection="1">
      <alignment horizontal="center" vertical="center"/>
      <protection locked="0"/>
    </xf>
    <xf numFmtId="1" fontId="9" fillId="3" borderId="1" xfId="0" applyNumberFormat="1" applyFont="1" applyFill="1" applyBorder="1" applyAlignment="1" applyProtection="1">
      <alignment horizontal="center" vertical="center"/>
      <protection locked="0"/>
    </xf>
    <xf numFmtId="14" fontId="9" fillId="3" borderId="1" xfId="0" applyNumberFormat="1" applyFont="1" applyFill="1" applyBorder="1" applyAlignment="1" applyProtection="1">
      <alignment horizontal="center" vertical="center"/>
      <protection locked="0"/>
    </xf>
    <xf numFmtId="15" fontId="8" fillId="3" borderId="1" xfId="0" applyNumberFormat="1" applyFont="1" applyFill="1" applyBorder="1" applyAlignment="1" applyProtection="1">
      <alignment horizontal="center" vertical="center"/>
      <protection locked="0"/>
    </xf>
    <xf numFmtId="14" fontId="9" fillId="3" borderId="6" xfId="0" applyNumberFormat="1" applyFont="1" applyFill="1" applyBorder="1" applyAlignment="1" applyProtection="1">
      <alignment horizontal="center" vertical="center"/>
      <protection locked="0"/>
    </xf>
    <xf numFmtId="14" fontId="9" fillId="3" borderId="7" xfId="0" applyNumberFormat="1" applyFont="1" applyFill="1" applyBorder="1" applyAlignment="1" applyProtection="1">
      <alignment horizontal="center" vertical="center"/>
      <protection locked="0"/>
    </xf>
    <xf numFmtId="14" fontId="9" fillId="3" borderId="8" xfId="0" applyNumberFormat="1" applyFont="1" applyFill="1" applyBorder="1" applyAlignment="1" applyProtection="1">
      <alignment horizontal="center" vertical="center"/>
      <protection locked="0"/>
    </xf>
    <xf numFmtId="0" fontId="6" fillId="5" borderId="6" xfId="0" applyFont="1" applyFill="1" applyBorder="1" applyAlignment="1" applyProtection="1">
      <alignment horizontal="center" vertical="center"/>
      <protection hidden="1"/>
    </xf>
    <xf numFmtId="0" fontId="6" fillId="5" borderId="7" xfId="0" applyFont="1" applyFill="1" applyBorder="1" applyAlignment="1" applyProtection="1">
      <alignment horizontal="center" vertical="center"/>
      <protection hidden="1"/>
    </xf>
    <xf numFmtId="0" fontId="6" fillId="5" borderId="8" xfId="0" applyFont="1" applyFill="1" applyBorder="1" applyAlignment="1" applyProtection="1">
      <alignment horizontal="center" vertical="center"/>
      <protection hidden="1"/>
    </xf>
    <xf numFmtId="0" fontId="21" fillId="13" borderId="12" xfId="0" applyFont="1" applyFill="1" applyBorder="1" applyAlignment="1" applyProtection="1">
      <alignment horizontal="center" vertical="center" wrapText="1"/>
      <protection hidden="1"/>
    </xf>
    <xf numFmtId="0" fontId="21" fillId="13" borderId="13" xfId="0" applyFont="1" applyFill="1" applyBorder="1" applyAlignment="1" applyProtection="1">
      <alignment horizontal="center" vertical="center" wrapText="1"/>
      <protection hidden="1"/>
    </xf>
    <xf numFmtId="165" fontId="8" fillId="26" borderId="6" xfId="4" applyNumberFormat="1" applyFont="1" applyFill="1" applyBorder="1" applyAlignment="1" applyProtection="1">
      <alignment horizontal="center" vertical="center" wrapText="1"/>
      <protection locked="0"/>
    </xf>
    <xf numFmtId="165" fontId="8" fillId="26" borderId="7" xfId="4" applyNumberFormat="1" applyFont="1" applyFill="1" applyBorder="1" applyAlignment="1" applyProtection="1">
      <alignment horizontal="center" vertical="center" wrapText="1"/>
      <protection locked="0"/>
    </xf>
    <xf numFmtId="165" fontId="8" fillId="26" borderId="8" xfId="4" applyNumberFormat="1" applyFont="1" applyFill="1" applyBorder="1" applyAlignment="1" applyProtection="1">
      <alignment horizontal="center" vertical="center" wrapText="1"/>
      <protection locked="0"/>
    </xf>
    <xf numFmtId="168" fontId="22" fillId="15" borderId="6" xfId="3" applyNumberFormat="1" applyFont="1" applyFill="1" applyBorder="1" applyAlignment="1" applyProtection="1">
      <alignment horizontal="center" vertical="center"/>
      <protection hidden="1"/>
    </xf>
    <xf numFmtId="168" fontId="22" fillId="15" borderId="8" xfId="3" applyNumberFormat="1" applyFont="1" applyFill="1" applyBorder="1" applyAlignment="1" applyProtection="1">
      <alignment horizontal="center" vertical="center"/>
      <protection hidden="1"/>
    </xf>
    <xf numFmtId="168" fontId="22" fillId="14" borderId="6" xfId="3" applyNumberFormat="1" applyFont="1" applyFill="1" applyBorder="1" applyAlignment="1" applyProtection="1">
      <alignment horizontal="center" vertical="center"/>
      <protection locked="0"/>
    </xf>
    <xf numFmtId="168" fontId="22" fillId="14" borderId="8" xfId="3" applyNumberFormat="1" applyFont="1" applyFill="1" applyBorder="1" applyAlignment="1" applyProtection="1">
      <alignment horizontal="center" vertical="center"/>
      <protection locked="0"/>
    </xf>
    <xf numFmtId="0" fontId="21" fillId="13" borderId="6" xfId="0" applyFont="1" applyFill="1" applyBorder="1" applyAlignment="1" applyProtection="1">
      <alignment horizontal="center" vertical="center"/>
      <protection hidden="1"/>
    </xf>
    <xf numFmtId="0" fontId="21" fillId="13" borderId="8" xfId="0" applyFont="1" applyFill="1" applyBorder="1" applyAlignment="1" applyProtection="1">
      <alignment horizontal="center" vertical="center"/>
      <protection hidden="1"/>
    </xf>
    <xf numFmtId="10" fontId="16" fillId="11" borderId="6" xfId="5" applyNumberFormat="1" applyFont="1" applyFill="1" applyBorder="1" applyAlignment="1" applyProtection="1">
      <alignment horizontal="right" vertical="center"/>
      <protection hidden="1"/>
    </xf>
    <xf numFmtId="10" fontId="16" fillId="11" borderId="7" xfId="5" applyNumberFormat="1" applyFont="1" applyFill="1" applyBorder="1" applyAlignment="1" applyProtection="1">
      <alignment horizontal="right" vertical="center"/>
      <protection hidden="1"/>
    </xf>
    <xf numFmtId="10" fontId="16" fillId="11" borderId="8" xfId="5" applyNumberFormat="1" applyFont="1" applyFill="1" applyBorder="1" applyAlignment="1" applyProtection="1">
      <alignment horizontal="right" vertical="center"/>
      <protection hidden="1"/>
    </xf>
    <xf numFmtId="9" fontId="16" fillId="7" borderId="1" xfId="2" applyFont="1" applyFill="1" applyBorder="1" applyAlignment="1" applyProtection="1">
      <alignment horizontal="center" vertical="center"/>
      <protection hidden="1"/>
    </xf>
    <xf numFmtId="168" fontId="16" fillId="11" borderId="8" xfId="5" applyNumberFormat="1" applyFont="1" applyFill="1" applyBorder="1" applyAlignment="1" applyProtection="1">
      <alignment horizontal="right" vertical="center"/>
      <protection hidden="1"/>
    </xf>
    <xf numFmtId="168" fontId="16" fillId="3" borderId="6" xfId="5" applyNumberFormat="1" applyFont="1" applyFill="1" applyBorder="1" applyAlignment="1" applyProtection="1">
      <alignment horizontal="right" vertical="center"/>
      <protection locked="0"/>
    </xf>
    <xf numFmtId="168" fontId="16" fillId="3" borderId="7" xfId="5" applyNumberFormat="1" applyFont="1" applyFill="1" applyBorder="1" applyAlignment="1" applyProtection="1">
      <alignment horizontal="right" vertical="center"/>
      <protection locked="0"/>
    </xf>
    <xf numFmtId="168" fontId="16" fillId="3" borderId="8" xfId="5" applyNumberFormat="1" applyFont="1" applyFill="1" applyBorder="1" applyAlignment="1" applyProtection="1">
      <alignment horizontal="right" vertical="center"/>
      <protection locked="0"/>
    </xf>
    <xf numFmtId="0" fontId="15" fillId="22" borderId="1" xfId="0" applyFont="1" applyFill="1" applyBorder="1" applyAlignment="1">
      <alignment horizontal="left" vertical="center"/>
    </xf>
    <xf numFmtId="0" fontId="16" fillId="22" borderId="12" xfId="0" applyFont="1" applyFill="1" applyBorder="1" applyAlignment="1">
      <alignment horizontal="center" vertical="center"/>
    </xf>
    <xf numFmtId="0" fontId="16" fillId="22" borderId="13" xfId="0" applyFont="1" applyFill="1" applyBorder="1" applyAlignment="1">
      <alignment horizontal="center" vertical="center"/>
    </xf>
    <xf numFmtId="0" fontId="57" fillId="22" borderId="6" xfId="0" applyFont="1" applyFill="1" applyBorder="1" applyAlignment="1">
      <alignment horizontal="center" vertical="center"/>
    </xf>
    <xf numFmtId="0" fontId="57" fillId="22" borderId="7" xfId="0" applyFont="1" applyFill="1" applyBorder="1" applyAlignment="1">
      <alignment horizontal="center" vertical="center"/>
    </xf>
    <xf numFmtId="0" fontId="57" fillId="22" borderId="8" xfId="0" applyFont="1" applyFill="1" applyBorder="1" applyAlignment="1">
      <alignment horizontal="center" vertical="center"/>
    </xf>
    <xf numFmtId="0" fontId="16" fillId="22" borderId="6" xfId="0" applyFont="1" applyFill="1" applyBorder="1" applyAlignment="1">
      <alignment horizontal="center"/>
    </xf>
    <xf numFmtId="0" fontId="16" fillId="22" borderId="7" xfId="0" applyFont="1" applyFill="1" applyBorder="1" applyAlignment="1">
      <alignment horizontal="center"/>
    </xf>
    <xf numFmtId="0" fontId="16" fillId="22" borderId="8" xfId="0" applyFont="1" applyFill="1" applyBorder="1" applyAlignment="1">
      <alignment horizontal="center"/>
    </xf>
    <xf numFmtId="0" fontId="15" fillId="22" borderId="12" xfId="0" applyFont="1" applyFill="1" applyBorder="1" applyAlignment="1">
      <alignment horizontal="left" vertical="center"/>
    </xf>
    <xf numFmtId="0" fontId="15" fillId="22" borderId="13" xfId="0" applyFont="1" applyFill="1" applyBorder="1" applyAlignment="1">
      <alignment horizontal="left" vertical="center"/>
    </xf>
    <xf numFmtId="0" fontId="7" fillId="22" borderId="12" xfId="0" applyFont="1" applyFill="1" applyBorder="1" applyAlignment="1">
      <alignment horizontal="left" vertical="center"/>
    </xf>
    <xf numFmtId="0" fontId="7" fillId="22" borderId="13" xfId="0" applyFont="1" applyFill="1" applyBorder="1" applyAlignment="1">
      <alignment horizontal="left" vertical="center"/>
    </xf>
    <xf numFmtId="0" fontId="21" fillId="22" borderId="6" xfId="0" applyFont="1" applyFill="1" applyBorder="1" applyAlignment="1">
      <alignment horizontal="center"/>
    </xf>
    <xf numFmtId="0" fontId="21" fillId="22" borderId="7" xfId="0" applyFont="1" applyFill="1" applyBorder="1" applyAlignment="1">
      <alignment horizontal="center"/>
    </xf>
    <xf numFmtId="0" fontId="21" fillId="22" borderId="8" xfId="0" applyFont="1" applyFill="1" applyBorder="1" applyAlignment="1">
      <alignment horizontal="center"/>
    </xf>
    <xf numFmtId="0" fontId="20" fillId="13" borderId="6" xfId="0" applyFont="1" applyFill="1" applyBorder="1" applyAlignment="1" applyProtection="1">
      <alignment horizontal="center" vertical="center"/>
      <protection hidden="1"/>
    </xf>
    <xf numFmtId="0" fontId="20" fillId="13" borderId="7" xfId="0" applyFont="1" applyFill="1" applyBorder="1" applyAlignment="1" applyProtection="1">
      <alignment horizontal="center" vertical="center"/>
      <protection hidden="1"/>
    </xf>
    <xf numFmtId="0" fontId="20" fillId="13" borderId="8" xfId="0" applyFont="1" applyFill="1" applyBorder="1" applyAlignment="1" applyProtection="1">
      <alignment horizontal="center" vertical="center"/>
      <protection hidden="1"/>
    </xf>
    <xf numFmtId="0" fontId="25" fillId="17" borderId="6" xfId="0" applyFont="1" applyFill="1" applyBorder="1" applyAlignment="1" applyProtection="1">
      <alignment horizontal="center"/>
      <protection hidden="1"/>
    </xf>
    <xf numFmtId="0" fontId="25" fillId="17" borderId="7" xfId="0" applyFont="1" applyFill="1" applyBorder="1" applyAlignment="1" applyProtection="1">
      <alignment horizontal="center"/>
      <protection hidden="1"/>
    </xf>
    <xf numFmtId="0" fontId="25" fillId="17" borderId="8" xfId="0" applyFont="1" applyFill="1" applyBorder="1" applyAlignment="1" applyProtection="1">
      <alignment horizontal="center"/>
      <protection hidden="1"/>
    </xf>
    <xf numFmtId="10" fontId="16" fillId="11" borderId="1" xfId="5" applyNumberFormat="1" applyFont="1" applyFill="1" applyBorder="1" applyAlignment="1" applyProtection="1">
      <alignment horizontal="right" vertical="center"/>
      <protection hidden="1"/>
    </xf>
    <xf numFmtId="0" fontId="15" fillId="10" borderId="1" xfId="0" applyFont="1" applyFill="1" applyBorder="1" applyAlignment="1" applyProtection="1">
      <alignment horizontal="center" vertical="center" wrapText="1"/>
      <protection hidden="1"/>
    </xf>
    <xf numFmtId="165" fontId="21" fillId="6" borderId="1" xfId="4" applyNumberFormat="1" applyFont="1" applyFill="1" applyBorder="1" applyAlignment="1" applyProtection="1">
      <alignment horizontal="center" vertical="center"/>
      <protection hidden="1"/>
    </xf>
    <xf numFmtId="49" fontId="8" fillId="12" borderId="1" xfId="4" applyNumberFormat="1" applyFont="1" applyFill="1" applyBorder="1" applyAlignment="1" applyProtection="1">
      <alignment horizontal="center" vertical="center" wrapText="1"/>
      <protection locked="0"/>
    </xf>
    <xf numFmtId="165" fontId="8" fillId="12" borderId="1" xfId="4" applyNumberFormat="1" applyFont="1" applyFill="1" applyBorder="1" applyAlignment="1" applyProtection="1">
      <alignment horizontal="center" vertical="center" wrapText="1"/>
      <protection locked="0"/>
    </xf>
    <xf numFmtId="167" fontId="22" fillId="13" borderId="1" xfId="4" applyNumberFormat="1" applyFont="1" applyFill="1" applyBorder="1" applyAlignment="1" applyProtection="1">
      <alignment horizontal="center" vertical="center"/>
      <protection hidden="1"/>
    </xf>
    <xf numFmtId="173" fontId="41" fillId="35" borderId="22" xfId="8" applyNumberFormat="1" applyFont="1" applyFill="1" applyBorder="1" applyAlignment="1">
      <alignment horizontal="center" vertical="center"/>
    </xf>
    <xf numFmtId="173" fontId="41" fillId="35" borderId="13" xfId="8" applyNumberFormat="1" applyFont="1" applyFill="1" applyBorder="1" applyAlignment="1">
      <alignment horizontal="center" vertical="center"/>
    </xf>
    <xf numFmtId="173" fontId="41" fillId="35" borderId="21" xfId="8" applyNumberFormat="1" applyFont="1" applyFill="1" applyBorder="1" applyAlignment="1">
      <alignment horizontal="center" vertical="center"/>
    </xf>
    <xf numFmtId="0" fontId="41" fillId="35" borderId="44" xfId="8" applyFont="1" applyFill="1" applyBorder="1" applyAlignment="1">
      <alignment horizontal="center" vertical="center"/>
    </xf>
    <xf numFmtId="0" fontId="41" fillId="35" borderId="13" xfId="8" applyFont="1" applyFill="1" applyBorder="1" applyAlignment="1">
      <alignment horizontal="center" vertical="center"/>
    </xf>
    <xf numFmtId="0" fontId="41" fillId="35" borderId="12" xfId="8" applyFont="1" applyFill="1" applyBorder="1" applyAlignment="1">
      <alignment horizontal="center" vertical="center"/>
    </xf>
    <xf numFmtId="0" fontId="41" fillId="35" borderId="13" xfId="8" applyFont="1" applyFill="1" applyBorder="1" applyAlignment="1">
      <alignment horizontal="center" vertical="center" wrapText="1"/>
    </xf>
    <xf numFmtId="0" fontId="41" fillId="35" borderId="12" xfId="8" applyFont="1" applyFill="1" applyBorder="1" applyAlignment="1">
      <alignment horizontal="center" vertical="center" wrapText="1"/>
    </xf>
    <xf numFmtId="0" fontId="41" fillId="35" borderId="25" xfId="8" applyFont="1" applyFill="1" applyBorder="1" applyAlignment="1">
      <alignment horizontal="center" vertical="center" wrapText="1"/>
    </xf>
    <xf numFmtId="0" fontId="41" fillId="35" borderId="26" xfId="8" applyFont="1" applyFill="1" applyBorder="1" applyAlignment="1">
      <alignment horizontal="center" vertical="center" wrapText="1"/>
    </xf>
    <xf numFmtId="0" fontId="41" fillId="35" borderId="21" xfId="8" applyFont="1" applyFill="1" applyBorder="1" applyAlignment="1">
      <alignment horizontal="center" vertical="center" wrapText="1"/>
    </xf>
    <xf numFmtId="0" fontId="41" fillId="35" borderId="46" xfId="8" applyFont="1" applyFill="1" applyBorder="1" applyAlignment="1">
      <alignment horizontal="center" vertical="center" wrapText="1"/>
    </xf>
    <xf numFmtId="17" fontId="41" fillId="35" borderId="24" xfId="8" applyNumberFormat="1" applyFont="1" applyFill="1" applyBorder="1" applyAlignment="1">
      <alignment horizontal="center" vertical="center"/>
    </xf>
    <xf numFmtId="17" fontId="41" fillId="35" borderId="13" xfId="8" applyNumberFormat="1" applyFont="1" applyFill="1" applyBorder="1" applyAlignment="1">
      <alignment horizontal="center" vertical="center"/>
    </xf>
    <xf numFmtId="17" fontId="41" fillId="35" borderId="21" xfId="8" applyNumberFormat="1" applyFont="1" applyFill="1" applyBorder="1" applyAlignment="1">
      <alignment horizontal="center" vertical="center"/>
    </xf>
    <xf numFmtId="173" fontId="41" fillId="35" borderId="24" xfId="8" applyNumberFormat="1" applyFont="1" applyFill="1" applyBorder="1" applyAlignment="1">
      <alignment horizontal="center" vertical="center"/>
    </xf>
    <xf numFmtId="0" fontId="53" fillId="9" borderId="37" xfId="8" applyFont="1" applyFill="1" applyBorder="1" applyAlignment="1">
      <alignment vertical="center"/>
    </xf>
    <xf numFmtId="0" fontId="53" fillId="9" borderId="1" xfId="8" applyFont="1" applyFill="1" applyBorder="1" applyAlignment="1">
      <alignment vertical="center"/>
    </xf>
    <xf numFmtId="49" fontId="56" fillId="2" borderId="1" xfId="8" applyNumberFormat="1" applyFont="1" applyFill="1" applyBorder="1" applyAlignment="1">
      <alignment horizontal="right" vertical="center"/>
    </xf>
    <xf numFmtId="0" fontId="41" fillId="35" borderId="22" xfId="8" applyFont="1" applyFill="1" applyBorder="1" applyAlignment="1">
      <alignment horizontal="center" vertical="center" wrapText="1"/>
    </xf>
    <xf numFmtId="0" fontId="41" fillId="35" borderId="45" xfId="8" applyFont="1" applyFill="1" applyBorder="1" applyAlignment="1">
      <alignment horizontal="center" vertical="center" wrapText="1"/>
    </xf>
    <xf numFmtId="0" fontId="41" fillId="35" borderId="43" xfId="8" applyFont="1" applyFill="1" applyBorder="1" applyAlignment="1">
      <alignment horizontal="center" vertical="center"/>
    </xf>
    <xf numFmtId="0" fontId="41" fillId="35" borderId="9" xfId="8" applyFont="1" applyFill="1" applyBorder="1" applyAlignment="1">
      <alignment horizontal="center" vertical="center"/>
    </xf>
    <xf numFmtId="0" fontId="41" fillId="35" borderId="43" xfId="8" applyFont="1" applyFill="1" applyBorder="1" applyAlignment="1">
      <alignment horizontal="center" vertical="center" wrapText="1"/>
    </xf>
    <xf numFmtId="0" fontId="41" fillId="35" borderId="9" xfId="8" applyFont="1" applyFill="1" applyBorder="1" applyAlignment="1">
      <alignment horizontal="center" vertical="center" wrapText="1"/>
    </xf>
    <xf numFmtId="0" fontId="62" fillId="32" borderId="40" xfId="8" applyFont="1" applyFill="1" applyBorder="1" applyAlignment="1">
      <alignment horizontal="center" vertical="center"/>
    </xf>
    <xf numFmtId="0" fontId="62" fillId="32" borderId="41" xfId="8" applyFont="1" applyFill="1" applyBorder="1" applyAlignment="1">
      <alignment horizontal="center" vertical="center"/>
    </xf>
    <xf numFmtId="0" fontId="62" fillId="32" borderId="42" xfId="8" applyFont="1" applyFill="1" applyBorder="1" applyAlignment="1">
      <alignment horizontal="center" vertical="center"/>
    </xf>
    <xf numFmtId="49" fontId="56" fillId="2" borderId="38" xfId="8" applyNumberFormat="1" applyFont="1" applyFill="1" applyBorder="1" applyAlignment="1">
      <alignment horizontal="right" vertical="center"/>
    </xf>
    <xf numFmtId="0" fontId="53" fillId="9" borderId="20" xfId="8" applyFont="1" applyFill="1" applyBorder="1" applyAlignment="1">
      <alignment vertical="center"/>
    </xf>
    <xf numFmtId="0" fontId="53" fillId="9" borderId="39" xfId="8" applyFont="1" applyFill="1" applyBorder="1" applyAlignment="1">
      <alignment vertical="center"/>
    </xf>
    <xf numFmtId="0" fontId="56" fillId="2" borderId="39" xfId="8" applyFont="1" applyFill="1" applyBorder="1" applyAlignment="1">
      <alignment horizontal="right" vertical="center"/>
    </xf>
    <xf numFmtId="0" fontId="56" fillId="2" borderId="19" xfId="8" applyFont="1" applyFill="1" applyBorder="1" applyAlignment="1">
      <alignment horizontal="right" vertical="center"/>
    </xf>
    <xf numFmtId="0" fontId="56" fillId="2" borderId="1" xfId="8" applyFont="1" applyFill="1" applyBorder="1" applyAlignment="1">
      <alignment horizontal="right" vertical="center"/>
    </xf>
    <xf numFmtId="0" fontId="56" fillId="2" borderId="38" xfId="8" applyFont="1" applyFill="1" applyBorder="1" applyAlignment="1">
      <alignment horizontal="right" vertical="center"/>
    </xf>
    <xf numFmtId="3" fontId="56" fillId="2" borderId="1" xfId="8" applyNumberFormat="1" applyFont="1" applyFill="1" applyBorder="1" applyAlignment="1">
      <alignment horizontal="right" vertical="center"/>
    </xf>
    <xf numFmtId="3" fontId="56" fillId="2" borderId="38" xfId="8" applyNumberFormat="1" applyFont="1" applyFill="1" applyBorder="1" applyAlignment="1">
      <alignment horizontal="right" vertical="center"/>
    </xf>
    <xf numFmtId="9" fontId="56" fillId="34" borderId="1" xfId="2" applyFont="1" applyFill="1" applyBorder="1" applyAlignment="1">
      <alignment horizontal="right" vertical="center"/>
    </xf>
    <xf numFmtId="9" fontId="56" fillId="34" borderId="38" xfId="2" applyFont="1" applyFill="1" applyBorder="1" applyAlignment="1">
      <alignment horizontal="right" vertical="center"/>
    </xf>
    <xf numFmtId="0" fontId="61" fillId="2" borderId="1" xfId="8" applyFont="1" applyFill="1" applyBorder="1" applyAlignment="1">
      <alignment horizontal="right" vertical="center"/>
    </xf>
    <xf numFmtId="0" fontId="61" fillId="2" borderId="38" xfId="8" applyFont="1" applyFill="1" applyBorder="1" applyAlignment="1">
      <alignment horizontal="right" vertical="center"/>
    </xf>
    <xf numFmtId="172" fontId="56" fillId="2" borderId="1" xfId="8" applyNumberFormat="1" applyFont="1" applyFill="1" applyBorder="1" applyAlignment="1">
      <alignment horizontal="right" vertical="center"/>
    </xf>
    <xf numFmtId="172" fontId="56" fillId="2" borderId="38" xfId="8" applyNumberFormat="1" applyFont="1" applyFill="1" applyBorder="1" applyAlignment="1">
      <alignment horizontal="right" vertical="center"/>
    </xf>
    <xf numFmtId="0" fontId="59" fillId="32" borderId="34" xfId="8" applyFont="1" applyFill="1" applyBorder="1" applyAlignment="1">
      <alignment horizontal="center" vertical="center"/>
    </xf>
    <xf numFmtId="0" fontId="59" fillId="32" borderId="35" xfId="8" applyFont="1" applyFill="1" applyBorder="1" applyAlignment="1">
      <alignment horizontal="center" vertical="center"/>
    </xf>
    <xf numFmtId="0" fontId="59" fillId="32" borderId="36" xfId="8" applyFont="1" applyFill="1" applyBorder="1" applyAlignment="1">
      <alignment horizontal="center" vertical="center"/>
    </xf>
    <xf numFmtId="0" fontId="60" fillId="33" borderId="22" xfId="8" applyFont="1" applyFill="1" applyBorder="1" applyAlignment="1">
      <alignment vertical="center"/>
    </xf>
    <xf numFmtId="0" fontId="60" fillId="33" borderId="13" xfId="8" applyFont="1" applyFill="1" applyBorder="1" applyAlignment="1">
      <alignment vertical="center"/>
    </xf>
    <xf numFmtId="0" fontId="60" fillId="33" borderId="13" xfId="8" applyFont="1" applyFill="1" applyBorder="1" applyAlignment="1">
      <alignment horizontal="center" vertical="center"/>
    </xf>
    <xf numFmtId="0" fontId="60" fillId="33" borderId="21" xfId="8" applyFont="1" applyFill="1" applyBorder="1" applyAlignment="1">
      <alignment horizontal="center" vertical="center"/>
    </xf>
    <xf numFmtId="0" fontId="25" fillId="17" borderId="6" xfId="0" applyFont="1" applyFill="1" applyBorder="1" applyAlignment="1" applyProtection="1">
      <alignment horizontal="center"/>
      <protection locked="0"/>
    </xf>
    <xf numFmtId="0" fontId="25" fillId="17" borderId="7" xfId="0" applyFont="1" applyFill="1" applyBorder="1" applyAlignment="1" applyProtection="1">
      <alignment horizontal="center"/>
      <protection locked="0"/>
    </xf>
    <xf numFmtId="0" fontId="25" fillId="17" borderId="8" xfId="0" applyFont="1" applyFill="1" applyBorder="1" applyAlignment="1" applyProtection="1">
      <alignment horizontal="center"/>
      <protection locked="0"/>
    </xf>
    <xf numFmtId="168" fontId="11" fillId="11" borderId="6" xfId="0" applyNumberFormat="1" applyFont="1" applyFill="1" applyBorder="1" applyAlignment="1" applyProtection="1">
      <alignment horizontal="center" vertical="center"/>
      <protection hidden="1"/>
    </xf>
    <xf numFmtId="168" fontId="11" fillId="11" borderId="8" xfId="0" applyNumberFormat="1" applyFont="1" applyFill="1" applyBorder="1" applyAlignment="1" applyProtection="1">
      <alignment horizontal="center" vertical="center"/>
      <protection hidden="1"/>
    </xf>
    <xf numFmtId="0" fontId="38" fillId="4" borderId="12" xfId="0" applyFont="1" applyFill="1" applyBorder="1" applyAlignment="1">
      <alignment horizontal="center" vertical="center"/>
    </xf>
    <xf numFmtId="0" fontId="38" fillId="4" borderId="9" xfId="0" applyFont="1" applyFill="1" applyBorder="1" applyAlignment="1">
      <alignment horizontal="center" vertical="center"/>
    </xf>
    <xf numFmtId="0" fontId="38" fillId="4" borderId="13" xfId="0" applyFont="1" applyFill="1" applyBorder="1" applyAlignment="1">
      <alignment horizontal="center" vertical="center"/>
    </xf>
    <xf numFmtId="168" fontId="38" fillId="3" borderId="12" xfId="0" applyNumberFormat="1" applyFont="1" applyFill="1" applyBorder="1" applyAlignment="1" applyProtection="1">
      <alignment horizontal="center" vertical="center"/>
      <protection locked="0"/>
    </xf>
    <xf numFmtId="168" fontId="38" fillId="3" borderId="9" xfId="0" applyNumberFormat="1" applyFont="1" applyFill="1" applyBorder="1" applyAlignment="1" applyProtection="1">
      <alignment horizontal="center" vertical="center"/>
      <protection locked="0"/>
    </xf>
    <xf numFmtId="168" fontId="38" fillId="3" borderId="13" xfId="0" applyNumberFormat="1" applyFont="1" applyFill="1" applyBorder="1" applyAlignment="1" applyProtection="1">
      <alignment horizontal="center" vertical="center"/>
      <protection locked="0"/>
    </xf>
    <xf numFmtId="168" fontId="38" fillId="3" borderId="18" xfId="0" applyNumberFormat="1" applyFont="1" applyFill="1" applyBorder="1" applyAlignment="1" applyProtection="1">
      <alignment horizontal="center" vertical="center"/>
      <protection locked="0"/>
    </xf>
    <xf numFmtId="168" fontId="38" fillId="3" borderId="23" xfId="0" applyNumberFormat="1" applyFont="1" applyFill="1" applyBorder="1" applyAlignment="1" applyProtection="1">
      <alignment horizontal="center" vertical="center"/>
      <protection locked="0"/>
    </xf>
    <xf numFmtId="168" fontId="38" fillId="3" borderId="25" xfId="0" applyNumberFormat="1" applyFont="1" applyFill="1" applyBorder="1" applyAlignment="1" applyProtection="1">
      <alignment horizontal="center" vertical="center"/>
      <protection locked="0"/>
    </xf>
    <xf numFmtId="168" fontId="38" fillId="3" borderId="26" xfId="0" applyNumberFormat="1" applyFont="1" applyFill="1" applyBorder="1" applyAlignment="1" applyProtection="1">
      <alignment horizontal="center" vertical="center"/>
      <protection locked="0"/>
    </xf>
    <xf numFmtId="168" fontId="38" fillId="3" borderId="15" xfId="0" applyNumberFormat="1" applyFont="1" applyFill="1" applyBorder="1" applyAlignment="1" applyProtection="1">
      <alignment horizontal="center" vertical="center"/>
      <protection locked="0"/>
    </xf>
    <xf numFmtId="168" fontId="38" fillId="3" borderId="24" xfId="0" applyNumberFormat="1" applyFont="1" applyFill="1" applyBorder="1" applyAlignment="1" applyProtection="1">
      <alignment horizontal="center" vertical="center"/>
      <protection locked="0"/>
    </xf>
    <xf numFmtId="0" fontId="64" fillId="0" borderId="1" xfId="0" applyFont="1" applyBorder="1" applyAlignment="1" applyProtection="1">
      <alignment horizontal="center" vertical="center"/>
      <protection locked="0"/>
    </xf>
    <xf numFmtId="0" fontId="24" fillId="17" borderId="1" xfId="0" applyFont="1" applyFill="1" applyBorder="1" applyAlignment="1">
      <alignment horizontal="center" vertical="center" wrapText="1"/>
    </xf>
    <xf numFmtId="0" fontId="36" fillId="4" borderId="6" xfId="0" applyFont="1" applyFill="1" applyBorder="1" applyAlignment="1">
      <alignment horizontal="center" vertical="center"/>
    </xf>
    <xf numFmtId="0" fontId="36" fillId="4" borderId="7" xfId="0" applyFont="1" applyFill="1" applyBorder="1" applyAlignment="1">
      <alignment horizontal="center" vertical="center"/>
    </xf>
    <xf numFmtId="0" fontId="36" fillId="4" borderId="8" xfId="0" applyFont="1" applyFill="1" applyBorder="1" applyAlignment="1">
      <alignment horizontal="center" vertical="center"/>
    </xf>
    <xf numFmtId="0" fontId="36" fillId="4" borderId="1" xfId="0" applyFont="1" applyFill="1" applyBorder="1" applyAlignment="1">
      <alignment horizontal="center" vertical="center"/>
    </xf>
    <xf numFmtId="1" fontId="36" fillId="11" borderId="1" xfId="0" applyNumberFormat="1" applyFont="1" applyFill="1" applyBorder="1" applyAlignment="1" applyProtection="1">
      <alignment horizontal="center" vertical="center"/>
      <protection hidden="1"/>
    </xf>
    <xf numFmtId="1" fontId="38" fillId="11" borderId="0" xfId="0" applyNumberFormat="1" applyFont="1" applyFill="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38" fillId="4" borderId="9" xfId="0" applyFont="1" applyFill="1" applyBorder="1" applyAlignment="1" applyProtection="1">
      <alignment horizontal="center" vertical="center"/>
      <protection hidden="1"/>
    </xf>
    <xf numFmtId="0" fontId="38" fillId="4" borderId="13" xfId="0" applyFont="1" applyFill="1" applyBorder="1" applyAlignment="1" applyProtection="1">
      <alignment horizontal="center" vertical="center"/>
      <protection hidden="1"/>
    </xf>
    <xf numFmtId="168" fontId="38" fillId="3" borderId="12" xfId="0" applyNumberFormat="1" applyFont="1" applyFill="1" applyBorder="1" applyAlignment="1" applyProtection="1">
      <alignment horizontal="center" vertical="center"/>
      <protection hidden="1"/>
    </xf>
    <xf numFmtId="168" fontId="38" fillId="3" borderId="9" xfId="0" applyNumberFormat="1" applyFont="1" applyFill="1" applyBorder="1" applyAlignment="1" applyProtection="1">
      <alignment horizontal="center" vertical="center"/>
      <protection hidden="1"/>
    </xf>
    <xf numFmtId="168" fontId="38" fillId="3" borderId="13" xfId="0" applyNumberFormat="1" applyFont="1" applyFill="1" applyBorder="1" applyAlignment="1" applyProtection="1">
      <alignment horizontal="center" vertical="center"/>
      <protection hidden="1"/>
    </xf>
    <xf numFmtId="0" fontId="11" fillId="11" borderId="8" xfId="0" applyFont="1" applyFill="1" applyBorder="1" applyAlignment="1" applyProtection="1">
      <alignment horizontal="center" vertical="center"/>
      <protection hidden="1"/>
    </xf>
    <xf numFmtId="0" fontId="35" fillId="17" borderId="6" xfId="0" applyFont="1" applyFill="1" applyBorder="1" applyAlignment="1">
      <alignment horizontal="center" vertical="center"/>
    </xf>
    <xf numFmtId="0" fontId="35" fillId="17" borderId="7" xfId="0" applyFont="1" applyFill="1" applyBorder="1" applyAlignment="1">
      <alignment horizontal="center" vertical="center"/>
    </xf>
    <xf numFmtId="0" fontId="35" fillId="17" borderId="8" xfId="0" applyFont="1" applyFill="1" applyBorder="1" applyAlignment="1">
      <alignment horizontal="center" vertical="center"/>
    </xf>
    <xf numFmtId="0" fontId="64" fillId="0" borderId="6" xfId="0" applyFont="1" applyBorder="1" applyAlignment="1" applyProtection="1">
      <alignment horizontal="center" vertical="center"/>
      <protection locked="0"/>
    </xf>
    <xf numFmtId="0" fontId="64" fillId="0" borderId="8" xfId="0" applyFont="1" applyBorder="1" applyAlignment="1" applyProtection="1">
      <alignment horizontal="center" vertical="center"/>
      <protection locked="0"/>
    </xf>
    <xf numFmtId="1" fontId="38" fillId="11" borderId="9" xfId="0" applyNumberFormat="1" applyFont="1" applyFill="1" applyBorder="1" applyAlignment="1" applyProtection="1">
      <alignment horizontal="center" vertical="center"/>
      <protection hidden="1"/>
    </xf>
    <xf numFmtId="1" fontId="38" fillId="11" borderId="25" xfId="0" applyNumberFormat="1" applyFont="1" applyFill="1" applyBorder="1" applyAlignment="1" applyProtection="1">
      <alignment horizontal="center" vertical="center"/>
      <protection hidden="1"/>
    </xf>
    <xf numFmtId="168" fontId="38" fillId="3" borderId="18" xfId="0" applyNumberFormat="1" applyFont="1" applyFill="1" applyBorder="1" applyAlignment="1" applyProtection="1">
      <alignment horizontal="center" vertical="center"/>
      <protection hidden="1"/>
    </xf>
    <xf numFmtId="168" fontId="38" fillId="3" borderId="23" xfId="0" applyNumberFormat="1" applyFont="1" applyFill="1" applyBorder="1" applyAlignment="1" applyProtection="1">
      <alignment horizontal="center" vertical="center"/>
      <protection hidden="1"/>
    </xf>
    <xf numFmtId="168" fontId="38" fillId="3" borderId="25" xfId="0" applyNumberFormat="1" applyFont="1" applyFill="1" applyBorder="1" applyAlignment="1" applyProtection="1">
      <alignment horizontal="center" vertical="center"/>
      <protection hidden="1"/>
    </xf>
    <xf numFmtId="168" fontId="38" fillId="3" borderId="26" xfId="0" applyNumberFormat="1" applyFont="1" applyFill="1" applyBorder="1" applyAlignment="1" applyProtection="1">
      <alignment horizontal="center" vertical="center"/>
      <protection hidden="1"/>
    </xf>
    <xf numFmtId="168" fontId="38" fillId="3" borderId="15" xfId="0" applyNumberFormat="1" applyFont="1" applyFill="1" applyBorder="1" applyAlignment="1" applyProtection="1">
      <alignment horizontal="center" vertical="center"/>
      <protection hidden="1"/>
    </xf>
    <xf numFmtId="168" fontId="38" fillId="3" borderId="24" xfId="0" applyNumberFormat="1" applyFont="1" applyFill="1" applyBorder="1" applyAlignment="1" applyProtection="1">
      <alignment horizontal="center" vertical="center"/>
      <protection hidden="1"/>
    </xf>
    <xf numFmtId="1" fontId="38" fillId="11" borderId="7" xfId="0" applyNumberFormat="1" applyFont="1" applyFill="1" applyBorder="1" applyAlignment="1" applyProtection="1">
      <alignment horizontal="center" vertical="center"/>
      <protection hidden="1"/>
    </xf>
    <xf numFmtId="170" fontId="37" fillId="3" borderId="6" xfId="0" applyNumberFormat="1" applyFont="1" applyFill="1" applyBorder="1" applyAlignment="1" applyProtection="1">
      <alignment horizontal="center" vertical="center"/>
      <protection locked="0"/>
    </xf>
    <xf numFmtId="170" fontId="37" fillId="3" borderId="7" xfId="0" applyNumberFormat="1" applyFont="1" applyFill="1" applyBorder="1" applyAlignment="1" applyProtection="1">
      <alignment horizontal="center" vertical="center"/>
      <protection locked="0"/>
    </xf>
    <xf numFmtId="170" fontId="37" fillId="3" borderId="8" xfId="0" applyNumberFormat="1" applyFont="1" applyFill="1" applyBorder="1" applyAlignment="1" applyProtection="1">
      <alignment horizontal="center" vertical="center"/>
      <protection locked="0"/>
    </xf>
    <xf numFmtId="0" fontId="26" fillId="17" borderId="6" xfId="0" applyFont="1" applyFill="1" applyBorder="1" applyAlignment="1" applyProtection="1">
      <alignment horizontal="center"/>
      <protection hidden="1"/>
    </xf>
    <xf numFmtId="0" fontId="26" fillId="17" borderId="7" xfId="0" applyFont="1" applyFill="1" applyBorder="1" applyAlignment="1" applyProtection="1">
      <alignment horizontal="center"/>
      <protection hidden="1"/>
    </xf>
    <xf numFmtId="10" fontId="16" fillId="11" borderId="6" xfId="2" applyNumberFormat="1" applyFont="1" applyFill="1" applyBorder="1" applyAlignment="1" applyProtection="1">
      <alignment horizontal="right" vertical="center"/>
      <protection hidden="1"/>
    </xf>
    <xf numFmtId="10" fontId="16" fillId="11" borderId="7" xfId="2" applyNumberFormat="1" applyFont="1" applyFill="1" applyBorder="1" applyAlignment="1" applyProtection="1">
      <alignment horizontal="right" vertical="center"/>
      <protection hidden="1"/>
    </xf>
    <xf numFmtId="0" fontId="16" fillId="9" borderId="6" xfId="0" applyFont="1" applyFill="1" applyBorder="1" applyAlignment="1" applyProtection="1">
      <alignment horizontal="center" vertical="center" wrapText="1"/>
      <protection hidden="1"/>
    </xf>
    <xf numFmtId="0" fontId="16" fillId="9" borderId="7" xfId="0" applyFont="1" applyFill="1" applyBorder="1" applyAlignment="1" applyProtection="1">
      <alignment horizontal="center" vertical="center" wrapText="1"/>
      <protection hidden="1"/>
    </xf>
    <xf numFmtId="9" fontId="16" fillId="3" borderId="18" xfId="5" applyNumberFormat="1" applyFont="1" applyFill="1" applyBorder="1" applyAlignment="1" applyProtection="1">
      <alignment horizontal="center" vertical="center"/>
      <protection locked="0"/>
    </xf>
    <xf numFmtId="9" fontId="16" fillId="3" borderId="14" xfId="5" applyNumberFormat="1" applyFont="1" applyFill="1" applyBorder="1" applyAlignment="1" applyProtection="1">
      <alignment horizontal="center" vertical="center"/>
      <protection locked="0"/>
    </xf>
    <xf numFmtId="9" fontId="16" fillId="3" borderId="6" xfId="5" applyNumberFormat="1" applyFont="1" applyFill="1" applyBorder="1" applyAlignment="1" applyProtection="1">
      <alignment horizontal="center" vertical="center"/>
      <protection locked="0"/>
    </xf>
    <xf numFmtId="9" fontId="16" fillId="3" borderId="7" xfId="5" applyNumberFormat="1" applyFont="1" applyFill="1" applyBorder="1" applyAlignment="1" applyProtection="1">
      <alignment horizontal="center" vertical="center"/>
      <protection locked="0"/>
    </xf>
    <xf numFmtId="168" fontId="16" fillId="11" borderId="18" xfId="5" applyNumberFormat="1" applyFont="1" applyFill="1" applyBorder="1" applyAlignment="1" applyProtection="1">
      <alignment horizontal="center" vertical="center"/>
      <protection hidden="1"/>
    </xf>
    <xf numFmtId="168" fontId="16" fillId="11" borderId="25" xfId="5" applyNumberFormat="1" applyFont="1" applyFill="1" applyBorder="1" applyAlignment="1" applyProtection="1">
      <alignment horizontal="center" vertical="center"/>
      <protection hidden="1"/>
    </xf>
    <xf numFmtId="168" fontId="16" fillId="11" borderId="15" xfId="5" applyNumberFormat="1" applyFont="1" applyFill="1" applyBorder="1" applyAlignment="1" applyProtection="1">
      <alignment horizontal="center" vertical="center"/>
      <protection hidden="1"/>
    </xf>
    <xf numFmtId="0" fontId="2" fillId="2" borderId="0" xfId="0" applyFont="1" applyFill="1" applyAlignment="1" applyProtection="1">
      <alignment horizontal="center"/>
      <protection hidden="1"/>
    </xf>
    <xf numFmtId="10" fontId="16" fillId="3" borderId="6" xfId="5" applyNumberFormat="1" applyFont="1" applyFill="1" applyBorder="1" applyAlignment="1" applyProtection="1">
      <alignment horizontal="center" vertical="center"/>
      <protection locked="0"/>
    </xf>
    <xf numFmtId="10" fontId="16" fillId="3" borderId="7" xfId="5" applyNumberFormat="1" applyFont="1" applyFill="1" applyBorder="1" applyAlignment="1" applyProtection="1">
      <alignment horizontal="center" vertical="center"/>
      <protection locked="0"/>
    </xf>
    <xf numFmtId="0" fontId="15" fillId="9" borderId="1" xfId="0" applyFont="1" applyFill="1" applyBorder="1" applyAlignment="1" applyProtection="1">
      <alignment horizontal="left" vertical="center" wrapText="1"/>
      <protection hidden="1"/>
    </xf>
    <xf numFmtId="10" fontId="16" fillId="11" borderId="1" xfId="0" applyNumberFormat="1" applyFont="1" applyFill="1" applyBorder="1" applyAlignment="1" applyProtection="1">
      <alignment horizontal="right"/>
      <protection hidden="1"/>
    </xf>
    <xf numFmtId="0" fontId="15" fillId="9" borderId="18" xfId="0" applyFont="1" applyFill="1" applyBorder="1" applyAlignment="1" applyProtection="1">
      <alignment horizontal="center" vertical="center" wrapText="1"/>
      <protection hidden="1"/>
    </xf>
    <xf numFmtId="0" fontId="15" fillId="9" borderId="15" xfId="0" applyFont="1" applyFill="1" applyBorder="1" applyAlignment="1" applyProtection="1">
      <alignment horizontal="center" vertical="center" wrapText="1"/>
      <protection hidden="1"/>
    </xf>
    <xf numFmtId="0" fontId="15" fillId="9" borderId="6" xfId="0" applyFont="1" applyFill="1" applyBorder="1" applyAlignment="1" applyProtection="1">
      <alignment horizontal="left" vertical="center" wrapText="1"/>
      <protection hidden="1"/>
    </xf>
    <xf numFmtId="0" fontId="15" fillId="9" borderId="7" xfId="0" applyFont="1" applyFill="1" applyBorder="1" applyAlignment="1" applyProtection="1">
      <alignment horizontal="left" vertical="center" wrapText="1"/>
      <protection hidden="1"/>
    </xf>
    <xf numFmtId="166" fontId="16" fillId="11" borderId="1" xfId="0" applyNumberFormat="1" applyFont="1" applyFill="1" applyBorder="1" applyAlignment="1" applyProtection="1">
      <alignment horizontal="right" vertical="center"/>
      <protection hidden="1"/>
    </xf>
    <xf numFmtId="10" fontId="16" fillId="11" borderId="1" xfId="0" applyNumberFormat="1" applyFont="1" applyFill="1" applyBorder="1" applyAlignment="1" applyProtection="1">
      <alignment horizontal="right" vertical="center"/>
      <protection hidden="1"/>
    </xf>
    <xf numFmtId="9" fontId="16" fillId="11" borderId="6" xfId="2" applyFont="1" applyFill="1" applyBorder="1" applyAlignment="1" applyProtection="1">
      <alignment horizontal="right" vertical="center"/>
      <protection hidden="1"/>
    </xf>
    <xf numFmtId="9" fontId="16" fillId="11" borderId="7" xfId="2" applyFont="1" applyFill="1" applyBorder="1" applyAlignment="1" applyProtection="1">
      <alignment horizontal="right" vertical="center"/>
      <protection hidden="1"/>
    </xf>
    <xf numFmtId="0" fontId="28" fillId="18" borderId="1" xfId="0" applyFont="1" applyFill="1" applyBorder="1" applyAlignment="1" applyProtection="1">
      <alignment horizontal="center"/>
      <protection hidden="1"/>
    </xf>
  </cellXfs>
  <cellStyles count="10">
    <cellStyle name="Comma" xfId="1" builtinId="3"/>
    <cellStyle name="Comma 2" xfId="4" xr:uid="{00000000-0005-0000-0000-000001000000}"/>
    <cellStyle name="Comma 3" xfId="7" xr:uid="{00000000-0005-0000-0000-000002000000}"/>
    <cellStyle name="Currency" xfId="3" builtinId="4"/>
    <cellStyle name="Currency 2" xfId="5" xr:uid="{00000000-0005-0000-0000-000004000000}"/>
    <cellStyle name="Hyperlink" xfId="6" builtinId="8"/>
    <cellStyle name="Normal" xfId="0" builtinId="0"/>
    <cellStyle name="Normal 3 2" xfId="8" xr:uid="{DE0949CD-E516-4489-8B10-A6816E3B4388}"/>
    <cellStyle name="Normal 58" xfId="9" xr:uid="{3D24B167-7478-4336-BB53-F95FF344055D}"/>
    <cellStyle name="Percent" xfId="2" builtinId="5"/>
  </cellStyles>
  <dxfs count="168">
    <dxf>
      <font>
        <b val="0"/>
        <i val="0"/>
        <strike val="0"/>
        <condense val="0"/>
        <extend val="0"/>
        <outline val="0"/>
        <shadow val="0"/>
        <u val="none"/>
        <vertAlign val="baseline"/>
        <sz val="11"/>
        <color theme="1"/>
        <name val="Calibri"/>
        <family val="2"/>
        <scheme val="minor"/>
      </font>
      <numFmt numFmtId="174"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medium">
          <color theme="1"/>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174"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74"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4"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numFmt numFmtId="0" formatCode="General"/>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9" formatCode="dd/mm/yyyy"/>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style="medium">
          <color theme="1"/>
        </top>
        <bottom style="medium">
          <color theme="1"/>
        </bottom>
      </border>
    </dxf>
    <dxf>
      <font>
        <strike val="0"/>
        <outline val="0"/>
        <shadow val="0"/>
        <u val="none"/>
        <vertAlign val="baseline"/>
        <sz val="10"/>
        <color auto="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4"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family val="2"/>
        <scheme val="minor"/>
      </font>
      <alignment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dxf>
    <dxf>
      <border outline="0">
        <bottom style="thin">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EBF6F9"/>
      <color rgb="FFA7D9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calcChain" Target="calcChain.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20Documents/Macros/Formats/Financials/NC%20Financial%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file"/>
      <sheetName val="ROC-Check"/>
      <sheetName val="GST-Check"/>
      <sheetName val="KYC-Check"/>
      <sheetName val="Analysis"/>
      <sheetName val="Financial Statement"/>
      <sheetName val="Cash Flow"/>
      <sheetName val="RTR Sheet"/>
    </sheetNames>
    <sheetDataSet>
      <sheetData sheetId="0"/>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A844E-124E-4165-80F9-3380F8ABF9E0}" name="LoanTrack" displayName="LoanTrack" ref="B26:BC30" headerRowCount="0" totalsRowCount="1" headerRowDxfId="167" dataDxfId="165" totalsRowDxfId="163" headerRowBorderDxfId="166" tableBorderDxfId="164" totalsRowBorderDxfId="162">
  <tableColumns count="54">
    <tableColumn id="1" xr3:uid="{7AC856DD-F7CD-4E2D-939B-41C3E5194748}" name="Column1" totalsRowLabel="Total" headerRowDxfId="161" dataDxfId="160" totalsRowDxfId="159"/>
    <tableColumn id="2" xr3:uid="{0B34CB3A-AF2A-41CB-BE75-098E1412F659}" name="Column2" headerRowDxfId="158" dataDxfId="157" totalsRowDxfId="156"/>
    <tableColumn id="3" xr3:uid="{2C2BA19F-5772-41F4-8313-533F2D343F40}" name="Column3" totalsRowFunction="count" headerRowDxfId="155" dataDxfId="154" totalsRowDxfId="153"/>
    <tableColumn id="4" xr3:uid="{AF1F13BF-E639-42D3-BA7A-7ECECFACBEC8}" name="Column4" totalsRowFunction="sum" headerRowDxfId="152" dataDxfId="151" totalsRowDxfId="150"/>
    <tableColumn id="53" xr3:uid="{E476C4FF-2E3C-422B-900D-42F5D166661D}" name="Column52" totalsRowFunction="sum" headerRowDxfId="149" dataDxfId="148" totalsRowDxfId="147"/>
    <tableColumn id="5" xr3:uid="{A2501BF1-F0FC-46BA-80A0-EE1A902CDD0E}" name="Column5" totalsRowFunction="sum" headerRowDxfId="146" dataDxfId="145" totalsRowDxfId="144"/>
    <tableColumn id="6" xr3:uid="{99C09F7E-7865-4F1A-A2CD-9096FEA8B0E9}" name="Column6" headerRowDxfId="143" dataDxfId="142" totalsRowDxfId="141"/>
    <tableColumn id="54" xr3:uid="{005DEC4F-0C17-46DD-87FB-C715F6E8CB50}" name="Column54" totalsRowFunction="sum" headerRowDxfId="140" dataDxfId="139" totalsRowDxfId="138" dataCellStyle="Normal 3 2"/>
    <tableColumn id="7" xr3:uid="{568EC0CA-4955-4B27-920E-2E3E34887FEE}" name="Column7" headerRowDxfId="137" dataDxfId="136" totalsRowDxfId="135"/>
    <tableColumn id="8" xr3:uid="{3E9360EC-15BE-4A8B-8667-F29A26514196}" name="Column8" headerRowDxfId="134" dataDxfId="133" totalsRowDxfId="132">
      <calculatedColumnFormula>IFERROR(IF(J26&lt;(TODAY()-H26)/30,"",J26-((TODAY()-H26)/30)+1),"")</calculatedColumnFormula>
    </tableColumn>
    <tableColumn id="9" xr3:uid="{12F542DD-37DD-4786-BF96-43FC3392BC2D}" name="Column9" totalsRowFunction="custom" headerRowDxfId="131" dataDxfId="130" totalsRowDxfId="129">
      <totalsRowFormula>COUNTIF(L26:L29,"Yes")</totalsRowFormula>
    </tableColumn>
    <tableColumn id="10" xr3:uid="{AA3A6CF7-4839-42AD-B5C5-E71452F24803}" name="Column10" totalsRowFunction="sum" headerRowDxfId="128" dataDxfId="127" totalsRowDxfId="126">
      <calculatedColumnFormula>IF(OR(L26="Yes",AND(K26&gt;1,K26&lt;&gt;"")),G26,"")</calculatedColumnFormula>
    </tableColumn>
    <tableColumn id="11" xr3:uid="{959DE453-C9CA-45EF-B969-D21146025E34}" name="Column11" totalsRowFunction="custom" headerRowDxfId="125" dataDxfId="124" totalsRowDxfId="123">
      <totalsRowFormula>SUMPRODUCT((N26:N29&lt;&gt;"")/COUNTIF(N26:N29,N26:N29&amp;""))</totalsRowFormula>
    </tableColumn>
    <tableColumn id="52" xr3:uid="{C049E947-1BA6-403E-93E5-852F488E56B0}" name="Column51" totalsRowFunction="sum" headerRowDxfId="122" dataDxfId="121" totalsRowDxfId="120" dataCellStyle="Normal 3 2">
      <calculatedColumnFormula>IF($G26&lt;&gt;"",COUNT($S26,$V26,$Y26,$AB26,$AE26,$AH26,$AK26,$AN26,$AQ26,$AT26,$AW26,$AZ26),"")</calculatedColumnFormula>
    </tableColumn>
    <tableColumn id="55" xr3:uid="{CB271DB2-6289-4B9A-BB22-8DAC86D8EC4F}" name="Column53" headerRowDxfId="119" dataDxfId="118" totalsRowDxfId="117" dataCellStyle="Normal 3 2"/>
    <tableColumn id="51" xr3:uid="{4D8B1D93-CA1F-4183-A0CF-CE9273BFEFDD}" name="Column50" totalsRowFunction="sum" headerRowDxfId="116" dataDxfId="115" totalsRowDxfId="114" dataCellStyle="Normal 3 2">
      <calculatedColumnFormula>IF($G26&lt;&gt;"",SUM($T26,$W26,$Z26,$AC26,$AF26,$AI26,$AL26,$AO26,$AR26,$AU26,$AX26,$BA26),"")</calculatedColumnFormula>
    </tableColumn>
    <tableColumn id="50" xr3:uid="{BD93DA5F-47C9-4D45-8958-D9ED7CFAD65B}" name="Column49" totalsRowFunction="custom" headerRowDxfId="113" dataDxfId="112" totalsRowDxfId="111" dataCellStyle="Normal 3 2">
      <calculatedColumnFormula>IF($G26&lt;&gt;"",IFERROR(AVERAGE($U26,$X26,$AA26,$AD26,$AG26,$AJ26,$AM26,$AP26,$AS26,$AV26,$AY26,$BB26),""),"")</calculatedColumnFormula>
      <totalsRowFormula>IFERROR(SUBTOTAL(101,R26:R29),"")</totalsRowFormula>
    </tableColumn>
    <tableColumn id="12" xr3:uid="{33C98404-74A5-414B-88F6-D8D906C58FBE}" name="Column12" totalsRowFunction="count" headerRowDxfId="110" dataDxfId="109" totalsRowDxfId="108"/>
    <tableColumn id="13" xr3:uid="{80F77EF6-CC7E-4D75-9969-C22991B41286}" name="Column13" totalsRowFunction="sum" headerRowDxfId="107" dataDxfId="106" totalsRowDxfId="105"/>
    <tableColumn id="14" xr3:uid="{EECE93F5-9976-415B-A58B-01ABBFA7144F}" name="Column14" totalsRowFunction="custom" headerRowDxfId="104" dataDxfId="103" totalsRowDxfId="102">
      <totalsRowFormula>IFERROR(SUBTOTAL(101,U26:U29),"")</totalsRowFormula>
    </tableColumn>
    <tableColumn id="15" xr3:uid="{28FAFDCE-2770-4B9A-A5CD-909F023D3566}" name="Column15" totalsRowFunction="count" headerRowDxfId="101" dataDxfId="100" totalsRowDxfId="99"/>
    <tableColumn id="16" xr3:uid="{2F14C1C9-5041-4FF1-B533-BD0C371DDB44}" name="Column16" totalsRowFunction="sum" headerRowDxfId="98" dataDxfId="97" totalsRowDxfId="96"/>
    <tableColumn id="17" xr3:uid="{1DEC3043-0090-434D-A050-341F63331107}" name="Column17" totalsRowFunction="custom" headerRowDxfId="95" dataDxfId="94" totalsRowDxfId="93">
      <totalsRowFormula>IFERROR(SUBTOTAL(101,X26:X29),"")</totalsRowFormula>
    </tableColumn>
    <tableColumn id="18" xr3:uid="{32B2677C-0B77-496E-ABF3-227CE6D07285}" name="Column18" totalsRowFunction="count" headerRowDxfId="92" dataDxfId="91" totalsRowDxfId="90"/>
    <tableColumn id="19" xr3:uid="{F840A5AB-0574-4316-9B64-3C225D931377}" name="Column19" totalsRowFunction="sum" headerRowDxfId="89" dataDxfId="88" totalsRowDxfId="87"/>
    <tableColumn id="20" xr3:uid="{8B568E2D-59D4-4AD1-8CDF-D806AC3854A0}" name="Column20" totalsRowFunction="custom" headerRowDxfId="86" dataDxfId="85" totalsRowDxfId="84">
      <totalsRowFormula>IFERROR(SUBTOTAL(101,AA26:AA29),"")</totalsRowFormula>
    </tableColumn>
    <tableColumn id="21" xr3:uid="{E6D2447A-BD91-43AA-8E72-27957DCA9757}" name="Column21" totalsRowFunction="count" headerRowDxfId="83" dataDxfId="82" totalsRowDxfId="81"/>
    <tableColumn id="22" xr3:uid="{E8F0FD1F-4247-4D87-B27C-3547467B7275}" name="Column22" totalsRowFunction="sum" headerRowDxfId="80" dataDxfId="79" totalsRowDxfId="78"/>
    <tableColumn id="23" xr3:uid="{DD27D45A-5AFF-498C-8327-2FF819124CED}" name="Column23" totalsRowFunction="custom" headerRowDxfId="77" dataDxfId="76" totalsRowDxfId="75">
      <totalsRowFormula>IFERROR(SUBTOTAL(101,AD26:AD29),"")</totalsRowFormula>
    </tableColumn>
    <tableColumn id="24" xr3:uid="{878AC44E-0685-4602-83B4-3BB14FC031FD}" name="Column24" totalsRowFunction="count" headerRowDxfId="74" dataDxfId="73" totalsRowDxfId="72"/>
    <tableColumn id="25" xr3:uid="{E924D269-5986-43E7-BC3F-9D2B3544222A}" name="Column25" totalsRowFunction="sum" headerRowDxfId="71" dataDxfId="70" totalsRowDxfId="69"/>
    <tableColumn id="26" xr3:uid="{7002552C-F0F9-4396-B41D-F28A10B5A5C6}" name="Column26" totalsRowFunction="custom" headerRowDxfId="68" dataDxfId="67" totalsRowDxfId="66">
      <totalsRowFormula>IFERROR(SUBTOTAL(101,AG26:AG29),"")</totalsRowFormula>
    </tableColumn>
    <tableColumn id="27" xr3:uid="{5E1DB6D3-1420-4058-9425-A3E88B25153E}" name="Column27" totalsRowFunction="count" headerRowDxfId="65" dataDxfId="64" totalsRowDxfId="63"/>
    <tableColumn id="28" xr3:uid="{B5EE48B3-3E4F-4E64-AAA9-1207FF097C24}" name="Column28" totalsRowFunction="sum" headerRowDxfId="62" dataDxfId="61" totalsRowDxfId="60"/>
    <tableColumn id="29" xr3:uid="{CF1A600A-972C-4FBC-94FF-C0F6764973B1}" name="Column29" totalsRowFunction="custom" headerRowDxfId="59" dataDxfId="58" totalsRowDxfId="57">
      <totalsRowFormula>IFERROR(SUBTOTAL(101,AJ26:AJ29),"")</totalsRowFormula>
    </tableColumn>
    <tableColumn id="30" xr3:uid="{5A518E29-3EFB-4269-94EB-3DAAC99B0599}" name="Column30" totalsRowFunction="count" headerRowDxfId="56" dataDxfId="55" totalsRowDxfId="54"/>
    <tableColumn id="31" xr3:uid="{68DA7798-93DA-4934-9D34-EECFDBDDB78B}" name="Column31" totalsRowFunction="sum" headerRowDxfId="53" dataDxfId="52" totalsRowDxfId="51"/>
    <tableColumn id="32" xr3:uid="{CE4F61A4-A120-4439-97E2-F42593C3D866}" name="Column32" totalsRowFunction="custom" headerRowDxfId="50" dataDxfId="49" totalsRowDxfId="48">
      <totalsRowFormula>IFERROR(SUBTOTAL(101,AM26:AM29),"")</totalsRowFormula>
    </tableColumn>
    <tableColumn id="33" xr3:uid="{7A4669C5-7D9B-4017-8AB5-BA63D49ADED3}" name="Column33" totalsRowFunction="count" headerRowDxfId="47" dataDxfId="46" totalsRowDxfId="45"/>
    <tableColumn id="34" xr3:uid="{05B9458A-8CA1-43D0-B75D-615FAAFF12A3}" name="Column34" totalsRowFunction="sum" headerRowDxfId="44" dataDxfId="43" totalsRowDxfId="42"/>
    <tableColumn id="35" xr3:uid="{7E7ADC6D-B351-4F92-B921-418C64F522F9}" name="Column35" totalsRowFunction="custom" headerRowDxfId="41" dataDxfId="40" totalsRowDxfId="39">
      <totalsRowFormula>IFERROR(SUBTOTAL(101,AP26:AP29),"")</totalsRowFormula>
    </tableColumn>
    <tableColumn id="36" xr3:uid="{E3DC61DA-0FE7-48AD-A695-755CF4D7E20E}" name="Column36" totalsRowFunction="count" headerRowDxfId="38" dataDxfId="37" totalsRowDxfId="36"/>
    <tableColumn id="37" xr3:uid="{371616C1-0E3D-4A46-97C5-98DBA3A5481D}" name="Column37" totalsRowFunction="sum" headerRowDxfId="35" dataDxfId="34" totalsRowDxfId="33"/>
    <tableColumn id="38" xr3:uid="{40A8F260-588A-4005-94DA-ECFD0B764128}" name="Column38" totalsRowFunction="custom" headerRowDxfId="32" dataDxfId="31" totalsRowDxfId="30">
      <totalsRowFormula>IFERROR(SUBTOTAL(101,AS26:AS29),"")</totalsRowFormula>
    </tableColumn>
    <tableColumn id="39" xr3:uid="{E69AE9F7-BEAC-44C5-8B6F-F9BA9DCE5DA8}" name="Column39" totalsRowFunction="count" headerRowDxfId="29" dataDxfId="28" totalsRowDxfId="27"/>
    <tableColumn id="40" xr3:uid="{BC8BAA1C-7DBE-4D51-9A4A-9AD22468C0E8}" name="Column40" totalsRowFunction="sum" headerRowDxfId="26" dataDxfId="25" totalsRowDxfId="24"/>
    <tableColumn id="41" xr3:uid="{1ABC90FE-1F45-4CEA-B275-4F5F89786341}" name="Column41" totalsRowFunction="custom" headerRowDxfId="23" dataDxfId="22" totalsRowDxfId="21">
      <totalsRowFormula>IFERROR(SUBTOTAL(101,AV26:AV29),"")</totalsRowFormula>
    </tableColumn>
    <tableColumn id="42" xr3:uid="{5556E0C7-FBE5-4161-B38E-1FBB03E660A0}" name="Column42" totalsRowFunction="count" headerRowDxfId="20" dataDxfId="19" totalsRowDxfId="18"/>
    <tableColumn id="43" xr3:uid="{253FD4C2-CB67-41D9-9375-C6CC78EC3D6F}" name="Column43" totalsRowFunction="sum" headerRowDxfId="17" dataDxfId="16" totalsRowDxfId="15"/>
    <tableColumn id="44" xr3:uid="{71948744-B82E-4988-9F94-04A5014B3ED3}" name="Column44" totalsRowFunction="custom" headerRowDxfId="14" dataDxfId="13" totalsRowDxfId="12">
      <totalsRowFormula>IFERROR(SUBTOTAL(101,AY26:AY29),"")</totalsRowFormula>
    </tableColumn>
    <tableColumn id="45" xr3:uid="{DFFBC413-EFCE-4E84-8BF0-72B485A89B41}" name="Column45" totalsRowFunction="count" headerRowDxfId="11" dataDxfId="10" totalsRowDxfId="9"/>
    <tableColumn id="46" xr3:uid="{DCEF1C48-0615-4EFB-BBA2-3E28FCBE414C}" name="Column46" totalsRowFunction="sum" headerRowDxfId="8" dataDxfId="7" totalsRowDxfId="6"/>
    <tableColumn id="47" xr3:uid="{6CDCB7EE-F643-4CEE-AF36-1E65827F36AE}" name="Column47" totalsRowFunction="custom" headerRowDxfId="5" dataDxfId="4" totalsRowDxfId="3">
      <totalsRowFormula>IFERROR(SUBTOTAL(101,BB26:BB29),"")</totalsRowFormula>
    </tableColumn>
    <tableColumn id="48" xr3:uid="{40291F02-2DD2-4FBE-8640-9200DE05B875}" name="Column48" totalsRowFunction="count" headerRowDxfId="2" dataDxfId="1" totalsRowDxfId="0"/>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email-checker.net/check" TargetMode="External"/><Relationship Id="rId3" Type="http://schemas.openxmlformats.org/officeDocument/2006/relationships/hyperlink" Target="https://www.cibil.com/" TargetMode="External"/><Relationship Id="rId7" Type="http://schemas.openxmlformats.org/officeDocument/2006/relationships/hyperlink" Target="http://www.instafinancials.com/" TargetMode="External"/><Relationship Id="rId2" Type="http://schemas.openxmlformats.org/officeDocument/2006/relationships/hyperlink" Target="https://www.whois.net/default.aspx" TargetMode="External"/><Relationship Id="rId1" Type="http://schemas.openxmlformats.org/officeDocument/2006/relationships/hyperlink" Target="http://abflrsystem.adityabirlacapital.com/csfweb/" TargetMode="External"/><Relationship Id="rId6" Type="http://schemas.openxmlformats.org/officeDocument/2006/relationships/hyperlink" Target="https://www.zaubacorp.com/" TargetMode="External"/><Relationship Id="rId11" Type="http://schemas.openxmlformats.org/officeDocument/2006/relationships/printerSettings" Target="../printerSettings/printerSettings1.bin"/><Relationship Id="rId5" Type="http://schemas.openxmlformats.org/officeDocument/2006/relationships/hyperlink" Target="http://watchoutinvestors.com/default2a.asp" TargetMode="External"/><Relationship Id="rId10" Type="http://schemas.openxmlformats.org/officeDocument/2006/relationships/hyperlink" Target="https://probe42.in/" TargetMode="External"/><Relationship Id="rId4" Type="http://schemas.openxmlformats.org/officeDocument/2006/relationships/hyperlink" Target="https://www.crisilratings.com/RatingAN/login" TargetMode="External"/><Relationship Id="rId9" Type="http://schemas.openxmlformats.org/officeDocument/2006/relationships/hyperlink" Target="https://indiankanoon.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5"/>
  <dimension ref="A1:BB28"/>
  <sheetViews>
    <sheetView tabSelected="1" workbookViewId="0">
      <selection activeCell="C14" sqref="C14"/>
    </sheetView>
  </sheetViews>
  <sheetFormatPr defaultColWidth="30.140625" defaultRowHeight="14.25" customHeight="1" x14ac:dyDescent="0.25"/>
  <cols>
    <col min="2" max="2" width="38.140625" bestFit="1" customWidth="1"/>
  </cols>
  <sheetData>
    <row r="1" spans="1:54" ht="14.25" customHeight="1" x14ac:dyDescent="0.25">
      <c r="A1" s="354" t="s">
        <v>966</v>
      </c>
      <c r="B1" s="354"/>
      <c r="C1" s="235" t="s">
        <v>967</v>
      </c>
      <c r="D1" s="235" t="s">
        <v>968</v>
      </c>
      <c r="E1" s="235" t="s">
        <v>969</v>
      </c>
      <c r="F1" s="235" t="s">
        <v>970</v>
      </c>
      <c r="G1" s="235" t="s">
        <v>971</v>
      </c>
      <c r="BB1">
        <f>MATCH("Audited",Financial!$B$3:$F$3,0)</f>
        <v>1</v>
      </c>
    </row>
    <row r="2" spans="1:54" ht="14.25" customHeight="1" x14ac:dyDescent="0.25">
      <c r="A2" s="172" t="s">
        <v>972</v>
      </c>
      <c r="B2" s="173"/>
      <c r="C2" s="173"/>
      <c r="D2" s="173"/>
      <c r="E2" s="173"/>
      <c r="F2" s="173"/>
      <c r="G2" s="173"/>
    </row>
    <row r="3" spans="1:54" ht="14.25" customHeight="1" x14ac:dyDescent="0.25">
      <c r="A3" s="172" t="s">
        <v>973</v>
      </c>
      <c r="B3" s="173"/>
      <c r="C3" s="173"/>
      <c r="D3" s="173"/>
      <c r="E3" s="173"/>
      <c r="F3" s="173"/>
      <c r="G3" s="173"/>
    </row>
    <row r="4" spans="1:54" ht="14.25" customHeight="1" x14ac:dyDescent="0.25">
      <c r="A4" s="172" t="s">
        <v>974</v>
      </c>
      <c r="B4" s="173"/>
      <c r="C4" s="173"/>
      <c r="D4" s="173"/>
      <c r="E4" s="173"/>
      <c r="F4" s="173"/>
      <c r="G4" s="173"/>
    </row>
    <row r="5" spans="1:54" ht="14.25" customHeight="1" x14ac:dyDescent="0.25">
      <c r="A5" s="172" t="s">
        <v>975</v>
      </c>
      <c r="B5" s="173"/>
      <c r="C5" s="173"/>
      <c r="D5" s="173"/>
      <c r="E5" s="173"/>
      <c r="F5" s="173"/>
      <c r="G5" s="173"/>
    </row>
    <row r="6" spans="1:54" ht="14.25" customHeight="1" x14ac:dyDescent="0.25">
      <c r="A6" s="172" t="s">
        <v>976</v>
      </c>
      <c r="B6" s="174"/>
      <c r="C6" s="174"/>
      <c r="D6" s="174"/>
      <c r="E6" s="174"/>
      <c r="F6" s="174"/>
      <c r="G6" s="174"/>
    </row>
    <row r="7" spans="1:54" ht="14.25" customHeight="1" x14ac:dyDescent="0.25">
      <c r="A7" s="172" t="s">
        <v>977</v>
      </c>
      <c r="B7" s="173"/>
      <c r="C7" s="173"/>
      <c r="D7" s="175"/>
      <c r="E7" s="173"/>
      <c r="F7" s="173"/>
      <c r="G7" s="173"/>
    </row>
    <row r="8" spans="1:54" ht="14.25" customHeight="1" x14ac:dyDescent="0.25">
      <c r="A8" s="176" t="s">
        <v>978</v>
      </c>
      <c r="B8" s="173"/>
      <c r="C8" s="173"/>
      <c r="D8" s="173"/>
      <c r="E8" s="177"/>
      <c r="F8" s="177"/>
      <c r="G8" s="177"/>
    </row>
    <row r="9" spans="1:54" ht="14.25" customHeight="1" x14ac:dyDescent="0.25">
      <c r="A9" s="176" t="s">
        <v>979</v>
      </c>
      <c r="B9" s="173"/>
      <c r="C9" s="177"/>
      <c r="D9" s="177"/>
      <c r="E9" s="177"/>
      <c r="F9" s="177"/>
      <c r="G9" s="177"/>
    </row>
    <row r="10" spans="1:54" ht="14.25" customHeight="1" x14ac:dyDescent="0.25">
      <c r="A10" s="176" t="s">
        <v>980</v>
      </c>
      <c r="B10" s="173"/>
      <c r="C10" s="173"/>
      <c r="D10" s="173"/>
      <c r="E10" s="177"/>
      <c r="F10" s="177"/>
      <c r="G10" s="177"/>
    </row>
    <row r="11" spans="1:54" ht="14.25" customHeight="1" x14ac:dyDescent="0.25">
      <c r="A11" s="176" t="s">
        <v>981</v>
      </c>
      <c r="B11" s="173"/>
      <c r="C11" s="173"/>
      <c r="D11" s="173"/>
      <c r="E11" s="177"/>
      <c r="F11" s="177"/>
      <c r="G11" s="177"/>
    </row>
    <row r="12" spans="1:54" ht="14.25" customHeight="1" x14ac:dyDescent="0.25">
      <c r="A12" s="176" t="s">
        <v>982</v>
      </c>
      <c r="B12" s="173"/>
      <c r="C12" s="173"/>
      <c r="D12" s="173"/>
      <c r="E12" s="177"/>
      <c r="F12" s="177"/>
      <c r="G12" s="177"/>
    </row>
    <row r="13" spans="1:54" ht="14.25" customHeight="1" x14ac:dyDescent="0.25">
      <c r="A13" s="176" t="s">
        <v>983</v>
      </c>
      <c r="B13" s="173"/>
      <c r="C13" s="173"/>
      <c r="D13" s="173"/>
      <c r="E13" s="177"/>
      <c r="F13" s="177"/>
      <c r="G13" s="177"/>
    </row>
    <row r="14" spans="1:54" ht="14.25" customHeight="1" x14ac:dyDescent="0.25">
      <c r="A14" s="178" t="s">
        <v>984</v>
      </c>
      <c r="B14" s="173"/>
      <c r="C14" s="173"/>
      <c r="D14" s="173"/>
      <c r="E14" s="172"/>
      <c r="F14" s="172"/>
      <c r="G14" s="172"/>
    </row>
    <row r="15" spans="1:54" ht="14.25" customHeight="1" x14ac:dyDescent="0.25">
      <c r="A15" s="178" t="s">
        <v>985</v>
      </c>
      <c r="B15" s="173"/>
      <c r="C15" s="173"/>
      <c r="D15" s="173"/>
      <c r="E15" s="172"/>
      <c r="F15" s="172"/>
      <c r="G15" s="172"/>
    </row>
    <row r="16" spans="1:54" ht="14.25" customHeight="1" x14ac:dyDescent="0.25">
      <c r="A16" s="178" t="s">
        <v>986</v>
      </c>
      <c r="B16" s="173"/>
      <c r="C16" s="173"/>
      <c r="D16" s="172"/>
      <c r="E16" s="172"/>
      <c r="F16" s="172"/>
      <c r="G16" s="172"/>
    </row>
    <row r="17" spans="1:7" ht="14.25" customHeight="1" x14ac:dyDescent="0.25">
      <c r="A17" s="178" t="s">
        <v>987</v>
      </c>
      <c r="B17" s="173"/>
      <c r="C17" s="174"/>
      <c r="D17" s="174"/>
      <c r="E17" s="174"/>
      <c r="F17" s="174"/>
      <c r="G17" s="174"/>
    </row>
    <row r="18" spans="1:7" ht="14.25" customHeight="1" x14ac:dyDescent="0.25">
      <c r="A18" s="178" t="s">
        <v>988</v>
      </c>
      <c r="B18" s="173"/>
      <c r="C18" s="174"/>
      <c r="D18" s="174"/>
      <c r="E18" s="174"/>
      <c r="F18" s="174"/>
      <c r="G18" s="174"/>
    </row>
    <row r="19" spans="1:7" ht="14.25" customHeight="1" x14ac:dyDescent="0.25">
      <c r="A19" s="178" t="s">
        <v>989</v>
      </c>
      <c r="B19" s="173"/>
      <c r="C19" s="174"/>
      <c r="D19" s="174"/>
      <c r="E19" s="174"/>
      <c r="F19" s="174"/>
      <c r="G19" s="174"/>
    </row>
    <row r="20" spans="1:7" ht="14.25" customHeight="1" x14ac:dyDescent="0.25">
      <c r="A20" s="178" t="s">
        <v>467</v>
      </c>
      <c r="B20" s="173"/>
      <c r="C20" s="174"/>
      <c r="D20" s="174"/>
      <c r="E20" s="174"/>
      <c r="F20" s="174"/>
      <c r="G20" s="174"/>
    </row>
    <row r="21" spans="1:7" ht="14.25" customHeight="1" x14ac:dyDescent="0.25">
      <c r="A21" s="178" t="s">
        <v>990</v>
      </c>
      <c r="B21" s="173"/>
      <c r="C21" s="173"/>
      <c r="D21" s="173"/>
      <c r="E21" s="178"/>
      <c r="F21" s="178"/>
      <c r="G21" s="178"/>
    </row>
    <row r="22" spans="1:7" ht="14.25" customHeight="1" x14ac:dyDescent="0.25">
      <c r="A22" s="178" t="s">
        <v>991</v>
      </c>
      <c r="B22" s="173"/>
      <c r="C22" s="173"/>
      <c r="D22" s="173"/>
      <c r="E22" s="180"/>
      <c r="F22" s="180"/>
      <c r="G22" s="180"/>
    </row>
    <row r="23" spans="1:7" ht="14.25" customHeight="1" x14ac:dyDescent="0.25">
      <c r="A23" s="178" t="s">
        <v>992</v>
      </c>
      <c r="B23" s="173"/>
      <c r="C23" s="173"/>
      <c r="D23" s="173"/>
      <c r="E23" s="180"/>
      <c r="F23" s="180"/>
      <c r="G23" s="180"/>
    </row>
    <row r="24" spans="1:7" ht="14.25" customHeight="1" x14ac:dyDescent="0.25">
      <c r="A24" s="178" t="s">
        <v>993</v>
      </c>
      <c r="B24" s="173"/>
      <c r="C24" s="173"/>
      <c r="D24" s="173"/>
      <c r="E24" s="180"/>
      <c r="F24" s="180"/>
      <c r="G24" s="180"/>
    </row>
    <row r="25" spans="1:7" ht="14.25" customHeight="1" x14ac:dyDescent="0.25">
      <c r="A25" s="178" t="s">
        <v>994</v>
      </c>
      <c r="B25" s="173"/>
      <c r="C25" s="173"/>
      <c r="D25" s="173"/>
      <c r="E25" s="180"/>
      <c r="F25" s="180"/>
      <c r="G25" s="180"/>
    </row>
    <row r="26" spans="1:7" ht="14.25" customHeight="1" x14ac:dyDescent="0.25">
      <c r="A26" s="178" t="s">
        <v>995</v>
      </c>
      <c r="B26" s="173"/>
      <c r="C26" s="173"/>
      <c r="D26" s="173"/>
      <c r="E26" s="180"/>
      <c r="F26" s="180"/>
      <c r="G26" s="180"/>
    </row>
    <row r="27" spans="1:7" ht="14.25" customHeight="1" x14ac:dyDescent="0.25">
      <c r="A27" s="178" t="s">
        <v>996</v>
      </c>
      <c r="B27" s="179"/>
      <c r="C27" s="179"/>
      <c r="D27" s="179"/>
      <c r="E27" s="179"/>
      <c r="F27" s="179"/>
      <c r="G27" s="179"/>
    </row>
    <row r="28" spans="1:7" ht="14.25" customHeight="1" x14ac:dyDescent="0.25">
      <c r="A28" s="178" t="s">
        <v>997</v>
      </c>
      <c r="B28" s="179"/>
      <c r="C28" s="179"/>
      <c r="D28" s="179"/>
      <c r="E28" s="179"/>
      <c r="F28" s="179"/>
      <c r="G28" s="179"/>
    </row>
  </sheetData>
  <mergeCells count="1">
    <mergeCell ref="A1:B1"/>
  </mergeCells>
  <dataValidations disablePrompts="1" count="1">
    <dataValidation type="list" allowBlank="1" showInputMessage="1" showErrorMessage="1" sqref="B21:G21" xr:uid="{00000000-0002-0000-0000-000000000000}">
      <formula1>"Proprietor,Public Limited,Partnership,Private Limited,Society,Trust,Individual"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77"/>
  <sheetViews>
    <sheetView workbookViewId="0">
      <selection activeCell="C14" sqref="C14"/>
    </sheetView>
  </sheetViews>
  <sheetFormatPr defaultColWidth="0" defaultRowHeight="15" zeroHeight="1" x14ac:dyDescent="0.25"/>
  <cols>
    <col min="1" max="1" width="36.140625" style="13" customWidth="1"/>
    <col min="2" max="2" width="29.140625" style="13" bestFit="1" customWidth="1"/>
    <col min="3" max="3" width="30.5703125" style="13" customWidth="1"/>
    <col min="4" max="4" width="14.42578125" style="13" customWidth="1"/>
    <col min="5" max="5" width="30.5703125" style="13" customWidth="1"/>
    <col min="6" max="6" width="1.42578125" style="13" customWidth="1"/>
    <col min="7" max="7" width="24.140625" style="13" hidden="1" customWidth="1"/>
    <col min="8" max="8" width="13.7109375" style="13" hidden="1" customWidth="1"/>
    <col min="9" max="10" width="9.140625" style="13" hidden="1" customWidth="1"/>
    <col min="11" max="11" width="24.140625" style="13" hidden="1" customWidth="1"/>
    <col min="12" max="12" width="13.7109375" style="13" hidden="1" customWidth="1"/>
    <col min="13" max="13" width="24.140625" style="13" hidden="1" customWidth="1"/>
    <col min="14" max="14" width="13.7109375" style="13" hidden="1" customWidth="1"/>
    <col min="15" max="15" width="24.140625" style="13" hidden="1" customWidth="1"/>
    <col min="16" max="16" width="13.7109375" style="13" hidden="1" customWidth="1"/>
    <col min="17" max="17" width="24.140625" style="13" hidden="1" customWidth="1"/>
    <col min="18" max="18" width="13.7109375" style="13" hidden="1" customWidth="1"/>
    <col min="19" max="16384" width="9.140625" style="13" hidden="1"/>
  </cols>
  <sheetData>
    <row r="1" spans="1:12" ht="18.75" x14ac:dyDescent="0.25">
      <c r="A1" s="355" t="s">
        <v>998</v>
      </c>
      <c r="B1" s="355"/>
      <c r="C1" s="355"/>
      <c r="D1" s="355"/>
      <c r="E1" s="355"/>
    </row>
    <row r="2" spans="1:12" ht="18.75" x14ac:dyDescent="0.25">
      <c r="A2" s="374" t="s">
        <v>472</v>
      </c>
      <c r="B2" s="374"/>
      <c r="C2" s="374"/>
      <c r="D2" s="374"/>
      <c r="E2" s="374"/>
    </row>
    <row r="3" spans="1:12" x14ac:dyDescent="0.25">
      <c r="A3" s="14" t="s">
        <v>0</v>
      </c>
      <c r="B3" s="379">
        <v>0</v>
      </c>
      <c r="C3" s="379"/>
      <c r="D3" s="379"/>
      <c r="E3" s="379"/>
      <c r="H3" s="15"/>
      <c r="L3" s="15"/>
    </row>
    <row r="4" spans="1:12" x14ac:dyDescent="0.25">
      <c r="A4" s="14" t="s">
        <v>2</v>
      </c>
      <c r="B4" s="380">
        <v>0.19</v>
      </c>
      <c r="C4" s="381"/>
      <c r="D4" s="381"/>
      <c r="E4" s="381"/>
      <c r="H4" s="15"/>
      <c r="L4" s="15"/>
    </row>
    <row r="5" spans="1:12" x14ac:dyDescent="0.25">
      <c r="A5" s="14" t="s">
        <v>3</v>
      </c>
      <c r="B5" s="381">
        <v>36</v>
      </c>
      <c r="C5" s="381"/>
      <c r="D5" s="381"/>
      <c r="E5" s="381"/>
      <c r="H5" s="15"/>
      <c r="L5" s="15"/>
    </row>
    <row r="6" spans="1:12" x14ac:dyDescent="0.25">
      <c r="A6" s="14" t="s">
        <v>568</v>
      </c>
      <c r="B6" s="377">
        <f>IFERROR(PMT(B4/12,B5,-B3),"-")</f>
        <v>0</v>
      </c>
      <c r="C6" s="378"/>
      <c r="D6" s="378"/>
      <c r="E6" s="378"/>
      <c r="H6" s="15"/>
      <c r="L6" s="15"/>
    </row>
    <row r="7" spans="1:12" x14ac:dyDescent="0.25">
      <c r="A7" s="14" t="s">
        <v>581</v>
      </c>
      <c r="B7" s="376" t="str">
        <f>IFERROR(SUM(Banking!H24,Banking!H40,Banking!H56,Banking!H72,Banking!H88,Banking!H104,Banking!H120,Banking!H136,Banking!H152,Banking!H168,Banking!H184,Banking!H200,Banking!H216,Banking!H232,Banking!H248,Banking!H264,Banking!H280,Banking!H293,Banking!H306,Banking!H319)/'Loan Details'!B6,"-")</f>
        <v>-</v>
      </c>
      <c r="C7" s="376"/>
      <c r="D7" s="376"/>
      <c r="E7" s="376"/>
      <c r="H7" s="15"/>
      <c r="L7" s="15"/>
    </row>
    <row r="8" spans="1:12" ht="18.75" x14ac:dyDescent="0.25">
      <c r="A8" s="366" t="s">
        <v>582</v>
      </c>
      <c r="B8" s="367"/>
      <c r="C8" s="367"/>
      <c r="D8" s="367"/>
      <c r="E8" s="367"/>
      <c r="L8" s="15"/>
    </row>
    <row r="9" spans="1:12" x14ac:dyDescent="0.25">
      <c r="A9" s="364" t="s">
        <v>14</v>
      </c>
      <c r="B9" s="364"/>
      <c r="C9" s="365"/>
      <c r="D9" s="365"/>
      <c r="E9" s="365"/>
      <c r="L9" s="15"/>
    </row>
    <row r="10" spans="1:12" x14ac:dyDescent="0.25">
      <c r="A10" s="364" t="s">
        <v>16</v>
      </c>
      <c r="B10" s="364"/>
      <c r="C10" s="365"/>
      <c r="D10" s="365"/>
      <c r="E10" s="365"/>
      <c r="L10" s="15"/>
    </row>
    <row r="11" spans="1:12" x14ac:dyDescent="0.25">
      <c r="A11" s="364" t="s">
        <v>450</v>
      </c>
      <c r="B11" s="364"/>
      <c r="C11" s="382" t="str">
        <f ca="1">IFERROR('DSCR Method'!B7/100,"-")</f>
        <v>-</v>
      </c>
      <c r="D11" s="382"/>
      <c r="E11" s="382"/>
      <c r="L11" s="15"/>
    </row>
    <row r="12" spans="1:12" x14ac:dyDescent="0.25">
      <c r="A12" s="364" t="s">
        <v>583</v>
      </c>
      <c r="B12" s="364"/>
      <c r="C12" s="365">
        <f>Repayment!I52</f>
        <v>0</v>
      </c>
      <c r="D12" s="365"/>
      <c r="E12" s="365"/>
      <c r="L12" s="15"/>
    </row>
    <row r="13" spans="1:12" ht="15" customHeight="1" x14ac:dyDescent="0.25">
      <c r="A13" s="362" t="s">
        <v>729</v>
      </c>
      <c r="B13" s="363"/>
      <c r="C13" s="110" t="s">
        <v>231</v>
      </c>
      <c r="D13" s="55" t="s">
        <v>723</v>
      </c>
      <c r="E13" s="110" t="s">
        <v>232</v>
      </c>
      <c r="L13" s="15"/>
    </row>
    <row r="14" spans="1:12" x14ac:dyDescent="0.25">
      <c r="A14" s="364" t="s">
        <v>584</v>
      </c>
      <c r="B14" s="364"/>
      <c r="C14" s="136" cm="1">
        <f t="array" ref="C14">INDEX(Financial!B6:F6,0,'CUSTOMER DETAIL'!$BB$1+1)*100000</f>
        <v>0</v>
      </c>
      <c r="D14" s="137" t="str">
        <f>IFERROR((E14-C14)/C14,"-")</f>
        <v>-</v>
      </c>
      <c r="E14" s="261" cm="1">
        <f t="array" ref="E14">INDEX(Financial!B6:F6,0,'CUSTOMER DETAIL'!$BB$1)*100000</f>
        <v>0</v>
      </c>
      <c r="L14" s="15"/>
    </row>
    <row r="15" spans="1:12" x14ac:dyDescent="0.25">
      <c r="A15" s="364" t="s">
        <v>260</v>
      </c>
      <c r="B15" s="364"/>
      <c r="C15" s="105" cm="1">
        <f t="array" ref="C15">INDEX(Financial!B16:F16,0,'CUSTOMER DETAIL'!$BB$1+1)*100000</f>
        <v>0</v>
      </c>
      <c r="D15" s="137" t="str">
        <f t="shared" ref="D15:D21" si="0">IFERROR((E15-C15)/C15,"-")</f>
        <v>-</v>
      </c>
      <c r="E15" s="261" cm="1">
        <f t="array" ref="E15">INDEX(Financial!B16:F16,0,'CUSTOMER DETAIL'!$BB$1)*100000</f>
        <v>0</v>
      </c>
      <c r="L15" s="15"/>
    </row>
    <row r="16" spans="1:12" x14ac:dyDescent="0.25">
      <c r="A16" s="364" t="s">
        <v>236</v>
      </c>
      <c r="B16" s="364"/>
      <c r="C16" s="105" cm="1">
        <f t="array" ref="C16">INDEX(Financial!B27:F27,0,'CUSTOMER DETAIL'!$BB$1+1)*100000</f>
        <v>0</v>
      </c>
      <c r="D16" s="137" t="str">
        <f t="shared" si="0"/>
        <v>-</v>
      </c>
      <c r="E16" s="261" cm="1">
        <f t="array" ref="E16">INDEX(Financial!B27:F27,0,'CUSTOMER DETAIL'!$BB$1)*100000</f>
        <v>0</v>
      </c>
      <c r="L16" s="15"/>
    </row>
    <row r="17" spans="1:12" x14ac:dyDescent="0.25">
      <c r="A17" s="364" t="s">
        <v>256</v>
      </c>
      <c r="B17" s="364"/>
      <c r="C17" s="105" cm="1">
        <f t="array" ref="C17">INDEX(Financial!B29:F29,0,'CUSTOMER DETAIL'!$BB$1+1)*100000</f>
        <v>0</v>
      </c>
      <c r="D17" s="137" t="str">
        <f t="shared" si="0"/>
        <v>-</v>
      </c>
      <c r="E17" s="261" cm="1">
        <f t="array" ref="E17">INDEX(Financial!B29:F29,0,'CUSTOMER DETAIL'!$BB$1)*100000</f>
        <v>0</v>
      </c>
      <c r="L17" s="15"/>
    </row>
    <row r="18" spans="1:12" x14ac:dyDescent="0.25">
      <c r="A18" s="364" t="s">
        <v>255</v>
      </c>
      <c r="B18" s="364"/>
      <c r="C18" s="105" cm="1">
        <f t="array" ref="C18">INDEX(Financial!B30:F30,0,'CUSTOMER DETAIL'!$BB$1+1)*100000</f>
        <v>0</v>
      </c>
      <c r="D18" s="137" t="str">
        <f t="shared" si="0"/>
        <v>-</v>
      </c>
      <c r="E18" s="261" cm="1">
        <f t="array" ref="E18">INDEX(Financial!B30:F30,0,'CUSTOMER DETAIL'!$BB$1)*100000</f>
        <v>0</v>
      </c>
      <c r="L18" s="15"/>
    </row>
    <row r="19" spans="1:12" x14ac:dyDescent="0.25">
      <c r="A19" s="364" t="s">
        <v>237</v>
      </c>
      <c r="B19" s="364"/>
      <c r="C19" s="105" cm="1">
        <f t="array" ref="C19">INDEX(Financial!B14:F14,0,'CUSTOMER DETAIL'!$BB$1+1)*100000</f>
        <v>0</v>
      </c>
      <c r="D19" s="137" t="str">
        <f t="shared" si="0"/>
        <v>-</v>
      </c>
      <c r="E19" s="261" cm="1">
        <f t="array" ref="E19">INDEX(Financial!B14:F14,0,'CUSTOMER DETAIL'!$BB$1)*100000</f>
        <v>0</v>
      </c>
      <c r="L19" s="15"/>
    </row>
    <row r="20" spans="1:12" x14ac:dyDescent="0.25">
      <c r="A20" s="364" t="s">
        <v>238</v>
      </c>
      <c r="B20" s="364"/>
      <c r="C20" s="105" cm="1">
        <f t="array" ref="C20">INDEX(Financial!B32:F32,0,'CUSTOMER DETAIL'!$BB$1+1)*100000</f>
        <v>0</v>
      </c>
      <c r="D20" s="137" t="str">
        <f t="shared" si="0"/>
        <v>-</v>
      </c>
      <c r="E20" s="261" cm="1">
        <f t="array" ref="E20">INDEX(Financial!B32:F32,0,'CUSTOMER DETAIL'!$BB$1)*100000</f>
        <v>0</v>
      </c>
      <c r="L20" s="15"/>
    </row>
    <row r="21" spans="1:12" x14ac:dyDescent="0.25">
      <c r="A21" s="364" t="s">
        <v>239</v>
      </c>
      <c r="B21" s="364"/>
      <c r="C21" s="105" cm="1">
        <f t="array" ref="C21">INDEX(Financial!B23:F23,0,'CUSTOMER DETAIL'!$BB$1+1)*100000</f>
        <v>0</v>
      </c>
      <c r="D21" s="137" t="str">
        <f t="shared" si="0"/>
        <v>-</v>
      </c>
      <c r="E21" s="261" cm="1">
        <f t="array" ref="E21">INDEX(Financial!B23:F23,0,'CUSTOMER DETAIL'!$BB$1)*100000</f>
        <v>0</v>
      </c>
      <c r="L21" s="15"/>
    </row>
    <row r="22" spans="1:12" ht="18.75" x14ac:dyDescent="0.25">
      <c r="A22" s="374" t="s">
        <v>488</v>
      </c>
      <c r="B22" s="374"/>
      <c r="C22" s="374"/>
      <c r="D22" s="374"/>
      <c r="E22" s="374"/>
      <c r="L22" s="15"/>
    </row>
    <row r="23" spans="1:12" x14ac:dyDescent="0.25">
      <c r="A23" s="368" t="s">
        <v>474</v>
      </c>
      <c r="B23" s="104" t="s">
        <v>489</v>
      </c>
      <c r="C23" s="383" t="s">
        <v>960</v>
      </c>
      <c r="D23" s="383"/>
      <c r="E23" s="383"/>
      <c r="L23" s="15"/>
    </row>
    <row r="24" spans="1:12" x14ac:dyDescent="0.25">
      <c r="A24" s="375"/>
      <c r="B24" s="104" t="s">
        <v>258</v>
      </c>
      <c r="C24" s="384" t="e">
        <f>'DSCR Method'!B31</f>
        <v>#DIV/0!</v>
      </c>
      <c r="D24" s="384"/>
      <c r="E24" s="384"/>
      <c r="L24" s="15"/>
    </row>
    <row r="25" spans="1:12" x14ac:dyDescent="0.25">
      <c r="A25" s="375"/>
      <c r="B25" s="104" t="s">
        <v>259</v>
      </c>
      <c r="C25" s="384" t="e">
        <f ca="1">'DSCR Method'!B32</f>
        <v>#VALUE!</v>
      </c>
      <c r="D25" s="384"/>
      <c r="E25" s="384"/>
      <c r="L25" s="15"/>
    </row>
    <row r="26" spans="1:12" x14ac:dyDescent="0.25">
      <c r="A26" s="369"/>
      <c r="B26" s="104" t="s">
        <v>777</v>
      </c>
      <c r="C26" s="361" t="e">
        <f ca="1">IF(OR(C24&gt;=1,AND(C24&gt;=0.7,C25&gt;=1)),"Eligible under DSCR","Not Eligible under DSCR")</f>
        <v>#DIV/0!</v>
      </c>
      <c r="D26" s="361"/>
      <c r="E26" s="361"/>
      <c r="L26" s="15"/>
    </row>
    <row r="27" spans="1:12" hidden="1" x14ac:dyDescent="0.25">
      <c r="A27" s="368" t="s">
        <v>476</v>
      </c>
      <c r="B27" s="104" t="s">
        <v>489</v>
      </c>
      <c r="C27" s="357" t="s">
        <v>475</v>
      </c>
      <c r="D27" s="357"/>
      <c r="E27" s="357"/>
      <c r="L27" s="15"/>
    </row>
    <row r="28" spans="1:12" hidden="1" x14ac:dyDescent="0.25">
      <c r="A28" s="369"/>
      <c r="B28" s="104" t="s">
        <v>777</v>
      </c>
      <c r="C28" s="361" t="e">
        <f ca="1">'Gross Margin'!B33</f>
        <v>#N/A</v>
      </c>
      <c r="D28" s="361"/>
      <c r="E28" s="361"/>
      <c r="L28" s="15"/>
    </row>
    <row r="29" spans="1:12" hidden="1" x14ac:dyDescent="0.25">
      <c r="A29" s="368" t="s">
        <v>260</v>
      </c>
      <c r="B29" s="104" t="s">
        <v>489</v>
      </c>
      <c r="C29" s="357" t="s">
        <v>475</v>
      </c>
      <c r="D29" s="357"/>
      <c r="E29" s="357"/>
      <c r="L29" s="15"/>
    </row>
    <row r="30" spans="1:12" hidden="1" x14ac:dyDescent="0.25">
      <c r="A30" s="369"/>
      <c r="B30" s="104" t="s">
        <v>777</v>
      </c>
      <c r="C30" s="361" t="e">
        <f>IF(C9="Service","Not eligible for Service",'Gross Profit'!B23)</f>
        <v>#DIV/0!</v>
      </c>
      <c r="D30" s="361"/>
      <c r="E30" s="361"/>
      <c r="H30" s="15"/>
      <c r="L30" s="15"/>
    </row>
    <row r="31" spans="1:12" hidden="1" x14ac:dyDescent="0.25">
      <c r="A31" s="368" t="s">
        <v>477</v>
      </c>
      <c r="B31" s="104" t="s">
        <v>489</v>
      </c>
      <c r="C31" s="357" t="s">
        <v>475</v>
      </c>
      <c r="D31" s="357"/>
      <c r="E31" s="357"/>
      <c r="H31" s="15"/>
      <c r="L31" s="15"/>
    </row>
    <row r="32" spans="1:12" hidden="1" x14ac:dyDescent="0.25">
      <c r="A32" s="369"/>
      <c r="B32" s="104" t="s">
        <v>777</v>
      </c>
      <c r="C32" s="361" t="str">
        <f>IF(OR(E14&lt;50000000,E18&lt;3000000,C14&gt;E14),"Program not Eligible due to minimum requirement",'Projected Turnover'!B35)</f>
        <v>Program not Eligible due to minimum requirement</v>
      </c>
      <c r="D32" s="361"/>
      <c r="E32" s="361"/>
      <c r="H32" s="15"/>
      <c r="L32" s="15"/>
    </row>
    <row r="33" spans="1:12" hidden="1" x14ac:dyDescent="0.25">
      <c r="A33" s="356" t="s">
        <v>430</v>
      </c>
      <c r="B33" s="104" t="s">
        <v>489</v>
      </c>
      <c r="C33" s="357" t="s">
        <v>478</v>
      </c>
      <c r="D33" s="357"/>
      <c r="E33" s="357"/>
      <c r="H33" s="15"/>
      <c r="L33" s="15"/>
    </row>
    <row r="34" spans="1:12" hidden="1" x14ac:dyDescent="0.25">
      <c r="A34" s="356"/>
      <c r="B34" s="104" t="s">
        <v>247</v>
      </c>
      <c r="C34" s="358">
        <f>'Turnover Multiplier'!B11</f>
        <v>0</v>
      </c>
      <c r="D34" s="358"/>
      <c r="E34" s="358"/>
      <c r="H34" s="15"/>
      <c r="L34" s="15"/>
    </row>
    <row r="35" spans="1:12" hidden="1" x14ac:dyDescent="0.25">
      <c r="A35" s="356"/>
      <c r="B35" s="104" t="s">
        <v>485</v>
      </c>
      <c r="C35" s="358">
        <f>'Turnover Multiplier'!B12</f>
        <v>0</v>
      </c>
      <c r="D35" s="358"/>
      <c r="E35" s="358"/>
    </row>
    <row r="36" spans="1:12" x14ac:dyDescent="0.25">
      <c r="A36" s="368" t="s">
        <v>483</v>
      </c>
      <c r="B36" s="104" t="s">
        <v>489</v>
      </c>
      <c r="C36" s="357" t="s">
        <v>475</v>
      </c>
      <c r="D36" s="357"/>
      <c r="E36" s="357"/>
    </row>
    <row r="37" spans="1:12" x14ac:dyDescent="0.25">
      <c r="A37" s="369"/>
      <c r="B37" s="104" t="s">
        <v>777</v>
      </c>
      <c r="C37" s="370" t="str">
        <f>IF('Gross Receipts'!B9&gt;1000000,'Gross Receipts'!B15,"Not eligible for minimum receipt")</f>
        <v>Not eligible for minimum receipt</v>
      </c>
      <c r="D37" s="371"/>
      <c r="E37" s="371"/>
    </row>
    <row r="38" spans="1:12" x14ac:dyDescent="0.25">
      <c r="A38" s="356" t="s">
        <v>473</v>
      </c>
      <c r="B38" s="104" t="s">
        <v>489</v>
      </c>
      <c r="C38" s="357" t="s">
        <v>475</v>
      </c>
      <c r="D38" s="357"/>
      <c r="E38" s="357"/>
    </row>
    <row r="39" spans="1:12" x14ac:dyDescent="0.25">
      <c r="A39" s="356"/>
      <c r="B39" s="104" t="s">
        <v>247</v>
      </c>
      <c r="C39" s="358" t="str">
        <f>IF('Income Multiplier'!B16&gt;500000,'Income Multiplier'!B16,"Not eligible")</f>
        <v>Not eligible</v>
      </c>
      <c r="D39" s="358"/>
      <c r="E39" s="358"/>
    </row>
    <row r="40" spans="1:12" x14ac:dyDescent="0.25">
      <c r="A40" s="356" t="s">
        <v>484</v>
      </c>
      <c r="B40" s="104" t="s">
        <v>489</v>
      </c>
      <c r="C40" s="357" t="s">
        <v>475</v>
      </c>
      <c r="D40" s="357"/>
      <c r="E40" s="357"/>
    </row>
    <row r="41" spans="1:12" x14ac:dyDescent="0.25">
      <c r="A41" s="356"/>
      <c r="B41" s="104" t="s">
        <v>247</v>
      </c>
      <c r="C41" s="358" t="str">
        <f>IF('ITR Program'!B9&gt;500000,'ITR Program'!B12,"Not eligible")</f>
        <v>Not eligible</v>
      </c>
      <c r="D41" s="358"/>
      <c r="E41" s="358"/>
    </row>
    <row r="42" spans="1:12" hidden="1" x14ac:dyDescent="0.25">
      <c r="A42" s="368" t="s">
        <v>896</v>
      </c>
      <c r="B42" s="104" t="s">
        <v>489</v>
      </c>
      <c r="C42" s="357" t="s">
        <v>481</v>
      </c>
      <c r="D42" s="357"/>
      <c r="E42" s="357"/>
    </row>
    <row r="43" spans="1:12" hidden="1" x14ac:dyDescent="0.25">
      <c r="A43" s="369"/>
      <c r="B43" s="104" t="s">
        <v>777</v>
      </c>
      <c r="C43" s="358" t="e">
        <f ca="1">'GST TO Surrogate'!C21</f>
        <v>#N/A</v>
      </c>
      <c r="D43" s="358"/>
      <c r="E43" s="358"/>
    </row>
    <row r="44" spans="1:12" ht="15" customHeight="1" x14ac:dyDescent="0.25">
      <c r="A44" s="356" t="s">
        <v>490</v>
      </c>
      <c r="B44" s="104" t="s">
        <v>489</v>
      </c>
      <c r="C44" s="357" t="s">
        <v>482</v>
      </c>
      <c r="D44" s="357"/>
      <c r="E44" s="357"/>
    </row>
    <row r="45" spans="1:12" ht="15" customHeight="1" x14ac:dyDescent="0.25">
      <c r="A45" s="356"/>
      <c r="B45" s="104" t="s">
        <v>247</v>
      </c>
      <c r="C45" s="358">
        <f>MIN(5000000,'Average Banking'!D11)</f>
        <v>0</v>
      </c>
      <c r="D45" s="358"/>
      <c r="E45" s="358"/>
    </row>
    <row r="46" spans="1:12" ht="15" customHeight="1" x14ac:dyDescent="0.25">
      <c r="A46" s="356"/>
      <c r="B46" s="104" t="s">
        <v>485</v>
      </c>
      <c r="C46" s="358">
        <f>'Average Banking'!D12</f>
        <v>0</v>
      </c>
      <c r="D46" s="358"/>
      <c r="E46" s="358"/>
    </row>
    <row r="47" spans="1:12" hidden="1" x14ac:dyDescent="0.25">
      <c r="A47" s="356" t="s">
        <v>479</v>
      </c>
      <c r="B47" s="104" t="s">
        <v>489</v>
      </c>
      <c r="C47" s="357" t="s">
        <v>480</v>
      </c>
      <c r="D47" s="357"/>
      <c r="E47" s="357"/>
    </row>
    <row r="48" spans="1:12" hidden="1" x14ac:dyDescent="0.25">
      <c r="A48" s="356"/>
      <c r="B48" s="104" t="s">
        <v>247</v>
      </c>
      <c r="C48" s="358">
        <f>IF('Repayment Surrogate'!B6="Regular",MIN(3000000,'Repayment Surrogate'!B13),MIN(3000000,'Repayment Surrogate'!B27))</f>
        <v>0</v>
      </c>
      <c r="D48" s="358"/>
      <c r="E48" s="358"/>
    </row>
    <row r="49" spans="1:5" hidden="1" x14ac:dyDescent="0.25">
      <c r="A49" s="356"/>
      <c r="B49" s="104" t="s">
        <v>485</v>
      </c>
      <c r="C49" s="359">
        <f>IF('Repayment Surrogate'!B6="Regular",'Repayment Surrogate'!B14,'Repayment Surrogate'!B28)</f>
        <v>0</v>
      </c>
      <c r="D49" s="360"/>
      <c r="E49" s="360"/>
    </row>
    <row r="50" spans="1:5" x14ac:dyDescent="0.25">
      <c r="A50" s="356" t="s">
        <v>832</v>
      </c>
      <c r="B50" s="104" t="s">
        <v>489</v>
      </c>
      <c r="C50" s="357" t="s">
        <v>841</v>
      </c>
      <c r="D50" s="357"/>
      <c r="E50" s="357"/>
    </row>
    <row r="51" spans="1:5" x14ac:dyDescent="0.25">
      <c r="A51" s="356"/>
      <c r="B51" s="104" t="s">
        <v>247</v>
      </c>
      <c r="C51" s="358">
        <f>'Existing Borrower Top-up'!B14</f>
        <v>0</v>
      </c>
      <c r="D51" s="358"/>
      <c r="E51" s="358"/>
    </row>
    <row r="52" spans="1:5" x14ac:dyDescent="0.25">
      <c r="A52" s="356"/>
      <c r="B52" s="104" t="s">
        <v>485</v>
      </c>
      <c r="C52" s="358">
        <f>'Existing Borrower Top-up'!B15</f>
        <v>0</v>
      </c>
      <c r="D52" s="358"/>
      <c r="E52" s="358"/>
    </row>
    <row r="53" spans="1:5" ht="18.75" x14ac:dyDescent="0.25">
      <c r="A53" s="366" t="s">
        <v>585</v>
      </c>
      <c r="B53" s="367"/>
      <c r="C53" s="367"/>
      <c r="D53" s="367"/>
      <c r="E53" s="367"/>
    </row>
    <row r="54" spans="1:5" x14ac:dyDescent="0.25">
      <c r="A54" s="372" t="s">
        <v>724</v>
      </c>
      <c r="B54" s="373"/>
      <c r="C54" s="373"/>
      <c r="D54" s="373"/>
      <c r="E54" s="373"/>
    </row>
    <row r="55" spans="1:5" x14ac:dyDescent="0.25">
      <c r="A55" s="372" t="s">
        <v>725</v>
      </c>
      <c r="B55" s="373"/>
      <c r="C55" s="373"/>
      <c r="D55" s="373"/>
      <c r="E55" s="373"/>
    </row>
    <row r="56" spans="1:5" x14ac:dyDescent="0.25">
      <c r="A56" s="372" t="s">
        <v>588</v>
      </c>
      <c r="B56" s="373"/>
      <c r="C56" s="373"/>
      <c r="D56" s="373"/>
      <c r="E56" s="373"/>
    </row>
    <row r="57" spans="1:5" x14ac:dyDescent="0.25">
      <c r="A57" s="372" t="s">
        <v>587</v>
      </c>
      <c r="B57" s="373"/>
      <c r="C57" s="373"/>
      <c r="D57" s="373"/>
      <c r="E57" s="373"/>
    </row>
    <row r="58" spans="1:5" x14ac:dyDescent="0.25">
      <c r="A58" s="372" t="s">
        <v>586</v>
      </c>
      <c r="B58" s="373"/>
      <c r="C58" s="373"/>
      <c r="D58" s="373"/>
      <c r="E58" s="373"/>
    </row>
    <row r="59" spans="1:5" x14ac:dyDescent="0.25">
      <c r="A59" s="372" t="s">
        <v>726</v>
      </c>
      <c r="B59" s="373"/>
      <c r="C59" s="373"/>
      <c r="D59" s="373"/>
      <c r="E59" s="373"/>
    </row>
    <row r="60" spans="1:5" x14ac:dyDescent="0.25">
      <c r="A60" s="372" t="s">
        <v>727</v>
      </c>
      <c r="B60" s="373"/>
      <c r="C60" s="373"/>
      <c r="D60" s="373"/>
      <c r="E60" s="373"/>
    </row>
    <row r="61" spans="1:5" x14ac:dyDescent="0.25">
      <c r="A61" s="372" t="s">
        <v>728</v>
      </c>
      <c r="B61" s="373"/>
      <c r="C61" s="373"/>
      <c r="D61" s="373"/>
      <c r="E61" s="373"/>
    </row>
    <row r="62" spans="1:5" x14ac:dyDescent="0.25">
      <c r="A62" s="372" t="s">
        <v>458</v>
      </c>
      <c r="B62" s="373"/>
      <c r="C62" s="373"/>
      <c r="D62" s="373"/>
      <c r="E62" s="373"/>
    </row>
    <row r="63" spans="1:5" x14ac:dyDescent="0.25">
      <c r="A63" s="372" t="s">
        <v>868</v>
      </c>
      <c r="B63" s="373"/>
      <c r="C63" s="373"/>
      <c r="D63" s="373"/>
      <c r="E63" s="373"/>
    </row>
    <row r="64" spans="1:5" x14ac:dyDescent="0.25">
      <c r="A64" s="372" t="s">
        <v>869</v>
      </c>
      <c r="B64" s="373"/>
      <c r="C64" s="373"/>
      <c r="D64" s="373"/>
      <c r="E64" s="373"/>
    </row>
    <row r="65" ht="5.25" customHeight="1" x14ac:dyDescent="0.25"/>
    <row r="66" ht="6" hidden="1" customHeight="1" x14ac:dyDescent="0.25"/>
    <row r="69" ht="9.75" hidden="1" customHeight="1" x14ac:dyDescent="0.25"/>
    <row r="77" ht="9.75" hidden="1" customHeight="1" x14ac:dyDescent="0.25"/>
  </sheetData>
  <sheetProtection algorithmName="SHA-512" hashValue="C/dJ9VbRh10ptyt0PXfX42wrMZebnIx17N/dYk0Wi+201yRLit7Ofdw38BDr4fJoy5byIY5wvvLz7zIjIrZjNw==" saltValue="fZntay+fVnNpWBKoflsz2A==" spinCount="100000" sheet="1" objects="1" scenarios="1"/>
  <mergeCells count="80">
    <mergeCell ref="C26:E26"/>
    <mergeCell ref="A33:A35"/>
    <mergeCell ref="C33:E33"/>
    <mergeCell ref="C30:E30"/>
    <mergeCell ref="C31:E31"/>
    <mergeCell ref="C27:E27"/>
    <mergeCell ref="A29:A30"/>
    <mergeCell ref="A31:A32"/>
    <mergeCell ref="C25:E25"/>
    <mergeCell ref="A18:B18"/>
    <mergeCell ref="A19:B19"/>
    <mergeCell ref="A20:B20"/>
    <mergeCell ref="C24:E24"/>
    <mergeCell ref="C10:E10"/>
    <mergeCell ref="A11:B11"/>
    <mergeCell ref="C11:E11"/>
    <mergeCell ref="C12:E12"/>
    <mergeCell ref="C23:E23"/>
    <mergeCell ref="A17:B17"/>
    <mergeCell ref="A12:B12"/>
    <mergeCell ref="B7:E7"/>
    <mergeCell ref="A8:E8"/>
    <mergeCell ref="B6:E6"/>
    <mergeCell ref="A2:E2"/>
    <mergeCell ref="B3:E3"/>
    <mergeCell ref="B4:E4"/>
    <mergeCell ref="B5:E5"/>
    <mergeCell ref="A64:E64"/>
    <mergeCell ref="A63:E63"/>
    <mergeCell ref="A14:B14"/>
    <mergeCell ref="A16:B16"/>
    <mergeCell ref="A15:B15"/>
    <mergeCell ref="A21:B21"/>
    <mergeCell ref="C34:E34"/>
    <mergeCell ref="C29:E29"/>
    <mergeCell ref="A22:E22"/>
    <mergeCell ref="C28:E28"/>
    <mergeCell ref="A27:A28"/>
    <mergeCell ref="A23:A26"/>
    <mergeCell ref="A54:E54"/>
    <mergeCell ref="A59:E59"/>
    <mergeCell ref="A60:E60"/>
    <mergeCell ref="A62:E62"/>
    <mergeCell ref="A55:E55"/>
    <mergeCell ref="A56:E56"/>
    <mergeCell ref="A57:E57"/>
    <mergeCell ref="A58:E58"/>
    <mergeCell ref="A61:E61"/>
    <mergeCell ref="A53:E53"/>
    <mergeCell ref="C35:E35"/>
    <mergeCell ref="C41:E41"/>
    <mergeCell ref="C42:E42"/>
    <mergeCell ref="A40:A41"/>
    <mergeCell ref="A42:A43"/>
    <mergeCell ref="A44:A46"/>
    <mergeCell ref="A47:A49"/>
    <mergeCell ref="A38:A39"/>
    <mergeCell ref="C36:E36"/>
    <mergeCell ref="C37:E37"/>
    <mergeCell ref="C38:E38"/>
    <mergeCell ref="C44:E44"/>
    <mergeCell ref="C40:E40"/>
    <mergeCell ref="C39:E39"/>
    <mergeCell ref="A36:A37"/>
    <mergeCell ref="A1:E1"/>
    <mergeCell ref="A50:A52"/>
    <mergeCell ref="C50:E50"/>
    <mergeCell ref="C51:E51"/>
    <mergeCell ref="C52:E52"/>
    <mergeCell ref="C48:E48"/>
    <mergeCell ref="C49:E49"/>
    <mergeCell ref="C45:E45"/>
    <mergeCell ref="C46:E46"/>
    <mergeCell ref="C47:E47"/>
    <mergeCell ref="C43:E43"/>
    <mergeCell ref="C32:E32"/>
    <mergeCell ref="A13:B13"/>
    <mergeCell ref="A9:B9"/>
    <mergeCell ref="C9:E9"/>
    <mergeCell ref="A10:B10"/>
  </mergeCells>
  <dataValidations count="3">
    <dataValidation type="list" allowBlank="1" showInputMessage="1" showErrorMessage="1" sqref="C9:E9" xr:uid="{00000000-0002-0000-0100-000000000000}">
      <formula1>"Manufacturer,Trader, Service"</formula1>
    </dataValidation>
    <dataValidation operator="greaterThanOrEqual" showInputMessage="1" showErrorMessage="1" sqref="B4:E4" xr:uid="{00000000-0002-0000-0100-000001000000}"/>
    <dataValidation type="whole" allowBlank="1" showInputMessage="1" showErrorMessage="1" sqref="B5:E5" xr:uid="{00000000-0002-0000-0100-000002000000}">
      <formula1>1</formula1>
      <formula2>60</formula2>
    </dataValidation>
  </dataValidations>
  <hyperlinks>
    <hyperlink ref="A23:A25" location="'DSCR Method'!A1" display="DSCR" xr:uid="{00000000-0004-0000-0100-000000000000}"/>
    <hyperlink ref="A33:A35" location="'Turnover Multiplier'!A1" display="Turnover Multiplier" xr:uid="{00000000-0004-0000-0100-000001000000}"/>
    <hyperlink ref="A44:A46" location="'Average Banking'!A1" display="Average Banking Program" xr:uid="{00000000-0004-0000-0100-000002000000}"/>
    <hyperlink ref="A47:A49" location="'Repayment Surrogate'!A1" display="Repayment Surrogate" xr:uid="{00000000-0004-0000-0100-000003000000}"/>
    <hyperlink ref="A59:E59" r:id="rId1" display="R-system" xr:uid="{00000000-0004-0000-0100-000004000000}"/>
    <hyperlink ref="A60:E60" r:id="rId2" display="Whois Domain Check" xr:uid="{00000000-0004-0000-0100-000005000000}"/>
    <hyperlink ref="A62:E62" r:id="rId3" display="CIBIL" xr:uid="{00000000-0004-0000-0100-000006000000}"/>
    <hyperlink ref="A54:E54" r:id="rId4" display="CRISIL Rating" xr:uid="{00000000-0004-0000-0100-000007000000}"/>
    <hyperlink ref="A55:E55" r:id="rId5" display="Watchout Investor" xr:uid="{00000000-0004-0000-0100-000008000000}"/>
    <hyperlink ref="A57:E57" r:id="rId6" display="ZAUBA" xr:uid="{00000000-0004-0000-0100-000009000000}"/>
    <hyperlink ref="A58:E58" r:id="rId7" display="InstaFinancials" xr:uid="{00000000-0004-0000-0100-00000A000000}"/>
    <hyperlink ref="A61:E61" r:id="rId8" display="Email Checker" xr:uid="{00000000-0004-0000-0100-00000B000000}"/>
    <hyperlink ref="A27:A28" location="'Gross Margin'!A1" display="Gross Margin" xr:uid="{00000000-0004-0000-0100-00000C000000}"/>
    <hyperlink ref="A29:A30" location="'Gross Profit'!A1" display="Gross Profit" xr:uid="{00000000-0004-0000-0100-00000D000000}"/>
    <hyperlink ref="A31:A32" location="'Projected Turnover'!A1" display="Projected Turnover" xr:uid="{00000000-0004-0000-0100-00000E000000}"/>
    <hyperlink ref="A36:A37" location="'Gross Receipts'!A1" display="Gross Receipt" xr:uid="{00000000-0004-0000-0100-00000F000000}"/>
    <hyperlink ref="A38:A39" location="'Income Multiplier'!A1" display="Income Multiplier" xr:uid="{00000000-0004-0000-0100-000010000000}"/>
    <hyperlink ref="A40:A41" location="'ITR Program'!A1" display="ITR Program" xr:uid="{00000000-0004-0000-0100-000011000000}"/>
    <hyperlink ref="A42:A43" location="'VAT or Service Tax TO'!A1" display="VAT/Service Tax Turnover" xr:uid="{00000000-0004-0000-0100-000012000000}"/>
    <hyperlink ref="A50:A52" location="'Existing Borrower Top-up'!A1" display="Existing Borrower Top-up" xr:uid="{00000000-0004-0000-0100-000013000000}"/>
    <hyperlink ref="A63:E63" r:id="rId9" display="indiankanoon" xr:uid="{00000000-0004-0000-0100-000014000000}"/>
    <hyperlink ref="A64:E64" r:id="rId10" location="/postlogin/home/companytab" display="Probe42" xr:uid="{00000000-0004-0000-0100-000015000000}"/>
  </hyperlinks>
  <pageMargins left="0.7" right="0.7" top="0.75" bottom="0.75" header="0.3" footer="0.3"/>
  <pageSetup paperSize="9" orientation="portrait" horizontalDpi="4294967295" verticalDpi="4294967295" r:id="rId1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'DSCR Method'!$H$2:$H$167</xm:f>
          </x14:formula1>
          <xm:sqref>C10:E10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35"/>
  <sheetViews>
    <sheetView showGridLines="0" topLeftCell="A3" zoomScale="96" zoomScaleNormal="96" workbookViewId="0">
      <selection activeCell="D7" sqref="D7"/>
    </sheetView>
  </sheetViews>
  <sheetFormatPr defaultRowHeight="15" x14ac:dyDescent="0.25"/>
  <cols>
    <col min="1" max="1" width="18.140625" customWidth="1"/>
    <col min="2" max="2" width="20.7109375" customWidth="1"/>
    <col min="3" max="3" width="18" customWidth="1"/>
    <col min="4" max="4" width="20" customWidth="1"/>
    <col min="5" max="5" width="15.7109375" customWidth="1"/>
    <col min="6" max="6" width="14.140625" customWidth="1"/>
    <col min="7" max="7" width="17.140625" customWidth="1"/>
    <col min="8" max="8" width="38.140625" customWidth="1"/>
    <col min="9" max="9" width="33.85546875" customWidth="1"/>
    <col min="12" max="13" width="9.140625" hidden="1" customWidth="1"/>
  </cols>
  <sheetData>
    <row r="1" spans="1:13" x14ac:dyDescent="0.25">
      <c r="A1" s="149" t="s">
        <v>921</v>
      </c>
      <c r="B1" s="385" t="s">
        <v>922</v>
      </c>
      <c r="C1" s="385"/>
      <c r="D1" s="385"/>
      <c r="E1" s="385"/>
      <c r="F1" s="385"/>
      <c r="G1" s="385"/>
    </row>
    <row r="2" spans="1:13" x14ac:dyDescent="0.25">
      <c r="A2" s="13"/>
      <c r="B2" s="385"/>
      <c r="C2" s="385"/>
      <c r="D2" s="385"/>
      <c r="E2" s="385"/>
      <c r="F2" s="385"/>
      <c r="G2" s="385"/>
    </row>
    <row r="3" spans="1:13" ht="8.25" customHeight="1" x14ac:dyDescent="0.25">
      <c r="A3" s="13"/>
      <c r="B3" s="13"/>
      <c r="C3" s="13"/>
      <c r="D3" s="13"/>
      <c r="E3" s="13"/>
      <c r="F3" s="13"/>
      <c r="G3" s="13"/>
    </row>
    <row r="4" spans="1:13" x14ac:dyDescent="0.25">
      <c r="A4" s="386" t="s">
        <v>923</v>
      </c>
      <c r="B4" s="386"/>
      <c r="C4" s="386"/>
      <c r="D4" s="386"/>
      <c r="E4" s="386"/>
      <c r="F4" s="386"/>
      <c r="G4" s="386"/>
    </row>
    <row r="5" spans="1:13" ht="4.5" customHeight="1" x14ac:dyDescent="0.25">
      <c r="B5" s="13"/>
      <c r="C5" s="13"/>
      <c r="D5" s="13"/>
      <c r="E5" s="13"/>
      <c r="F5" s="13"/>
      <c r="G5" s="13"/>
    </row>
    <row r="6" spans="1:13" ht="129" customHeight="1" x14ac:dyDescent="0.25">
      <c r="A6" s="91" t="s">
        <v>871</v>
      </c>
      <c r="B6" s="91" t="s">
        <v>961</v>
      </c>
      <c r="C6" s="91" t="s">
        <v>924</v>
      </c>
      <c r="D6" s="91" t="s">
        <v>873</v>
      </c>
      <c r="E6" s="91" t="s">
        <v>925</v>
      </c>
      <c r="F6" s="91" t="s">
        <v>926</v>
      </c>
      <c r="G6" s="91" t="s">
        <v>963</v>
      </c>
      <c r="H6" s="150" t="s">
        <v>927</v>
      </c>
      <c r="I6" s="91" t="s">
        <v>928</v>
      </c>
    </row>
    <row r="7" spans="1:13" ht="81.75" customHeight="1" x14ac:dyDescent="0.25">
      <c r="A7" s="169"/>
      <c r="B7" s="5"/>
      <c r="C7" s="5"/>
      <c r="D7" s="5" t="str">
        <f>IF('GSTR CY'!E17="","",'GSTR CY'!E17)</f>
        <v/>
      </c>
      <c r="E7" s="168"/>
      <c r="F7" s="168">
        <v>0</v>
      </c>
      <c r="G7" s="170" t="str">
        <f>IF(AND(C7="Micro",E7&lt;=5,F7&lt;=1),"MSME Norms Met",IF(AND(C7="Small",E7&lt;=50,F7&lt;=10),"MSME Norms Met",IF(AND(C7="Medium",E7&lt;=100,F7&lt;=20),"MSME Norms Met","MSME Norms Not Met")))</f>
        <v>MSME Norms Not Met</v>
      </c>
      <c r="H7" s="151" t="s">
        <v>965</v>
      </c>
      <c r="I7" s="151" t="s">
        <v>964</v>
      </c>
      <c r="L7" t="s">
        <v>931</v>
      </c>
      <c r="M7" t="s">
        <v>962</v>
      </c>
    </row>
    <row r="8" spans="1:13" ht="15.75" thickBot="1" x14ac:dyDescent="0.3">
      <c r="A8" s="13"/>
      <c r="B8" s="13"/>
      <c r="C8" s="13"/>
      <c r="D8" s="13"/>
      <c r="E8" s="13"/>
      <c r="F8" s="13"/>
      <c r="G8" s="152"/>
      <c r="L8" t="s">
        <v>932</v>
      </c>
      <c r="M8" t="s">
        <v>192</v>
      </c>
    </row>
    <row r="9" spans="1:13" ht="15.75" thickBot="1" x14ac:dyDescent="0.3">
      <c r="A9" s="13"/>
      <c r="B9" s="387" t="s">
        <v>929</v>
      </c>
      <c r="C9" s="388"/>
      <c r="D9" s="388"/>
      <c r="E9" s="389"/>
      <c r="F9" s="13"/>
      <c r="L9" t="s">
        <v>933</v>
      </c>
    </row>
    <row r="10" spans="1:13" ht="15.75" thickBot="1" x14ac:dyDescent="0.3">
      <c r="A10" s="13"/>
      <c r="B10" s="153" t="s">
        <v>930</v>
      </c>
      <c r="C10" s="154" t="s">
        <v>931</v>
      </c>
      <c r="D10" s="154" t="s">
        <v>932</v>
      </c>
      <c r="E10" s="155" t="s">
        <v>933</v>
      </c>
      <c r="F10" s="13"/>
      <c r="G10" s="13"/>
    </row>
    <row r="11" spans="1:13" ht="55.5" customHeight="1" thickBot="1" x14ac:dyDescent="0.3">
      <c r="A11" s="13"/>
      <c r="B11" s="156" t="s">
        <v>934</v>
      </c>
      <c r="C11" s="157" t="s">
        <v>935</v>
      </c>
      <c r="D11" s="157" t="s">
        <v>936</v>
      </c>
      <c r="E11" s="158" t="s">
        <v>937</v>
      </c>
      <c r="F11" s="13"/>
      <c r="G11" s="13"/>
    </row>
    <row r="12" spans="1:13" x14ac:dyDescent="0.25">
      <c r="A12" s="13"/>
      <c r="B12" s="13"/>
      <c r="C12" s="13"/>
      <c r="D12" s="13"/>
      <c r="E12" s="13"/>
      <c r="G12" s="13"/>
    </row>
    <row r="13" spans="1:13" x14ac:dyDescent="0.25">
      <c r="A13" s="13"/>
      <c r="B13" s="13"/>
      <c r="C13" s="13"/>
      <c r="D13" s="13"/>
      <c r="E13" s="13"/>
      <c r="F13" s="13"/>
      <c r="G13" s="13"/>
    </row>
    <row r="14" spans="1:13" x14ac:dyDescent="0.25">
      <c r="A14" s="13" t="s">
        <v>938</v>
      </c>
      <c r="B14" s="159" t="s">
        <v>939</v>
      </c>
      <c r="C14" s="13"/>
      <c r="D14" s="13"/>
      <c r="E14" s="13"/>
      <c r="F14" s="13"/>
      <c r="G14" s="13"/>
    </row>
    <row r="15" spans="1:13" x14ac:dyDescent="0.25">
      <c r="A15" s="13"/>
      <c r="B15" s="160" t="s">
        <v>940</v>
      </c>
      <c r="C15" s="13"/>
      <c r="D15" s="13"/>
      <c r="E15" s="13"/>
      <c r="F15" s="13"/>
      <c r="G15" s="13"/>
    </row>
    <row r="16" spans="1:13" x14ac:dyDescent="0.25">
      <c r="A16" s="13"/>
      <c r="B16" s="160" t="s">
        <v>941</v>
      </c>
      <c r="C16" s="13"/>
      <c r="D16" s="13"/>
      <c r="E16" s="13"/>
      <c r="F16" s="13"/>
      <c r="G16" s="13"/>
    </row>
    <row r="17" spans="1:7" x14ac:dyDescent="0.25">
      <c r="A17" s="13"/>
      <c r="B17" s="160" t="s">
        <v>942</v>
      </c>
      <c r="C17" s="13"/>
      <c r="D17" s="13"/>
      <c r="E17" s="13"/>
      <c r="F17" s="13"/>
      <c r="G17" s="13"/>
    </row>
    <row r="18" spans="1:7" x14ac:dyDescent="0.25">
      <c r="A18" s="13"/>
      <c r="B18" s="161" t="s">
        <v>943</v>
      </c>
      <c r="C18" s="13"/>
      <c r="D18" s="13"/>
      <c r="E18" s="13"/>
      <c r="F18" s="13"/>
      <c r="G18" s="13"/>
    </row>
    <row r="19" spans="1:7" x14ac:dyDescent="0.25">
      <c r="A19" s="13"/>
      <c r="B19" s="161" t="s">
        <v>944</v>
      </c>
      <c r="C19" s="13"/>
      <c r="D19" s="13"/>
      <c r="E19" s="13"/>
      <c r="F19" s="13"/>
      <c r="G19" s="13"/>
    </row>
    <row r="20" spans="1:7" x14ac:dyDescent="0.25">
      <c r="A20" s="13"/>
      <c r="B20" s="161" t="s">
        <v>945</v>
      </c>
      <c r="C20" s="13"/>
      <c r="D20" s="13"/>
      <c r="E20" s="13"/>
      <c r="F20" s="13"/>
      <c r="G20" s="13"/>
    </row>
    <row r="21" spans="1:7" x14ac:dyDescent="0.25">
      <c r="A21" s="13"/>
      <c r="B21" s="160" t="s">
        <v>946</v>
      </c>
      <c r="C21" s="13"/>
      <c r="D21" s="13"/>
      <c r="E21" s="13"/>
      <c r="F21" s="13"/>
      <c r="G21" s="13"/>
    </row>
    <row r="22" spans="1:7" x14ac:dyDescent="0.25">
      <c r="A22" s="13"/>
      <c r="B22" s="160" t="s">
        <v>947</v>
      </c>
      <c r="C22" s="13"/>
      <c r="D22" s="13"/>
      <c r="E22" s="13"/>
      <c r="F22" s="13"/>
      <c r="G22" s="13"/>
    </row>
    <row r="23" spans="1:7" x14ac:dyDescent="0.25">
      <c r="A23" s="13"/>
      <c r="B23" s="160"/>
      <c r="C23" s="13"/>
      <c r="D23" s="13"/>
      <c r="E23" s="13"/>
      <c r="F23" s="13"/>
      <c r="G23" s="13"/>
    </row>
    <row r="24" spans="1:7" x14ac:dyDescent="0.25">
      <c r="A24" s="13"/>
      <c r="B24" s="162" t="s">
        <v>948</v>
      </c>
      <c r="C24" s="13"/>
      <c r="D24" s="13"/>
      <c r="E24" s="13"/>
      <c r="F24" s="13"/>
      <c r="G24" s="13"/>
    </row>
    <row r="25" spans="1:7" x14ac:dyDescent="0.25">
      <c r="A25" s="13"/>
      <c r="B25" s="13" t="s">
        <v>949</v>
      </c>
      <c r="C25" s="13"/>
      <c r="D25" s="13"/>
      <c r="E25" s="13"/>
      <c r="F25" s="13"/>
      <c r="G25" s="13"/>
    </row>
    <row r="26" spans="1:7" x14ac:dyDescent="0.25">
      <c r="A26" s="13"/>
      <c r="B26" s="13" t="s">
        <v>950</v>
      </c>
      <c r="C26" s="13"/>
      <c r="D26" s="13"/>
      <c r="E26" s="13"/>
      <c r="F26" s="13"/>
      <c r="G26" s="13"/>
    </row>
    <row r="27" spans="1:7" x14ac:dyDescent="0.25">
      <c r="A27" s="13"/>
      <c r="B27" s="13"/>
      <c r="C27" s="13"/>
      <c r="D27" s="13"/>
      <c r="E27" s="13"/>
      <c r="F27" s="13"/>
      <c r="G27" s="13"/>
    </row>
    <row r="28" spans="1:7" x14ac:dyDescent="0.25">
      <c r="A28" s="13" t="s">
        <v>951</v>
      </c>
      <c r="B28" s="163" t="s">
        <v>952</v>
      </c>
      <c r="C28" s="13"/>
      <c r="D28" s="13"/>
      <c r="E28" s="13"/>
      <c r="F28" s="13"/>
      <c r="G28" s="13"/>
    </row>
    <row r="29" spans="1:7" x14ac:dyDescent="0.25">
      <c r="A29" s="13"/>
      <c r="B29" s="162" t="s">
        <v>953</v>
      </c>
      <c r="C29" s="13"/>
      <c r="D29" s="13"/>
      <c r="E29" s="13"/>
      <c r="F29" s="13"/>
      <c r="G29" s="13"/>
    </row>
    <row r="30" spans="1:7" x14ac:dyDescent="0.25">
      <c r="A30" s="13"/>
      <c r="B30" s="162"/>
      <c r="C30" s="13"/>
      <c r="D30" s="13"/>
      <c r="E30" s="13"/>
      <c r="F30" s="13"/>
      <c r="G30" s="13"/>
    </row>
    <row r="31" spans="1:7" x14ac:dyDescent="0.25">
      <c r="A31" s="164"/>
      <c r="B31" s="162" t="s">
        <v>954</v>
      </c>
      <c r="C31" s="13"/>
      <c r="D31" s="13"/>
      <c r="E31" s="13"/>
      <c r="F31" s="13"/>
      <c r="G31" s="13"/>
    </row>
    <row r="32" spans="1:7" x14ac:dyDescent="0.25">
      <c r="A32" s="164" t="s">
        <v>955</v>
      </c>
      <c r="B32" s="165" t="s">
        <v>956</v>
      </c>
      <c r="C32" s="13"/>
      <c r="D32" s="13"/>
      <c r="E32" s="13"/>
      <c r="F32" s="13"/>
      <c r="G32" s="13"/>
    </row>
    <row r="33" spans="1:7" x14ac:dyDescent="0.25">
      <c r="A33" s="164"/>
      <c r="B33" s="166" t="s">
        <v>957</v>
      </c>
      <c r="C33" s="13"/>
      <c r="D33" s="13"/>
      <c r="E33" s="13"/>
      <c r="F33" s="13"/>
      <c r="G33" s="13"/>
    </row>
    <row r="34" spans="1:7" x14ac:dyDescent="0.25">
      <c r="A34" s="164">
        <v>2</v>
      </c>
      <c r="B34" s="165" t="s">
        <v>958</v>
      </c>
      <c r="C34" s="13"/>
      <c r="D34" s="13"/>
      <c r="E34" s="13"/>
      <c r="F34" s="13"/>
      <c r="G34" s="13"/>
    </row>
    <row r="35" spans="1:7" x14ac:dyDescent="0.25">
      <c r="A35" s="13"/>
      <c r="B35" s="167" t="s">
        <v>959</v>
      </c>
      <c r="C35" s="13"/>
      <c r="D35" s="13"/>
      <c r="E35" s="13"/>
      <c r="F35" s="13"/>
      <c r="G35" s="13"/>
    </row>
  </sheetData>
  <sheetProtection algorithmName="SHA-512" hashValue="PvcAA+/s3DewplqsTKA1nGwY+ApeS7Zaxk+7aIvBLq/1Ny1SrBhU9TZedKdvslNyvP17PRc05DKmliYcyckBCw==" saltValue="ebRTVsGY55sclrlBOFTcFQ==" spinCount="100000" sheet="1" objects="1" scenarios="1"/>
  <mergeCells count="3">
    <mergeCell ref="B1:G2"/>
    <mergeCell ref="A4:G4"/>
    <mergeCell ref="B9:E9"/>
  </mergeCells>
  <dataValidations count="3">
    <dataValidation type="list" allowBlank="1" showInputMessage="1" showErrorMessage="1" sqref="A7" xr:uid="{00000000-0002-0000-0200-000000000000}">
      <formula1>"Yes,No"</formula1>
    </dataValidation>
    <dataValidation type="list" allowBlank="1" showInputMessage="1" showErrorMessage="1" sqref="C7" xr:uid="{00000000-0002-0000-0200-000001000000}">
      <formula1>$L$7:$L$9</formula1>
    </dataValidation>
    <dataValidation type="list" allowBlank="1" showInputMessage="1" showErrorMessage="1" sqref="B7" xr:uid="{00000000-0002-0000-0200-000002000000}">
      <formula1>$M$7:$M$8</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M13"/>
  <sheetViews>
    <sheetView workbookViewId="0">
      <selection activeCell="C8" sqref="C8"/>
    </sheetView>
  </sheetViews>
  <sheetFormatPr defaultColWidth="0" defaultRowHeight="15" zeroHeight="1" x14ac:dyDescent="0.25"/>
  <cols>
    <col min="1" max="1" width="16.5703125" style="13" customWidth="1"/>
    <col min="2" max="2" width="36.140625" style="13" customWidth="1"/>
    <col min="3" max="3" width="23" style="13" customWidth="1"/>
    <col min="4" max="5" width="16.5703125" style="13" customWidth="1"/>
    <col min="6" max="6" width="56.7109375" style="13" customWidth="1"/>
    <col min="7" max="7" width="1" style="13" customWidth="1"/>
    <col min="8" max="16384" width="9.140625" style="13" hidden="1"/>
  </cols>
  <sheetData>
    <row r="1" spans="1:13" ht="36" x14ac:dyDescent="0.25">
      <c r="A1" s="91" t="s">
        <v>871</v>
      </c>
      <c r="B1" s="91" t="s">
        <v>872</v>
      </c>
      <c r="C1" s="91" t="s">
        <v>873</v>
      </c>
      <c r="D1" s="91" t="s">
        <v>874</v>
      </c>
      <c r="E1" s="91" t="s">
        <v>875</v>
      </c>
      <c r="F1" s="91" t="s">
        <v>876</v>
      </c>
    </row>
    <row r="2" spans="1:13" x14ac:dyDescent="0.25">
      <c r="A2" s="103"/>
      <c r="B2" s="103"/>
      <c r="C2" s="103"/>
      <c r="D2" s="103"/>
      <c r="E2" s="103"/>
      <c r="F2" s="103"/>
    </row>
    <row r="3" spans="1:13" x14ac:dyDescent="0.25">
      <c r="D3" s="99"/>
    </row>
    <row r="4" spans="1:13" x14ac:dyDescent="0.25"/>
    <row r="5" spans="1:13" x14ac:dyDescent="0.25">
      <c r="A5" s="390" t="s">
        <v>909</v>
      </c>
      <c r="B5" s="390"/>
      <c r="C5" s="390"/>
      <c r="M5" s="13" t="s">
        <v>878</v>
      </c>
    </row>
    <row r="6" spans="1:13" ht="24" x14ac:dyDescent="0.25">
      <c r="A6" s="100" t="s">
        <v>897</v>
      </c>
      <c r="B6" s="100" t="s">
        <v>907</v>
      </c>
      <c r="C6" s="100" t="s">
        <v>908</v>
      </c>
      <c r="D6" s="73"/>
      <c r="M6" s="13" t="s">
        <v>879</v>
      </c>
    </row>
    <row r="7" spans="1:13" x14ac:dyDescent="0.25">
      <c r="A7" s="101" t="s">
        <v>898</v>
      </c>
      <c r="B7" s="102" t="s">
        <v>899</v>
      </c>
      <c r="C7" s="102" t="s">
        <v>900</v>
      </c>
      <c r="M7" s="13" t="s">
        <v>880</v>
      </c>
    </row>
    <row r="8" spans="1:13" x14ac:dyDescent="0.25">
      <c r="A8" s="101" t="s">
        <v>901</v>
      </c>
      <c r="B8" s="101" t="s">
        <v>902</v>
      </c>
      <c r="C8" s="101" t="s">
        <v>903</v>
      </c>
      <c r="M8" s="13" t="s">
        <v>881</v>
      </c>
    </row>
    <row r="9" spans="1:13" x14ac:dyDescent="0.25">
      <c r="A9" s="101" t="s">
        <v>904</v>
      </c>
      <c r="B9" s="101" t="s">
        <v>905</v>
      </c>
      <c r="C9" s="101" t="s">
        <v>906</v>
      </c>
      <c r="M9" s="13" t="s">
        <v>882</v>
      </c>
    </row>
    <row r="10" spans="1:13" ht="6.75" customHeight="1" x14ac:dyDescent="0.25">
      <c r="M10" s="13" t="s">
        <v>883</v>
      </c>
    </row>
    <row r="11" spans="1:13" hidden="1" x14ac:dyDescent="0.25">
      <c r="M11" s="13" t="s">
        <v>884</v>
      </c>
    </row>
    <row r="12" spans="1:13" hidden="1" x14ac:dyDescent="0.25">
      <c r="M12" s="13" t="s">
        <v>885</v>
      </c>
    </row>
    <row r="13" spans="1:13" hidden="1" x14ac:dyDescent="0.25">
      <c r="M13" s="13" t="s">
        <v>877</v>
      </c>
    </row>
  </sheetData>
  <mergeCells count="1">
    <mergeCell ref="A5:C5"/>
  </mergeCells>
  <dataValidations count="2">
    <dataValidation type="list" allowBlank="1" showInputMessage="1" showErrorMessage="1" sqref="A2" xr:uid="{00000000-0002-0000-0300-000000000000}">
      <formula1>"Yes,No"</formula1>
    </dataValidation>
    <dataValidation type="list" allowBlank="1" showInputMessage="1" showErrorMessage="1" sqref="B2" xr:uid="{00000000-0002-0000-0300-000001000000}">
      <formula1>$M$5:$M$13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4DB0-4688-4863-86C1-3FBE4AF3D8C0}">
  <sheetPr codeName="Sheet14">
    <tabColor theme="3" tint="-0.499984740745262"/>
  </sheetPr>
  <dimension ref="B1:J38"/>
  <sheetViews>
    <sheetView showRowColHeaders="0" workbookViewId="0"/>
  </sheetViews>
  <sheetFormatPr defaultRowHeight="15" x14ac:dyDescent="0.25"/>
  <cols>
    <col min="1" max="1" width="2.7109375" style="319" customWidth="1"/>
    <col min="2" max="2" width="3.85546875" style="319" customWidth="1"/>
    <col min="3" max="3" width="19.42578125" style="319" customWidth="1"/>
    <col min="4" max="4" width="23.7109375" style="319" customWidth="1"/>
    <col min="5" max="5" width="40.7109375" style="319" customWidth="1"/>
    <col min="6" max="8" width="12.7109375" style="319" customWidth="1"/>
    <col min="9" max="9" width="13.7109375" style="319" customWidth="1"/>
    <col min="10" max="10" width="62.7109375" style="319" customWidth="1"/>
    <col min="11" max="16384" width="9.140625" style="319"/>
  </cols>
  <sheetData>
    <row r="1" spans="2:7" ht="15.75" thickBot="1" x14ac:dyDescent="0.3"/>
    <row r="2" spans="2:7" ht="20.25" customHeight="1" thickBot="1" x14ac:dyDescent="0.3">
      <c r="B2" s="432" t="s">
        <v>1082</v>
      </c>
      <c r="C2" s="433"/>
      <c r="D2" s="433"/>
      <c r="E2" s="433"/>
      <c r="F2" s="433"/>
      <c r="G2" s="434"/>
    </row>
    <row r="3" spans="2:7" x14ac:dyDescent="0.25">
      <c r="B3" s="435" t="s">
        <v>1083</v>
      </c>
      <c r="C3" s="436"/>
      <c r="D3" s="437"/>
      <c r="E3" s="438"/>
      <c r="F3" s="438"/>
      <c r="G3" s="439"/>
    </row>
    <row r="4" spans="2:7" x14ac:dyDescent="0.25">
      <c r="B4" s="407" t="s">
        <v>1084</v>
      </c>
      <c r="C4" s="408"/>
      <c r="D4" s="409"/>
      <c r="E4" s="410"/>
      <c r="F4" s="410"/>
      <c r="G4" s="411"/>
    </row>
    <row r="5" spans="2:7" x14ac:dyDescent="0.25">
      <c r="B5" s="407" t="s">
        <v>1085</v>
      </c>
      <c r="C5" s="408"/>
      <c r="D5" s="409"/>
      <c r="E5" s="410"/>
      <c r="F5" s="410"/>
      <c r="G5" s="411"/>
    </row>
    <row r="6" spans="2:7" x14ac:dyDescent="0.25">
      <c r="B6" s="407" t="s">
        <v>1086</v>
      </c>
      <c r="C6" s="408"/>
      <c r="D6" s="409"/>
      <c r="E6" s="429"/>
      <c r="F6" s="430"/>
      <c r="G6" s="431"/>
    </row>
    <row r="7" spans="2:7" x14ac:dyDescent="0.25">
      <c r="B7" s="407" t="s">
        <v>1087</v>
      </c>
      <c r="C7" s="408"/>
      <c r="D7" s="409"/>
      <c r="E7" s="410"/>
      <c r="F7" s="410"/>
      <c r="G7" s="411"/>
    </row>
    <row r="8" spans="2:7" x14ac:dyDescent="0.25">
      <c r="B8" s="407" t="s">
        <v>1088</v>
      </c>
      <c r="C8" s="408"/>
      <c r="D8" s="409"/>
      <c r="E8" s="410"/>
      <c r="F8" s="410"/>
      <c r="G8" s="411"/>
    </row>
    <row r="9" spans="2:7" x14ac:dyDescent="0.25">
      <c r="B9" s="407" t="s">
        <v>1089</v>
      </c>
      <c r="C9" s="408"/>
      <c r="D9" s="409"/>
      <c r="E9" s="410"/>
      <c r="F9" s="410"/>
      <c r="G9" s="411"/>
    </row>
    <row r="10" spans="2:7" x14ac:dyDescent="0.25">
      <c r="B10" s="407" t="s">
        <v>1090</v>
      </c>
      <c r="C10" s="408"/>
      <c r="D10" s="409"/>
      <c r="E10" s="427"/>
      <c r="F10" s="427"/>
      <c r="G10" s="428"/>
    </row>
    <row r="11" spans="2:7" x14ac:dyDescent="0.25">
      <c r="B11" s="407" t="s">
        <v>1091</v>
      </c>
      <c r="C11" s="408"/>
      <c r="D11" s="409"/>
      <c r="E11" s="427"/>
      <c r="F11" s="427"/>
      <c r="G11" s="428"/>
    </row>
    <row r="12" spans="2:7" x14ac:dyDescent="0.25">
      <c r="B12" s="407" t="s">
        <v>1092</v>
      </c>
      <c r="C12" s="408"/>
      <c r="D12" s="409"/>
      <c r="E12" s="410"/>
      <c r="F12" s="410"/>
      <c r="G12" s="411"/>
    </row>
    <row r="13" spans="2:7" x14ac:dyDescent="0.25">
      <c r="B13" s="407" t="s">
        <v>767</v>
      </c>
      <c r="C13" s="408"/>
      <c r="D13" s="409"/>
      <c r="E13" s="320"/>
      <c r="F13" s="321" t="s">
        <v>1093</v>
      </c>
      <c r="G13" s="322" t="str">
        <f ca="1">IF(E13&lt;&gt;"",DATEDIF(E13,TODAY(),"Y")&amp;" Years","")</f>
        <v/>
      </c>
    </row>
    <row r="14" spans="2:7" ht="30" customHeight="1" x14ac:dyDescent="0.25">
      <c r="B14" s="407" t="s">
        <v>1094</v>
      </c>
      <c r="C14" s="408"/>
      <c r="D14" s="409"/>
      <c r="E14" s="425"/>
      <c r="F14" s="425"/>
      <c r="G14" s="426"/>
    </row>
    <row r="15" spans="2:7" ht="39" customHeight="1" x14ac:dyDescent="0.25">
      <c r="B15" s="422" t="s">
        <v>1095</v>
      </c>
      <c r="C15" s="423"/>
      <c r="D15" s="424"/>
      <c r="E15" s="425"/>
      <c r="F15" s="425"/>
      <c r="G15" s="426"/>
    </row>
    <row r="16" spans="2:7" x14ac:dyDescent="0.25">
      <c r="B16" s="407" t="s">
        <v>1096</v>
      </c>
      <c r="C16" s="408"/>
      <c r="D16" s="409"/>
      <c r="E16" s="410"/>
      <c r="F16" s="410"/>
      <c r="G16" s="411"/>
    </row>
    <row r="17" spans="2:10" x14ac:dyDescent="0.25">
      <c r="B17" s="407" t="s">
        <v>1097</v>
      </c>
      <c r="C17" s="408"/>
      <c r="D17" s="409"/>
      <c r="E17" s="410"/>
      <c r="F17" s="410"/>
      <c r="G17" s="411"/>
    </row>
    <row r="18" spans="2:10" x14ac:dyDescent="0.25">
      <c r="B18" s="407" t="s">
        <v>1098</v>
      </c>
      <c r="C18" s="408"/>
      <c r="D18" s="409"/>
      <c r="E18" s="410"/>
      <c r="F18" s="410"/>
      <c r="G18" s="411"/>
    </row>
    <row r="19" spans="2:10" x14ac:dyDescent="0.25">
      <c r="B19" s="407" t="s">
        <v>1099</v>
      </c>
      <c r="C19" s="408"/>
      <c r="D19" s="409"/>
      <c r="E19" s="410"/>
      <c r="F19" s="410"/>
      <c r="G19" s="411"/>
    </row>
    <row r="20" spans="2:10" x14ac:dyDescent="0.25">
      <c r="B20" s="407" t="s">
        <v>1100</v>
      </c>
      <c r="C20" s="408"/>
      <c r="D20" s="409"/>
      <c r="E20" s="412"/>
      <c r="F20" s="412"/>
      <c r="G20" s="413"/>
    </row>
    <row r="21" spans="2:10" x14ac:dyDescent="0.25">
      <c r="B21" s="407" t="s">
        <v>1101</v>
      </c>
      <c r="C21" s="408"/>
      <c r="D21" s="409"/>
      <c r="E21" s="412"/>
      <c r="F21" s="412"/>
      <c r="G21" s="413"/>
    </row>
    <row r="22" spans="2:10" x14ac:dyDescent="0.25">
      <c r="B22" s="407" t="s">
        <v>1102</v>
      </c>
      <c r="C22" s="408"/>
      <c r="D22" s="409"/>
      <c r="E22" s="414"/>
      <c r="F22" s="414"/>
      <c r="G22" s="415"/>
    </row>
    <row r="23" spans="2:10" ht="15.75" thickBot="1" x14ac:dyDescent="0.3">
      <c r="B23" s="416" t="s">
        <v>1103</v>
      </c>
      <c r="C23" s="417"/>
      <c r="D23" s="418"/>
      <c r="E23" s="419"/>
      <c r="F23" s="420"/>
      <c r="G23" s="421"/>
    </row>
    <row r="24" spans="2:10" ht="15.75" thickBot="1" x14ac:dyDescent="0.3"/>
    <row r="25" spans="2:10" ht="20.25" customHeight="1" thickBot="1" x14ac:dyDescent="0.3">
      <c r="B25" s="397" t="s">
        <v>525</v>
      </c>
      <c r="C25" s="398"/>
      <c r="D25" s="398"/>
      <c r="E25" s="399"/>
    </row>
    <row r="26" spans="2:10" x14ac:dyDescent="0.25">
      <c r="B26" s="393" t="s">
        <v>1104</v>
      </c>
      <c r="C26" s="394"/>
      <c r="D26" s="323">
        <f>COUNTIF(H32:H33,"-")</f>
        <v>0</v>
      </c>
      <c r="E26" s="324">
        <f>SUMIF(H32:H33,"-",I32:I33)</f>
        <v>0</v>
      </c>
    </row>
    <row r="27" spans="2:10" x14ac:dyDescent="0.25">
      <c r="B27" s="393" t="s">
        <v>1105</v>
      </c>
      <c r="C27" s="394"/>
      <c r="D27" s="323">
        <f>COUNTIFS(H32:H33,"&lt;&gt;-",H32:H33,"&lt;&gt;")</f>
        <v>0</v>
      </c>
      <c r="E27" s="324">
        <f>SUMIF(H32:H33,"&lt;&gt;-",I32:I33)</f>
        <v>0</v>
      </c>
    </row>
    <row r="28" spans="2:10" ht="15.75" thickBot="1" x14ac:dyDescent="0.3">
      <c r="B28" s="395" t="s">
        <v>248</v>
      </c>
      <c r="C28" s="396"/>
      <c r="D28" s="325">
        <f>SUM(D26:D27)</f>
        <v>0</v>
      </c>
      <c r="E28" s="326">
        <f>+SUM(E26:E27)</f>
        <v>0</v>
      </c>
    </row>
    <row r="29" spans="2:10" ht="15.75" thickBot="1" x14ac:dyDescent="0.3"/>
    <row r="30" spans="2:10" ht="20.25" customHeight="1" thickBot="1" x14ac:dyDescent="0.3">
      <c r="B30" s="397" t="s">
        <v>1106</v>
      </c>
      <c r="C30" s="398"/>
      <c r="D30" s="398"/>
      <c r="E30" s="398"/>
      <c r="F30" s="398"/>
      <c r="G30" s="398"/>
      <c r="H30" s="398"/>
      <c r="I30" s="398"/>
      <c r="J30" s="399"/>
    </row>
    <row r="31" spans="2:10" ht="30" x14ac:dyDescent="0.25">
      <c r="B31" s="327" t="s">
        <v>1056</v>
      </c>
      <c r="C31" s="328" t="s">
        <v>1107</v>
      </c>
      <c r="D31" s="328" t="s">
        <v>1108</v>
      </c>
      <c r="E31" s="328" t="s">
        <v>1109</v>
      </c>
      <c r="F31" s="328" t="s">
        <v>1110</v>
      </c>
      <c r="G31" s="328" t="s">
        <v>1111</v>
      </c>
      <c r="H31" s="328" t="s">
        <v>1112</v>
      </c>
      <c r="I31" s="328" t="s">
        <v>1113</v>
      </c>
      <c r="J31" s="329" t="s">
        <v>978</v>
      </c>
    </row>
    <row r="32" spans="2:10" x14ac:dyDescent="0.25">
      <c r="B32" s="330"/>
      <c r="C32" s="331"/>
      <c r="D32" s="331"/>
      <c r="E32" s="331"/>
      <c r="F32" s="332"/>
      <c r="G32" s="332"/>
      <c r="H32" s="332"/>
      <c r="I32" s="333"/>
      <c r="J32" s="334"/>
    </row>
    <row r="33" spans="2:10" ht="15.75" thickBot="1" x14ac:dyDescent="0.3">
      <c r="B33" s="335"/>
      <c r="C33" s="336"/>
      <c r="D33" s="336"/>
      <c r="E33" s="336"/>
      <c r="F33" s="337"/>
      <c r="G33" s="337"/>
      <c r="H33" s="337"/>
      <c r="I33" s="338"/>
      <c r="J33" s="339"/>
    </row>
    <row r="34" spans="2:10" ht="15.75" thickBot="1" x14ac:dyDescent="0.3">
      <c r="J34" s="340"/>
    </row>
    <row r="35" spans="2:10" ht="20.25" customHeight="1" thickBot="1" x14ac:dyDescent="0.3">
      <c r="B35" s="400" t="s">
        <v>1114</v>
      </c>
      <c r="C35" s="401"/>
      <c r="D35" s="401"/>
      <c r="E35" s="401"/>
      <c r="F35" s="401"/>
      <c r="G35" s="401"/>
      <c r="H35" s="401"/>
      <c r="I35" s="401"/>
      <c r="J35" s="402"/>
    </row>
    <row r="36" spans="2:10" s="343" customFormat="1" ht="30" x14ac:dyDescent="0.25">
      <c r="B36" s="341" t="s">
        <v>1056</v>
      </c>
      <c r="C36" s="342" t="s">
        <v>1115</v>
      </c>
      <c r="D36" s="342" t="s">
        <v>973</v>
      </c>
      <c r="E36" s="342" t="s">
        <v>1116</v>
      </c>
      <c r="F36" s="342" t="s">
        <v>1117</v>
      </c>
      <c r="G36" s="342" t="s">
        <v>1118</v>
      </c>
      <c r="H36" s="342" t="s">
        <v>1119</v>
      </c>
      <c r="I36" s="403" t="s">
        <v>1120</v>
      </c>
      <c r="J36" s="404"/>
    </row>
    <row r="37" spans="2:10" x14ac:dyDescent="0.25">
      <c r="B37" s="344">
        <v>1</v>
      </c>
      <c r="C37" s="345"/>
      <c r="D37" s="331"/>
      <c r="E37" s="331"/>
      <c r="F37" s="332"/>
      <c r="G37" s="331"/>
      <c r="H37" s="332"/>
      <c r="I37" s="405"/>
      <c r="J37" s="406"/>
    </row>
    <row r="38" spans="2:10" ht="15.75" thickBot="1" x14ac:dyDescent="0.3">
      <c r="B38" s="346"/>
      <c r="C38" s="347"/>
      <c r="D38" s="336"/>
      <c r="E38" s="336"/>
      <c r="F38" s="337"/>
      <c r="G38" s="336"/>
      <c r="H38" s="337"/>
      <c r="I38" s="391"/>
      <c r="J38" s="392"/>
    </row>
  </sheetData>
  <mergeCells count="51">
    <mergeCell ref="B5:D5"/>
    <mergeCell ref="E5:G5"/>
    <mergeCell ref="B2:G2"/>
    <mergeCell ref="B3:D3"/>
    <mergeCell ref="E3:G3"/>
    <mergeCell ref="B4:D4"/>
    <mergeCell ref="E4:G4"/>
    <mergeCell ref="B6:D6"/>
    <mergeCell ref="E6:G6"/>
    <mergeCell ref="B7:D7"/>
    <mergeCell ref="E7:G7"/>
    <mergeCell ref="B8:D8"/>
    <mergeCell ref="E8:G8"/>
    <mergeCell ref="B15:D15"/>
    <mergeCell ref="E15:G15"/>
    <mergeCell ref="B9:D9"/>
    <mergeCell ref="E9:G9"/>
    <mergeCell ref="B10:D10"/>
    <mergeCell ref="E10:G10"/>
    <mergeCell ref="B11:D11"/>
    <mergeCell ref="E11:G11"/>
    <mergeCell ref="B12:D12"/>
    <mergeCell ref="E12:G12"/>
    <mergeCell ref="B13:D13"/>
    <mergeCell ref="B14:D14"/>
    <mergeCell ref="E14:G14"/>
    <mergeCell ref="B16:D16"/>
    <mergeCell ref="E16:G16"/>
    <mergeCell ref="B17:D17"/>
    <mergeCell ref="E17:G17"/>
    <mergeCell ref="B18:D18"/>
    <mergeCell ref="E18:G18"/>
    <mergeCell ref="B26:C26"/>
    <mergeCell ref="B19:D19"/>
    <mergeCell ref="E19:G19"/>
    <mergeCell ref="B20:D20"/>
    <mergeCell ref="E20:G20"/>
    <mergeCell ref="B21:D21"/>
    <mergeCell ref="E21:G21"/>
    <mergeCell ref="B22:D22"/>
    <mergeCell ref="E22:G22"/>
    <mergeCell ref="B23:D23"/>
    <mergeCell ref="E23:G23"/>
    <mergeCell ref="B25:E25"/>
    <mergeCell ref="I38:J38"/>
    <mergeCell ref="B27:C27"/>
    <mergeCell ref="B28:C28"/>
    <mergeCell ref="B30:J30"/>
    <mergeCell ref="B35:J35"/>
    <mergeCell ref="I36:J36"/>
    <mergeCell ref="I37:J37"/>
  </mergeCells>
  <pageMargins left="0.7" right="0.7" top="0.75" bottom="0.75" header="0.3" footer="0.3"/>
  <pageSetup paperSize="9" orientation="portrait" horizontalDpi="4294967292"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3">
    <tabColor rgb="FFFFC000"/>
  </sheetPr>
  <dimension ref="A1:V97"/>
  <sheetViews>
    <sheetView zoomScale="80" zoomScaleNormal="80" workbookViewId="0">
      <selection activeCell="N83" sqref="N83:P83"/>
    </sheetView>
  </sheetViews>
  <sheetFormatPr defaultColWidth="0" defaultRowHeight="15" zeroHeight="1" x14ac:dyDescent="0.25"/>
  <cols>
    <col min="1" max="1" width="9.140625" style="13" customWidth="1"/>
    <col min="2" max="12" width="17.28515625" style="13" customWidth="1"/>
    <col min="13" max="16" width="9.140625" style="13" customWidth="1"/>
    <col min="17" max="17" width="20.5703125" style="233" customWidth="1"/>
    <col min="18" max="18" width="2.85546875" style="13" customWidth="1"/>
    <col min="19" max="16384" width="9.140625" style="13" hidden="1"/>
  </cols>
  <sheetData>
    <row r="1" spans="1:22" ht="20.25" x14ac:dyDescent="0.3">
      <c r="A1" s="481" t="s">
        <v>490</v>
      </c>
      <c r="B1" s="481"/>
      <c r="C1" s="481"/>
      <c r="D1" s="481"/>
      <c r="E1" s="481"/>
      <c r="F1" s="481"/>
      <c r="G1" s="481"/>
      <c r="H1" s="481"/>
      <c r="I1" s="481"/>
      <c r="J1" s="481"/>
      <c r="K1" s="481"/>
      <c r="L1" s="481"/>
      <c r="M1" s="481"/>
      <c r="N1" s="481"/>
      <c r="O1" s="481"/>
      <c r="P1" s="481"/>
      <c r="Q1" s="216"/>
    </row>
    <row r="2" spans="1:22" x14ac:dyDescent="0.25">
      <c r="A2" s="485" t="s">
        <v>0</v>
      </c>
      <c r="B2" s="485"/>
      <c r="C2" s="485"/>
      <c r="D2" s="379">
        <f>'Loan Details'!B3</f>
        <v>0</v>
      </c>
      <c r="E2" s="379"/>
      <c r="F2" s="379"/>
      <c r="G2" s="379"/>
      <c r="H2" s="379"/>
      <c r="I2" s="379"/>
      <c r="J2" s="379"/>
      <c r="K2" s="379"/>
      <c r="L2" s="379"/>
      <c r="M2" s="379"/>
      <c r="N2" s="379"/>
      <c r="O2" s="379"/>
      <c r="P2" s="379"/>
      <c r="Q2" s="217"/>
    </row>
    <row r="3" spans="1:22" x14ac:dyDescent="0.25">
      <c r="A3" s="485" t="s">
        <v>2</v>
      </c>
      <c r="B3" s="485"/>
      <c r="C3" s="485"/>
      <c r="D3" s="380">
        <f>'Loan Details'!B4</f>
        <v>0.19</v>
      </c>
      <c r="E3" s="380"/>
      <c r="F3" s="380"/>
      <c r="G3" s="380"/>
      <c r="H3" s="380"/>
      <c r="I3" s="380"/>
      <c r="J3" s="380"/>
      <c r="K3" s="380"/>
      <c r="L3" s="380"/>
      <c r="M3" s="380"/>
      <c r="N3" s="380"/>
      <c r="O3" s="380"/>
      <c r="P3" s="380"/>
      <c r="Q3" s="218"/>
    </row>
    <row r="4" spans="1:22" x14ac:dyDescent="0.25">
      <c r="A4" s="485" t="s">
        <v>3</v>
      </c>
      <c r="B4" s="485"/>
      <c r="C4" s="485"/>
      <c r="D4" s="381">
        <f>'Loan Details'!B5</f>
        <v>36</v>
      </c>
      <c r="E4" s="381"/>
      <c r="F4" s="381"/>
      <c r="G4" s="381"/>
      <c r="H4" s="381"/>
      <c r="I4" s="381"/>
      <c r="J4" s="381"/>
      <c r="K4" s="381"/>
      <c r="L4" s="381"/>
      <c r="M4" s="381"/>
      <c r="N4" s="381"/>
      <c r="O4" s="381"/>
      <c r="P4" s="381"/>
      <c r="Q4" s="219"/>
    </row>
    <row r="5" spans="1:22" x14ac:dyDescent="0.25">
      <c r="A5" s="485" t="s">
        <v>485</v>
      </c>
      <c r="B5" s="485"/>
      <c r="C5" s="485"/>
      <c r="D5" s="482">
        <f>IFERROR(PMT(D3/12,D4,-D2),"-")</f>
        <v>0</v>
      </c>
      <c r="E5" s="482"/>
      <c r="F5" s="482"/>
      <c r="G5" s="482"/>
      <c r="H5" s="482"/>
      <c r="I5" s="482"/>
      <c r="J5" s="482"/>
      <c r="K5" s="482"/>
      <c r="L5" s="482"/>
      <c r="M5" s="482"/>
      <c r="N5" s="482"/>
      <c r="O5" s="482"/>
      <c r="P5" s="482"/>
      <c r="Q5" s="220"/>
    </row>
    <row r="6" spans="1:22" x14ac:dyDescent="0.25">
      <c r="A6" s="485" t="s">
        <v>519</v>
      </c>
      <c r="B6" s="485"/>
      <c r="C6" s="485"/>
      <c r="D6" s="483">
        <f>SUM(J32,J48,J64,J80,J96)</f>
        <v>0</v>
      </c>
      <c r="E6" s="483"/>
      <c r="F6" s="483"/>
      <c r="G6" s="483"/>
      <c r="H6" s="483"/>
      <c r="I6" s="483"/>
      <c r="J6" s="483"/>
      <c r="K6" s="483"/>
      <c r="L6" s="483"/>
      <c r="M6" s="483"/>
      <c r="N6" s="483"/>
      <c r="O6" s="483"/>
      <c r="P6" s="483"/>
      <c r="Q6" s="221"/>
    </row>
    <row r="7" spans="1:22" x14ac:dyDescent="0.25">
      <c r="A7" s="485" t="s">
        <v>520</v>
      </c>
      <c r="B7" s="485"/>
      <c r="C7" s="485"/>
      <c r="D7" s="484" t="str">
        <f>IFERROR(D6/D5,"-")</f>
        <v>-</v>
      </c>
      <c r="E7" s="484"/>
      <c r="F7" s="484"/>
      <c r="G7" s="484"/>
      <c r="H7" s="484"/>
      <c r="I7" s="484"/>
      <c r="J7" s="484"/>
      <c r="K7" s="484"/>
      <c r="L7" s="484"/>
      <c r="M7" s="484"/>
      <c r="N7" s="484"/>
      <c r="O7" s="484"/>
      <c r="P7" s="484"/>
      <c r="Q7" s="222"/>
      <c r="U7" s="13" t="s">
        <v>537</v>
      </c>
      <c r="V7" s="13" t="s">
        <v>569</v>
      </c>
    </row>
    <row r="8" spans="1:22" ht="15" customHeight="1" x14ac:dyDescent="0.25">
      <c r="A8" s="485" t="s">
        <v>486</v>
      </c>
      <c r="B8" s="485"/>
      <c r="C8" s="485"/>
      <c r="D8" s="482">
        <f>SUM(H33+H49+H65+H81+H97)</f>
        <v>0</v>
      </c>
      <c r="E8" s="482"/>
      <c r="F8" s="482"/>
      <c r="G8" s="482"/>
      <c r="H8" s="482"/>
      <c r="I8" s="482"/>
      <c r="J8" s="482"/>
      <c r="K8" s="482"/>
      <c r="L8" s="482"/>
      <c r="M8" s="482"/>
      <c r="N8" s="482"/>
      <c r="O8" s="482"/>
      <c r="P8" s="482"/>
      <c r="Q8" s="220"/>
      <c r="U8" s="13" t="s">
        <v>539</v>
      </c>
      <c r="V8" s="13" t="s">
        <v>570</v>
      </c>
    </row>
    <row r="9" spans="1:22" ht="15" customHeight="1" x14ac:dyDescent="0.25">
      <c r="A9" s="485" t="s">
        <v>521</v>
      </c>
      <c r="B9" s="485"/>
      <c r="C9" s="485"/>
      <c r="D9" s="482">
        <f>D8/2</f>
        <v>0</v>
      </c>
      <c r="E9" s="482"/>
      <c r="F9" s="482"/>
      <c r="G9" s="482"/>
      <c r="H9" s="482"/>
      <c r="I9" s="482"/>
      <c r="J9" s="482"/>
      <c r="K9" s="482"/>
      <c r="L9" s="482"/>
      <c r="M9" s="482"/>
      <c r="N9" s="482"/>
      <c r="O9" s="482"/>
      <c r="P9" s="482"/>
      <c r="Q9" s="220"/>
      <c r="U9" s="13" t="s">
        <v>515</v>
      </c>
      <c r="V9" s="13" t="s">
        <v>518</v>
      </c>
    </row>
    <row r="10" spans="1:22" ht="15" customHeight="1" x14ac:dyDescent="0.25">
      <c r="A10" s="485" t="s">
        <v>522</v>
      </c>
      <c r="B10" s="485"/>
      <c r="C10" s="485"/>
      <c r="D10" s="482">
        <f>PV(D3/12,D4,-D9)</f>
        <v>0</v>
      </c>
      <c r="E10" s="482"/>
      <c r="F10" s="482"/>
      <c r="G10" s="482"/>
      <c r="H10" s="482"/>
      <c r="I10" s="482"/>
      <c r="J10" s="482"/>
      <c r="K10" s="482"/>
      <c r="L10" s="482"/>
      <c r="M10" s="482"/>
      <c r="N10" s="482"/>
      <c r="O10" s="482"/>
      <c r="P10" s="482"/>
      <c r="Q10" s="220"/>
      <c r="U10" s="13" t="s">
        <v>516</v>
      </c>
      <c r="V10" s="13" t="s">
        <v>571</v>
      </c>
    </row>
    <row r="11" spans="1:22" ht="15" customHeight="1" x14ac:dyDescent="0.25">
      <c r="A11" s="485" t="s">
        <v>524</v>
      </c>
      <c r="B11" s="485"/>
      <c r="C11" s="485"/>
      <c r="D11" s="475">
        <f>MIN(D10,D2)</f>
        <v>0</v>
      </c>
      <c r="E11" s="476"/>
      <c r="F11" s="476"/>
      <c r="G11" s="476"/>
      <c r="H11" s="476"/>
      <c r="I11" s="476"/>
      <c r="J11" s="476"/>
      <c r="K11" s="476"/>
      <c r="L11" s="476"/>
      <c r="M11" s="476"/>
      <c r="N11" s="476"/>
      <c r="O11" s="476"/>
      <c r="P11" s="477"/>
      <c r="Q11" s="220"/>
      <c r="U11" s="13" t="s">
        <v>517</v>
      </c>
      <c r="V11" s="13" t="s">
        <v>572</v>
      </c>
    </row>
    <row r="12" spans="1:22" ht="15" customHeight="1" x14ac:dyDescent="0.25">
      <c r="A12" s="485" t="s">
        <v>12</v>
      </c>
      <c r="B12" s="485"/>
      <c r="C12" s="485"/>
      <c r="D12" s="475">
        <f>IFERROR(PMT(D3/12,D4,-D11),"-")</f>
        <v>0</v>
      </c>
      <c r="E12" s="476"/>
      <c r="F12" s="476"/>
      <c r="G12" s="476"/>
      <c r="H12" s="476"/>
      <c r="I12" s="476"/>
      <c r="J12" s="476"/>
      <c r="K12" s="476"/>
      <c r="L12" s="476"/>
      <c r="M12" s="476"/>
      <c r="N12" s="476"/>
      <c r="O12" s="476"/>
      <c r="P12" s="477"/>
      <c r="Q12" s="220"/>
      <c r="U12" s="13" t="s">
        <v>504</v>
      </c>
      <c r="V12" s="13" t="s">
        <v>573</v>
      </c>
    </row>
    <row r="13" spans="1:22" ht="15" customHeight="1" x14ac:dyDescent="0.25">
      <c r="A13" s="487" t="s">
        <v>914</v>
      </c>
      <c r="B13" s="487"/>
      <c r="C13" s="487"/>
      <c r="D13" s="478" t="str">
        <f>IFERROR(D8/D12,"-")</f>
        <v>-</v>
      </c>
      <c r="E13" s="479"/>
      <c r="F13" s="479"/>
      <c r="G13" s="479"/>
      <c r="H13" s="479"/>
      <c r="I13" s="479"/>
      <c r="J13" s="479"/>
      <c r="K13" s="479"/>
      <c r="L13" s="479"/>
      <c r="M13" s="479"/>
      <c r="N13" s="479"/>
      <c r="O13" s="479"/>
      <c r="P13" s="480"/>
      <c r="Q13" s="222" t="str">
        <f>IF(D13&lt;1,"ABB &lt;1. Not Doable"," ")</f>
        <v xml:space="preserve"> </v>
      </c>
      <c r="U13" s="13" t="s">
        <v>505</v>
      </c>
      <c r="V13" s="13" t="s">
        <v>574</v>
      </c>
    </row>
    <row r="14" spans="1:22" ht="15" customHeight="1" x14ac:dyDescent="0.25">
      <c r="A14" s="451" t="s">
        <v>556</v>
      </c>
      <c r="B14" s="452"/>
      <c r="C14" s="452"/>
      <c r="D14" s="452"/>
      <c r="E14" s="452"/>
      <c r="F14" s="453"/>
      <c r="G14" s="454" t="s">
        <v>558</v>
      </c>
      <c r="H14" s="454"/>
      <c r="I14" s="454"/>
      <c r="J14" s="454" t="s">
        <v>687</v>
      </c>
      <c r="K14" s="454"/>
      <c r="L14" s="454"/>
      <c r="M14" s="445" t="s">
        <v>559</v>
      </c>
      <c r="N14" s="446"/>
      <c r="O14" s="446"/>
      <c r="P14" s="447"/>
      <c r="Q14" s="223"/>
      <c r="U14" s="13" t="s">
        <v>506</v>
      </c>
      <c r="V14" s="13" t="s">
        <v>575</v>
      </c>
    </row>
    <row r="15" spans="1:22" ht="15" customHeight="1" x14ac:dyDescent="0.25">
      <c r="A15" s="440" t="s">
        <v>691</v>
      </c>
      <c r="B15" s="441"/>
      <c r="C15" s="441"/>
      <c r="D15" s="441"/>
      <c r="E15" s="441"/>
      <c r="F15" s="442"/>
      <c r="G15" s="455">
        <f>SUM(M31,M47,M63,M79,M95)</f>
        <v>0</v>
      </c>
      <c r="H15" s="456"/>
      <c r="I15" s="457"/>
      <c r="J15" s="444">
        <f>SUM(P31,P47,P63,P79,P95)</f>
        <v>0</v>
      </c>
      <c r="K15" s="443"/>
      <c r="L15" s="443"/>
      <c r="M15" s="448" t="str">
        <f>IFERROR(G15/J15,"-")</f>
        <v>-</v>
      </c>
      <c r="N15" s="449"/>
      <c r="O15" s="449"/>
      <c r="P15" s="450"/>
      <c r="Q15" s="224"/>
      <c r="U15" s="13" t="s">
        <v>546</v>
      </c>
      <c r="V15" s="13" t="s">
        <v>576</v>
      </c>
    </row>
    <row r="16" spans="1:22" ht="15" customHeight="1" x14ac:dyDescent="0.25">
      <c r="A16" s="440" t="s">
        <v>692</v>
      </c>
      <c r="B16" s="441"/>
      <c r="C16" s="441"/>
      <c r="D16" s="441"/>
      <c r="E16" s="441"/>
      <c r="F16" s="442"/>
      <c r="G16" s="444">
        <f>SUM(N31,N47,N63,N79,N95)</f>
        <v>0</v>
      </c>
      <c r="H16" s="443"/>
      <c r="I16" s="443"/>
      <c r="J16" s="444">
        <f>SUM(O31,O47,O63,O79,O95)</f>
        <v>0</v>
      </c>
      <c r="K16" s="443"/>
      <c r="L16" s="443"/>
      <c r="M16" s="448" t="str">
        <f>IFERROR(G16/J16,"-")</f>
        <v>-</v>
      </c>
      <c r="N16" s="449"/>
      <c r="O16" s="449"/>
      <c r="P16" s="450"/>
      <c r="Q16" s="224"/>
      <c r="U16" s="13" t="s">
        <v>548</v>
      </c>
      <c r="V16" s="13" t="s">
        <v>577</v>
      </c>
    </row>
    <row r="17" spans="1:22" ht="15" customHeight="1" x14ac:dyDescent="0.25">
      <c r="A17" s="440" t="s">
        <v>248</v>
      </c>
      <c r="B17" s="441"/>
      <c r="C17" s="441"/>
      <c r="D17" s="441"/>
      <c r="E17" s="441"/>
      <c r="F17" s="442"/>
      <c r="G17" s="443">
        <f>G16+G15</f>
        <v>0</v>
      </c>
      <c r="H17" s="443"/>
      <c r="I17" s="443"/>
      <c r="J17" s="444">
        <f>J16+J15</f>
        <v>0</v>
      </c>
      <c r="K17" s="443"/>
      <c r="L17" s="443"/>
      <c r="M17" s="448" t="str">
        <f>IFERROR(G17/J17,"-")</f>
        <v>-</v>
      </c>
      <c r="N17" s="449"/>
      <c r="O17" s="449"/>
      <c r="P17" s="450"/>
      <c r="Q17" s="224"/>
      <c r="U17" s="13" t="s">
        <v>550</v>
      </c>
      <c r="V17" s="13" t="s">
        <v>578</v>
      </c>
    </row>
    <row r="18" spans="1:22" ht="18.75" x14ac:dyDescent="0.25">
      <c r="A18" s="466" t="s">
        <v>491</v>
      </c>
      <c r="B18" s="466"/>
      <c r="C18" s="466"/>
      <c r="D18" s="466"/>
      <c r="E18" s="466"/>
      <c r="F18" s="466"/>
      <c r="G18" s="466"/>
      <c r="H18" s="466"/>
      <c r="I18" s="466"/>
      <c r="J18" s="466"/>
      <c r="K18" s="466"/>
      <c r="L18" s="466"/>
      <c r="M18" s="466"/>
      <c r="N18" s="466"/>
      <c r="O18" s="466"/>
      <c r="P18" s="466"/>
      <c r="Q18" s="225"/>
      <c r="U18" s="13" t="s">
        <v>552</v>
      </c>
      <c r="V18" s="13" t="s">
        <v>579</v>
      </c>
    </row>
    <row r="19" spans="1:22" ht="15.75" customHeight="1" x14ac:dyDescent="0.25">
      <c r="A19" s="467" t="s">
        <v>694</v>
      </c>
      <c r="B19" s="468"/>
      <c r="C19" s="469"/>
      <c r="D19" s="470"/>
      <c r="E19" s="472"/>
      <c r="F19" s="4" t="s">
        <v>693</v>
      </c>
      <c r="G19" s="473"/>
      <c r="H19" s="474"/>
      <c r="I19" s="47" t="s">
        <v>695</v>
      </c>
      <c r="J19" s="470"/>
      <c r="K19" s="471"/>
      <c r="L19" s="472"/>
      <c r="M19" s="46" t="s">
        <v>492</v>
      </c>
      <c r="N19" s="458"/>
      <c r="O19" s="459"/>
      <c r="P19" s="460"/>
      <c r="Q19" s="226"/>
    </row>
    <row r="20" spans="1:22" x14ac:dyDescent="0.25">
      <c r="A20" s="486" t="s">
        <v>494</v>
      </c>
      <c r="B20" s="486" t="s">
        <v>495</v>
      </c>
      <c r="C20" s="486"/>
      <c r="D20" s="486"/>
      <c r="E20" s="486"/>
      <c r="F20" s="486"/>
      <c r="G20" s="486"/>
      <c r="H20" s="461" t="s">
        <v>496</v>
      </c>
      <c r="I20" s="461" t="s">
        <v>685</v>
      </c>
      <c r="J20" s="461" t="s">
        <v>497</v>
      </c>
      <c r="K20" s="461" t="s">
        <v>498</v>
      </c>
      <c r="L20" s="461" t="s">
        <v>499</v>
      </c>
      <c r="M20" s="461" t="s">
        <v>500</v>
      </c>
      <c r="N20" s="461" t="s">
        <v>501</v>
      </c>
      <c r="O20" s="461" t="s">
        <v>502</v>
      </c>
      <c r="P20" s="465" t="s">
        <v>503</v>
      </c>
      <c r="Q20" s="227"/>
    </row>
    <row r="21" spans="1:22" x14ac:dyDescent="0.25">
      <c r="A21" s="486"/>
      <c r="B21" s="12">
        <v>5</v>
      </c>
      <c r="C21" s="12">
        <v>10</v>
      </c>
      <c r="D21" s="12">
        <v>15</v>
      </c>
      <c r="E21" s="12">
        <v>20</v>
      </c>
      <c r="F21" s="12">
        <v>25</v>
      </c>
      <c r="G21" s="12">
        <v>30</v>
      </c>
      <c r="H21" s="461"/>
      <c r="I21" s="461"/>
      <c r="J21" s="461"/>
      <c r="K21" s="461"/>
      <c r="L21" s="461"/>
      <c r="M21" s="461"/>
      <c r="N21" s="461"/>
      <c r="O21" s="461"/>
      <c r="P21" s="465"/>
      <c r="Q21" s="227"/>
    </row>
    <row r="22" spans="1:22" x14ac:dyDescent="0.25">
      <c r="A22" s="5" t="s">
        <v>516</v>
      </c>
      <c r="B22" s="43">
        <v>0</v>
      </c>
      <c r="C22" s="43">
        <v>0</v>
      </c>
      <c r="D22" s="43">
        <v>0</v>
      </c>
      <c r="E22" s="43">
        <v>0</v>
      </c>
      <c r="F22" s="43">
        <v>0</v>
      </c>
      <c r="G22" s="43">
        <v>0</v>
      </c>
      <c r="H22" s="42">
        <f t="shared" ref="H22:H30" si="0">AVERAGE(B22:G22)</f>
        <v>0</v>
      </c>
      <c r="I22" s="43">
        <v>0</v>
      </c>
      <c r="J22" s="43">
        <v>0</v>
      </c>
      <c r="K22" s="43">
        <v>0</v>
      </c>
      <c r="L22" s="45">
        <f t="shared" ref="L22:L30" si="1">J22-K22</f>
        <v>0</v>
      </c>
      <c r="M22" s="7">
        <v>0</v>
      </c>
      <c r="N22" s="7">
        <v>0</v>
      </c>
      <c r="O22" s="7">
        <v>0</v>
      </c>
      <c r="P22" s="7">
        <v>0</v>
      </c>
      <c r="Q22" s="228"/>
    </row>
    <row r="23" spans="1:22" x14ac:dyDescent="0.25">
      <c r="A23" s="5" t="s">
        <v>517</v>
      </c>
      <c r="B23" s="43">
        <v>0</v>
      </c>
      <c r="C23" s="43">
        <v>0</v>
      </c>
      <c r="D23" s="43">
        <v>0</v>
      </c>
      <c r="E23" s="43">
        <v>0</v>
      </c>
      <c r="F23" s="43">
        <v>0</v>
      </c>
      <c r="G23" s="43">
        <v>0</v>
      </c>
      <c r="H23" s="42">
        <f t="shared" ref="H23:H25" si="2">AVERAGE(B23:G23)</f>
        <v>0</v>
      </c>
      <c r="I23" s="43">
        <v>0</v>
      </c>
      <c r="J23" s="43">
        <v>0</v>
      </c>
      <c r="K23" s="43">
        <v>0</v>
      </c>
      <c r="L23" s="45">
        <f t="shared" ref="L23:L25" si="3">J23-K23</f>
        <v>0</v>
      </c>
      <c r="M23" s="7">
        <v>0</v>
      </c>
      <c r="N23" s="7">
        <v>0</v>
      </c>
      <c r="O23" s="7">
        <v>0</v>
      </c>
      <c r="P23" s="7">
        <v>0</v>
      </c>
      <c r="Q23" s="228"/>
    </row>
    <row r="24" spans="1:22" x14ac:dyDescent="0.25">
      <c r="A24" s="5" t="s">
        <v>504</v>
      </c>
      <c r="B24" s="43">
        <v>0</v>
      </c>
      <c r="C24" s="43">
        <v>0</v>
      </c>
      <c r="D24" s="43">
        <v>0</v>
      </c>
      <c r="E24" s="43">
        <v>0</v>
      </c>
      <c r="F24" s="43">
        <v>0</v>
      </c>
      <c r="G24" s="43">
        <v>0</v>
      </c>
      <c r="H24" s="42">
        <f t="shared" si="2"/>
        <v>0</v>
      </c>
      <c r="I24" s="43">
        <v>0</v>
      </c>
      <c r="J24" s="43">
        <v>0</v>
      </c>
      <c r="K24" s="43">
        <v>0</v>
      </c>
      <c r="L24" s="45">
        <f t="shared" si="3"/>
        <v>0</v>
      </c>
      <c r="M24" s="7">
        <v>0</v>
      </c>
      <c r="N24" s="7">
        <v>0</v>
      </c>
      <c r="O24" s="7">
        <v>0</v>
      </c>
      <c r="P24" s="7">
        <v>0</v>
      </c>
      <c r="Q24" s="228"/>
    </row>
    <row r="25" spans="1:22" x14ac:dyDescent="0.25">
      <c r="A25" s="5" t="s">
        <v>505</v>
      </c>
      <c r="B25" s="43">
        <v>0</v>
      </c>
      <c r="C25" s="43">
        <v>0</v>
      </c>
      <c r="D25" s="43">
        <v>0</v>
      </c>
      <c r="E25" s="43">
        <v>0</v>
      </c>
      <c r="F25" s="43">
        <v>0</v>
      </c>
      <c r="G25" s="43">
        <v>0</v>
      </c>
      <c r="H25" s="42">
        <f t="shared" si="2"/>
        <v>0</v>
      </c>
      <c r="I25" s="43">
        <v>0</v>
      </c>
      <c r="J25" s="43">
        <v>0</v>
      </c>
      <c r="K25" s="43">
        <v>0</v>
      </c>
      <c r="L25" s="45">
        <f t="shared" si="3"/>
        <v>0</v>
      </c>
      <c r="M25" s="7">
        <v>0</v>
      </c>
      <c r="N25" s="7">
        <v>0</v>
      </c>
      <c r="O25" s="7">
        <v>0</v>
      </c>
      <c r="P25" s="7">
        <v>0</v>
      </c>
      <c r="Q25" s="228"/>
    </row>
    <row r="26" spans="1:22" x14ac:dyDescent="0.25">
      <c r="A26" s="5" t="s">
        <v>506</v>
      </c>
      <c r="B26" s="43">
        <v>0</v>
      </c>
      <c r="C26" s="43">
        <v>0</v>
      </c>
      <c r="D26" s="43">
        <v>0</v>
      </c>
      <c r="E26" s="43">
        <v>0</v>
      </c>
      <c r="F26" s="43">
        <v>0</v>
      </c>
      <c r="G26" s="43">
        <v>0</v>
      </c>
      <c r="H26" s="42">
        <f t="shared" si="0"/>
        <v>0</v>
      </c>
      <c r="I26" s="43">
        <v>0</v>
      </c>
      <c r="J26" s="43">
        <v>0</v>
      </c>
      <c r="K26" s="43">
        <v>0</v>
      </c>
      <c r="L26" s="45">
        <f t="shared" si="1"/>
        <v>0</v>
      </c>
      <c r="M26" s="7">
        <v>0</v>
      </c>
      <c r="N26" s="7">
        <v>0</v>
      </c>
      <c r="O26" s="7">
        <v>0</v>
      </c>
      <c r="P26" s="7">
        <v>0</v>
      </c>
      <c r="Q26" s="228"/>
    </row>
    <row r="27" spans="1:22" x14ac:dyDescent="0.25">
      <c r="A27" s="5" t="s">
        <v>546</v>
      </c>
      <c r="B27" s="43">
        <v>0</v>
      </c>
      <c r="C27" s="43">
        <v>0</v>
      </c>
      <c r="D27" s="43">
        <v>0</v>
      </c>
      <c r="E27" s="43">
        <v>0</v>
      </c>
      <c r="F27" s="43">
        <v>0</v>
      </c>
      <c r="G27" s="43">
        <v>0</v>
      </c>
      <c r="H27" s="42">
        <f t="shared" si="0"/>
        <v>0</v>
      </c>
      <c r="I27" s="43">
        <v>0</v>
      </c>
      <c r="J27" s="43">
        <v>0</v>
      </c>
      <c r="K27" s="43">
        <v>0</v>
      </c>
      <c r="L27" s="45">
        <f t="shared" si="1"/>
        <v>0</v>
      </c>
      <c r="M27" s="7">
        <v>0</v>
      </c>
      <c r="N27" s="7">
        <v>0</v>
      </c>
      <c r="O27" s="7">
        <v>0</v>
      </c>
      <c r="P27" s="7">
        <v>0</v>
      </c>
      <c r="Q27" s="228"/>
    </row>
    <row r="28" spans="1:22" x14ac:dyDescent="0.25">
      <c r="A28" s="5" t="s">
        <v>548</v>
      </c>
      <c r="B28" s="43">
        <v>0</v>
      </c>
      <c r="C28" s="43">
        <v>0</v>
      </c>
      <c r="D28" s="43">
        <v>0</v>
      </c>
      <c r="E28" s="43">
        <v>0</v>
      </c>
      <c r="F28" s="43">
        <v>0</v>
      </c>
      <c r="G28" s="43">
        <v>0</v>
      </c>
      <c r="H28" s="42">
        <f t="shared" si="0"/>
        <v>0</v>
      </c>
      <c r="I28" s="43">
        <v>0</v>
      </c>
      <c r="J28" s="43">
        <v>0</v>
      </c>
      <c r="K28" s="43">
        <v>0</v>
      </c>
      <c r="L28" s="45">
        <f t="shared" si="1"/>
        <v>0</v>
      </c>
      <c r="M28" s="7">
        <v>0</v>
      </c>
      <c r="N28" s="7">
        <v>0</v>
      </c>
      <c r="O28" s="7">
        <v>0</v>
      </c>
      <c r="P28" s="7">
        <v>0</v>
      </c>
      <c r="Q28" s="228"/>
    </row>
    <row r="29" spans="1:22" x14ac:dyDescent="0.25">
      <c r="A29" s="5" t="s">
        <v>550</v>
      </c>
      <c r="B29" s="43">
        <v>0</v>
      </c>
      <c r="C29" s="43">
        <v>0</v>
      </c>
      <c r="D29" s="43">
        <v>0</v>
      </c>
      <c r="E29" s="43">
        <v>0</v>
      </c>
      <c r="F29" s="43">
        <v>0</v>
      </c>
      <c r="G29" s="43">
        <v>0</v>
      </c>
      <c r="H29" s="42">
        <f t="shared" si="0"/>
        <v>0</v>
      </c>
      <c r="I29" s="43">
        <v>0</v>
      </c>
      <c r="J29" s="43">
        <v>0</v>
      </c>
      <c r="K29" s="43">
        <v>0</v>
      </c>
      <c r="L29" s="45">
        <f t="shared" si="1"/>
        <v>0</v>
      </c>
      <c r="M29" s="7">
        <v>0</v>
      </c>
      <c r="N29" s="7">
        <v>0</v>
      </c>
      <c r="O29" s="7">
        <v>0</v>
      </c>
      <c r="P29" s="7">
        <v>0</v>
      </c>
      <c r="Q29" s="228"/>
    </row>
    <row r="30" spans="1:22" x14ac:dyDescent="0.25">
      <c r="A30" s="5" t="s">
        <v>552</v>
      </c>
      <c r="B30" s="43">
        <v>0</v>
      </c>
      <c r="C30" s="43">
        <v>0</v>
      </c>
      <c r="D30" s="43">
        <v>0</v>
      </c>
      <c r="E30" s="43">
        <v>0</v>
      </c>
      <c r="F30" s="43">
        <v>0</v>
      </c>
      <c r="G30" s="43">
        <v>0</v>
      </c>
      <c r="H30" s="42">
        <f t="shared" si="0"/>
        <v>0</v>
      </c>
      <c r="I30" s="43">
        <v>0</v>
      </c>
      <c r="J30" s="43">
        <v>0</v>
      </c>
      <c r="K30" s="43">
        <v>0</v>
      </c>
      <c r="L30" s="45">
        <f t="shared" si="1"/>
        <v>0</v>
      </c>
      <c r="M30" s="7">
        <v>0</v>
      </c>
      <c r="N30" s="7">
        <v>0</v>
      </c>
      <c r="O30" s="7">
        <v>0</v>
      </c>
      <c r="P30" s="7">
        <v>0</v>
      </c>
      <c r="Q30" s="228"/>
    </row>
    <row r="31" spans="1:22" x14ac:dyDescent="0.25">
      <c r="A31" s="11" t="s">
        <v>507</v>
      </c>
      <c r="B31" s="42">
        <f t="shared" ref="B31:G31" si="4">SUM(B22:B30)</f>
        <v>0</v>
      </c>
      <c r="C31" s="42">
        <f t="shared" si="4"/>
        <v>0</v>
      </c>
      <c r="D31" s="42">
        <f t="shared" si="4"/>
        <v>0</v>
      </c>
      <c r="E31" s="42">
        <f t="shared" si="4"/>
        <v>0</v>
      </c>
      <c r="F31" s="42">
        <f t="shared" si="4"/>
        <v>0</v>
      </c>
      <c r="G31" s="42">
        <f t="shared" si="4"/>
        <v>0</v>
      </c>
      <c r="H31" s="42">
        <f>SUM(H22:H30)</f>
        <v>0</v>
      </c>
      <c r="I31" s="42">
        <f>SUM(I22:I30)</f>
        <v>0</v>
      </c>
      <c r="J31" s="42">
        <f t="shared" ref="J31:K31" si="5">SUM(J22:J30)</f>
        <v>0</v>
      </c>
      <c r="K31" s="42">
        <f t="shared" si="5"/>
        <v>0</v>
      </c>
      <c r="L31" s="42">
        <f>SUM(L22:L30)</f>
        <v>0</v>
      </c>
      <c r="M31" s="234">
        <f>SUM(M22:M30)</f>
        <v>0</v>
      </c>
      <c r="N31" s="234">
        <f>SUM(N22:N30)</f>
        <v>0</v>
      </c>
      <c r="O31" s="234">
        <f>SUM(O22:O30)</f>
        <v>0</v>
      </c>
      <c r="P31" s="234">
        <f>SUM(P22:P30)</f>
        <v>0</v>
      </c>
      <c r="Q31" s="229"/>
    </row>
    <row r="32" spans="1:22" x14ac:dyDescent="0.25">
      <c r="A32" s="11" t="s">
        <v>496</v>
      </c>
      <c r="B32" s="42">
        <f t="shared" ref="B32:G32" si="6">AVERAGE(B22:B30)</f>
        <v>0</v>
      </c>
      <c r="C32" s="42">
        <f t="shared" si="6"/>
        <v>0</v>
      </c>
      <c r="D32" s="42">
        <f t="shared" si="6"/>
        <v>0</v>
      </c>
      <c r="E32" s="42">
        <f t="shared" si="6"/>
        <v>0</v>
      </c>
      <c r="F32" s="42">
        <f t="shared" si="6"/>
        <v>0</v>
      </c>
      <c r="G32" s="42">
        <f t="shared" si="6"/>
        <v>0</v>
      </c>
      <c r="H32" s="42">
        <f>AVERAGE(H22:H30)</f>
        <v>0</v>
      </c>
      <c r="I32" s="42">
        <f>AVERAGE(I22:I30)</f>
        <v>0</v>
      </c>
      <c r="J32" s="42">
        <f t="shared" ref="J32:K32" si="7">AVERAGE(J22:J30)</f>
        <v>0</v>
      </c>
      <c r="K32" s="42">
        <f t="shared" si="7"/>
        <v>0</v>
      </c>
      <c r="L32" s="42">
        <f>AVERAGE(L22:L30)</f>
        <v>0</v>
      </c>
      <c r="M32" s="234">
        <f>AVERAGE(M22:M30)</f>
        <v>0</v>
      </c>
      <c r="N32" s="234">
        <f>AVERAGE(N22:N30)</f>
        <v>0</v>
      </c>
      <c r="O32" s="234">
        <f>AVERAGE(O22:O30)</f>
        <v>0</v>
      </c>
      <c r="P32" s="234">
        <f>AVERAGE(P22:P30)</f>
        <v>0</v>
      </c>
      <c r="Q32" s="230"/>
    </row>
    <row r="33" spans="1:17" ht="38.25" x14ac:dyDescent="0.25">
      <c r="A33" s="11" t="s">
        <v>508</v>
      </c>
      <c r="B33" s="42">
        <f>B32+I32</f>
        <v>0</v>
      </c>
      <c r="C33" s="42">
        <f>C32+I32</f>
        <v>0</v>
      </c>
      <c r="D33" s="42">
        <f>D32+I32</f>
        <v>0</v>
      </c>
      <c r="E33" s="42">
        <f>E32+I32</f>
        <v>0</v>
      </c>
      <c r="F33" s="42">
        <f>F32+I32</f>
        <v>0</v>
      </c>
      <c r="G33" s="42">
        <f>G32+I32</f>
        <v>0</v>
      </c>
      <c r="H33" s="42">
        <f>H32+I32</f>
        <v>0</v>
      </c>
      <c r="I33" s="462"/>
      <c r="J33" s="463"/>
      <c r="K33" s="463"/>
      <c r="L33" s="463"/>
      <c r="M33" s="463"/>
      <c r="N33" s="464"/>
      <c r="O33" s="6" t="s">
        <v>509</v>
      </c>
      <c r="P33" s="232" t="s">
        <v>510</v>
      </c>
      <c r="Q33" s="231"/>
    </row>
    <row r="34" spans="1:17" ht="18.75" x14ac:dyDescent="0.25">
      <c r="A34" s="466" t="s">
        <v>511</v>
      </c>
      <c r="B34" s="466"/>
      <c r="C34" s="466"/>
      <c r="D34" s="466"/>
      <c r="E34" s="466"/>
      <c r="F34" s="466"/>
      <c r="G34" s="466"/>
      <c r="H34" s="466"/>
      <c r="I34" s="466"/>
      <c r="J34" s="466"/>
      <c r="K34" s="466"/>
      <c r="L34" s="466"/>
      <c r="M34" s="466"/>
      <c r="N34" s="466"/>
      <c r="O34" s="466"/>
      <c r="P34" s="466"/>
      <c r="Q34" s="225"/>
    </row>
    <row r="35" spans="1:17" ht="15.75" customHeight="1" x14ac:dyDescent="0.25">
      <c r="A35" s="467" t="s">
        <v>694</v>
      </c>
      <c r="B35" s="468"/>
      <c r="C35" s="469"/>
      <c r="D35" s="470" t="s">
        <v>852</v>
      </c>
      <c r="E35" s="472"/>
      <c r="F35" s="4" t="s">
        <v>693</v>
      </c>
      <c r="G35" s="473"/>
      <c r="H35" s="474"/>
      <c r="I35" s="47" t="s">
        <v>695</v>
      </c>
      <c r="J35" s="470"/>
      <c r="K35" s="471"/>
      <c r="L35" s="472"/>
      <c r="M35" s="47" t="s">
        <v>492</v>
      </c>
      <c r="N35" s="458"/>
      <c r="O35" s="459"/>
      <c r="P35" s="460"/>
      <c r="Q35" s="226"/>
    </row>
    <row r="36" spans="1:17" ht="15" customHeight="1" x14ac:dyDescent="0.25">
      <c r="A36" s="486" t="s">
        <v>494</v>
      </c>
      <c r="B36" s="486" t="s">
        <v>495</v>
      </c>
      <c r="C36" s="486"/>
      <c r="D36" s="486"/>
      <c r="E36" s="486"/>
      <c r="F36" s="486"/>
      <c r="G36" s="486"/>
      <c r="H36" s="461" t="s">
        <v>496</v>
      </c>
      <c r="I36" s="461" t="s">
        <v>685</v>
      </c>
      <c r="J36" s="461" t="s">
        <v>497</v>
      </c>
      <c r="K36" s="461" t="s">
        <v>498</v>
      </c>
      <c r="L36" s="461" t="s">
        <v>499</v>
      </c>
      <c r="M36" s="461" t="s">
        <v>500</v>
      </c>
      <c r="N36" s="461" t="s">
        <v>501</v>
      </c>
      <c r="O36" s="461" t="s">
        <v>502</v>
      </c>
      <c r="P36" s="465" t="s">
        <v>503</v>
      </c>
      <c r="Q36" s="227"/>
    </row>
    <row r="37" spans="1:17" x14ac:dyDescent="0.25">
      <c r="A37" s="486"/>
      <c r="B37" s="41">
        <v>5</v>
      </c>
      <c r="C37" s="41">
        <v>10</v>
      </c>
      <c r="D37" s="41">
        <v>15</v>
      </c>
      <c r="E37" s="41">
        <v>20</v>
      </c>
      <c r="F37" s="41">
        <v>25</v>
      </c>
      <c r="G37" s="41">
        <v>30</v>
      </c>
      <c r="H37" s="461"/>
      <c r="I37" s="461"/>
      <c r="J37" s="461"/>
      <c r="K37" s="461"/>
      <c r="L37" s="461"/>
      <c r="M37" s="461"/>
      <c r="N37" s="461"/>
      <c r="O37" s="461"/>
      <c r="P37" s="465"/>
      <c r="Q37" s="227"/>
    </row>
    <row r="38" spans="1:17" x14ac:dyDescent="0.25">
      <c r="A38" s="5" t="s">
        <v>516</v>
      </c>
      <c r="B38" s="43">
        <v>0</v>
      </c>
      <c r="C38" s="43">
        <v>0</v>
      </c>
      <c r="D38" s="43">
        <v>0</v>
      </c>
      <c r="E38" s="43">
        <v>0</v>
      </c>
      <c r="F38" s="43">
        <v>0</v>
      </c>
      <c r="G38" s="43">
        <v>0</v>
      </c>
      <c r="H38" s="42">
        <f t="shared" ref="H38:H46" si="8">AVERAGE(B38:G38)</f>
        <v>0</v>
      </c>
      <c r="I38" s="43">
        <v>0</v>
      </c>
      <c r="J38" s="43">
        <v>0</v>
      </c>
      <c r="K38" s="43">
        <v>0</v>
      </c>
      <c r="L38" s="45">
        <f t="shared" ref="L38:L46" si="9">J38-K38</f>
        <v>0</v>
      </c>
      <c r="M38" s="7">
        <v>0</v>
      </c>
      <c r="N38" s="7">
        <v>0</v>
      </c>
      <c r="O38" s="7">
        <v>0</v>
      </c>
      <c r="P38" s="7">
        <v>0</v>
      </c>
      <c r="Q38" s="228"/>
    </row>
    <row r="39" spans="1:17" x14ac:dyDescent="0.25">
      <c r="A39" s="5" t="s">
        <v>517</v>
      </c>
      <c r="B39" s="43">
        <v>0</v>
      </c>
      <c r="C39" s="43">
        <v>0</v>
      </c>
      <c r="D39" s="43">
        <v>0</v>
      </c>
      <c r="E39" s="43">
        <v>0</v>
      </c>
      <c r="F39" s="43">
        <v>0</v>
      </c>
      <c r="G39" s="43">
        <v>0</v>
      </c>
      <c r="H39" s="42">
        <f t="shared" si="8"/>
        <v>0</v>
      </c>
      <c r="I39" s="43">
        <v>0</v>
      </c>
      <c r="J39" s="43">
        <v>0</v>
      </c>
      <c r="K39" s="43">
        <v>0</v>
      </c>
      <c r="L39" s="45">
        <f t="shared" si="9"/>
        <v>0</v>
      </c>
      <c r="M39" s="7">
        <v>0</v>
      </c>
      <c r="N39" s="7">
        <v>0</v>
      </c>
      <c r="O39" s="7">
        <v>0</v>
      </c>
      <c r="P39" s="7">
        <v>0</v>
      </c>
      <c r="Q39" s="228"/>
    </row>
    <row r="40" spans="1:17" x14ac:dyDescent="0.25">
      <c r="A40" s="5" t="s">
        <v>504</v>
      </c>
      <c r="B40" s="43">
        <v>0</v>
      </c>
      <c r="C40" s="43">
        <v>0</v>
      </c>
      <c r="D40" s="43">
        <v>0</v>
      </c>
      <c r="E40" s="43">
        <v>0</v>
      </c>
      <c r="F40" s="43">
        <v>0</v>
      </c>
      <c r="G40" s="43">
        <v>0</v>
      </c>
      <c r="H40" s="42">
        <f t="shared" si="8"/>
        <v>0</v>
      </c>
      <c r="I40" s="43">
        <v>0</v>
      </c>
      <c r="J40" s="43">
        <v>0</v>
      </c>
      <c r="K40" s="43">
        <v>0</v>
      </c>
      <c r="L40" s="45">
        <f t="shared" si="9"/>
        <v>0</v>
      </c>
      <c r="M40" s="7">
        <v>0</v>
      </c>
      <c r="N40" s="7">
        <v>0</v>
      </c>
      <c r="O40" s="7">
        <v>0</v>
      </c>
      <c r="P40" s="7">
        <v>0</v>
      </c>
      <c r="Q40" s="228"/>
    </row>
    <row r="41" spans="1:17" x14ac:dyDescent="0.25">
      <c r="A41" s="5" t="s">
        <v>505</v>
      </c>
      <c r="B41" s="43">
        <v>0</v>
      </c>
      <c r="C41" s="43">
        <v>0</v>
      </c>
      <c r="D41" s="43">
        <v>0</v>
      </c>
      <c r="E41" s="43">
        <v>0</v>
      </c>
      <c r="F41" s="43">
        <v>0</v>
      </c>
      <c r="G41" s="43">
        <v>0</v>
      </c>
      <c r="H41" s="42">
        <f t="shared" si="8"/>
        <v>0</v>
      </c>
      <c r="I41" s="43">
        <v>0</v>
      </c>
      <c r="J41" s="43">
        <v>0</v>
      </c>
      <c r="K41" s="43">
        <v>0</v>
      </c>
      <c r="L41" s="45">
        <f t="shared" si="9"/>
        <v>0</v>
      </c>
      <c r="M41" s="7">
        <v>0</v>
      </c>
      <c r="N41" s="7">
        <v>0</v>
      </c>
      <c r="O41" s="7">
        <v>0</v>
      </c>
      <c r="P41" s="7">
        <v>0</v>
      </c>
      <c r="Q41" s="228"/>
    </row>
    <row r="42" spans="1:17" x14ac:dyDescent="0.25">
      <c r="A42" s="5" t="s">
        <v>506</v>
      </c>
      <c r="B42" s="43">
        <v>0</v>
      </c>
      <c r="C42" s="43">
        <v>0</v>
      </c>
      <c r="D42" s="43">
        <v>0</v>
      </c>
      <c r="E42" s="43">
        <v>0</v>
      </c>
      <c r="F42" s="43">
        <v>0</v>
      </c>
      <c r="G42" s="43">
        <v>0</v>
      </c>
      <c r="H42" s="42">
        <f t="shared" si="8"/>
        <v>0</v>
      </c>
      <c r="I42" s="43">
        <v>0</v>
      </c>
      <c r="J42" s="43">
        <v>0</v>
      </c>
      <c r="K42" s="43">
        <v>0</v>
      </c>
      <c r="L42" s="45">
        <f t="shared" si="9"/>
        <v>0</v>
      </c>
      <c r="M42" s="7">
        <v>0</v>
      </c>
      <c r="N42" s="7">
        <v>0</v>
      </c>
      <c r="O42" s="7">
        <v>0</v>
      </c>
      <c r="P42" s="7">
        <v>0</v>
      </c>
      <c r="Q42" s="228"/>
    </row>
    <row r="43" spans="1:17" x14ac:dyDescent="0.25">
      <c r="A43" s="5" t="s">
        <v>546</v>
      </c>
      <c r="B43" s="43">
        <v>0</v>
      </c>
      <c r="C43" s="43">
        <v>0</v>
      </c>
      <c r="D43" s="43">
        <v>0</v>
      </c>
      <c r="E43" s="43">
        <v>0</v>
      </c>
      <c r="F43" s="43">
        <v>0</v>
      </c>
      <c r="G43" s="43">
        <v>0</v>
      </c>
      <c r="H43" s="42">
        <f t="shared" si="8"/>
        <v>0</v>
      </c>
      <c r="I43" s="43">
        <v>0</v>
      </c>
      <c r="J43" s="43">
        <v>0</v>
      </c>
      <c r="K43" s="43">
        <v>0</v>
      </c>
      <c r="L43" s="45">
        <f t="shared" si="9"/>
        <v>0</v>
      </c>
      <c r="M43" s="7">
        <v>0</v>
      </c>
      <c r="N43" s="7">
        <v>0</v>
      </c>
      <c r="O43" s="7">
        <v>0</v>
      </c>
      <c r="P43" s="7">
        <v>0</v>
      </c>
      <c r="Q43" s="228"/>
    </row>
    <row r="44" spans="1:17" x14ac:dyDescent="0.25">
      <c r="A44" s="5" t="s">
        <v>548</v>
      </c>
      <c r="B44" s="43">
        <v>0</v>
      </c>
      <c r="C44" s="43">
        <v>0</v>
      </c>
      <c r="D44" s="43">
        <v>0</v>
      </c>
      <c r="E44" s="43">
        <v>0</v>
      </c>
      <c r="F44" s="43">
        <v>0</v>
      </c>
      <c r="G44" s="43">
        <v>0</v>
      </c>
      <c r="H44" s="42">
        <f t="shared" si="8"/>
        <v>0</v>
      </c>
      <c r="I44" s="43">
        <v>0</v>
      </c>
      <c r="J44" s="43">
        <v>0</v>
      </c>
      <c r="K44" s="43">
        <v>0</v>
      </c>
      <c r="L44" s="45">
        <f t="shared" si="9"/>
        <v>0</v>
      </c>
      <c r="M44" s="7">
        <v>0</v>
      </c>
      <c r="N44" s="7">
        <v>0</v>
      </c>
      <c r="O44" s="7">
        <v>0</v>
      </c>
      <c r="P44" s="7">
        <v>0</v>
      </c>
      <c r="Q44" s="228"/>
    </row>
    <row r="45" spans="1:17" x14ac:dyDescent="0.25">
      <c r="A45" s="5" t="s">
        <v>550</v>
      </c>
      <c r="B45" s="43">
        <v>0</v>
      </c>
      <c r="C45" s="43">
        <v>0</v>
      </c>
      <c r="D45" s="43">
        <v>0</v>
      </c>
      <c r="E45" s="43">
        <v>0</v>
      </c>
      <c r="F45" s="43">
        <v>0</v>
      </c>
      <c r="G45" s="43">
        <v>0</v>
      </c>
      <c r="H45" s="42">
        <f t="shared" si="8"/>
        <v>0</v>
      </c>
      <c r="I45" s="43">
        <v>0</v>
      </c>
      <c r="J45" s="43">
        <v>0</v>
      </c>
      <c r="K45" s="43">
        <v>0</v>
      </c>
      <c r="L45" s="45">
        <f t="shared" si="9"/>
        <v>0</v>
      </c>
      <c r="M45" s="7">
        <v>0</v>
      </c>
      <c r="N45" s="7">
        <v>0</v>
      </c>
      <c r="O45" s="7">
        <v>0</v>
      </c>
      <c r="P45" s="7">
        <v>0</v>
      </c>
      <c r="Q45" s="228"/>
    </row>
    <row r="46" spans="1:17" x14ac:dyDescent="0.25">
      <c r="A46" s="5" t="s">
        <v>552</v>
      </c>
      <c r="B46" s="43">
        <v>0</v>
      </c>
      <c r="C46" s="43">
        <v>0</v>
      </c>
      <c r="D46" s="43">
        <v>0</v>
      </c>
      <c r="E46" s="43">
        <v>0</v>
      </c>
      <c r="F46" s="43">
        <v>0</v>
      </c>
      <c r="G46" s="43">
        <v>0</v>
      </c>
      <c r="H46" s="42">
        <f t="shared" si="8"/>
        <v>0</v>
      </c>
      <c r="I46" s="43">
        <v>0</v>
      </c>
      <c r="J46" s="43">
        <v>0</v>
      </c>
      <c r="K46" s="43">
        <v>0</v>
      </c>
      <c r="L46" s="45">
        <f t="shared" si="9"/>
        <v>0</v>
      </c>
      <c r="M46" s="7">
        <v>0</v>
      </c>
      <c r="N46" s="7">
        <v>0</v>
      </c>
      <c r="O46" s="7">
        <v>0</v>
      </c>
      <c r="P46" s="7">
        <v>0</v>
      </c>
      <c r="Q46" s="228"/>
    </row>
    <row r="47" spans="1:17" x14ac:dyDescent="0.25">
      <c r="A47" s="181" t="s">
        <v>507</v>
      </c>
      <c r="B47" s="42">
        <f t="shared" ref="B47" si="10">SUM(B38:B46)</f>
        <v>0</v>
      </c>
      <c r="C47" s="42">
        <f t="shared" ref="C47" si="11">SUM(C38:C46)</f>
        <v>0</v>
      </c>
      <c r="D47" s="42">
        <f t="shared" ref="D47" si="12">SUM(D38:D46)</f>
        <v>0</v>
      </c>
      <c r="E47" s="42">
        <f t="shared" ref="E47" si="13">SUM(E38:E46)</f>
        <v>0</v>
      </c>
      <c r="F47" s="42">
        <f t="shared" ref="F47" si="14">SUM(F38:F46)</f>
        <v>0</v>
      </c>
      <c r="G47" s="42">
        <f t="shared" ref="G47" si="15">SUM(G38:G46)</f>
        <v>0</v>
      </c>
      <c r="H47" s="42">
        <f>SUM(H38:H46)</f>
        <v>0</v>
      </c>
      <c r="I47" s="42">
        <f>SUM(I38:I46)</f>
        <v>0</v>
      </c>
      <c r="J47" s="42">
        <f t="shared" ref="J47" si="16">SUM(J38:J46)</f>
        <v>0</v>
      </c>
      <c r="K47" s="42">
        <f t="shared" ref="K47" si="17">SUM(K38:K46)</f>
        <v>0</v>
      </c>
      <c r="L47" s="42">
        <f>SUM(L38:L46)</f>
        <v>0</v>
      </c>
      <c r="M47" s="234">
        <f>SUM(M38:M46)</f>
        <v>0</v>
      </c>
      <c r="N47" s="234">
        <f>SUM(N38:N46)</f>
        <v>0</v>
      </c>
      <c r="O47" s="234">
        <f>SUM(O38:O46)</f>
        <v>0</v>
      </c>
      <c r="P47" s="234">
        <f>SUM(P38:P46)</f>
        <v>0</v>
      </c>
      <c r="Q47" s="229"/>
    </row>
    <row r="48" spans="1:17" x14ac:dyDescent="0.25">
      <c r="A48" s="181" t="s">
        <v>496</v>
      </c>
      <c r="B48" s="42">
        <f t="shared" ref="B48:G48" si="18">AVERAGE(B38:B46)</f>
        <v>0</v>
      </c>
      <c r="C48" s="42">
        <f t="shared" si="18"/>
        <v>0</v>
      </c>
      <c r="D48" s="42">
        <f t="shared" si="18"/>
        <v>0</v>
      </c>
      <c r="E48" s="42">
        <f t="shared" si="18"/>
        <v>0</v>
      </c>
      <c r="F48" s="42">
        <f t="shared" si="18"/>
        <v>0</v>
      </c>
      <c r="G48" s="42">
        <f t="shared" si="18"/>
        <v>0</v>
      </c>
      <c r="H48" s="42">
        <f>AVERAGE(H38:H46)</f>
        <v>0</v>
      </c>
      <c r="I48" s="42">
        <f>AVERAGE(I38:I46)</f>
        <v>0</v>
      </c>
      <c r="J48" s="42">
        <f t="shared" ref="J48:K48" si="19">AVERAGE(J38:J46)</f>
        <v>0</v>
      </c>
      <c r="K48" s="42">
        <f t="shared" si="19"/>
        <v>0</v>
      </c>
      <c r="L48" s="42">
        <f>AVERAGE(L38:L46)</f>
        <v>0</v>
      </c>
      <c r="M48" s="234">
        <f>AVERAGE(M38:M46)</f>
        <v>0</v>
      </c>
      <c r="N48" s="234">
        <f>AVERAGE(N38:N46)</f>
        <v>0</v>
      </c>
      <c r="O48" s="234">
        <f>AVERAGE(O38:O46)</f>
        <v>0</v>
      </c>
      <c r="P48" s="234">
        <f>AVERAGE(P38:P46)</f>
        <v>0</v>
      </c>
      <c r="Q48" s="230"/>
    </row>
    <row r="49" spans="1:17" ht="38.25" x14ac:dyDescent="0.25">
      <c r="A49" s="40" t="s">
        <v>508</v>
      </c>
      <c r="B49" s="42">
        <f>B48+I48</f>
        <v>0</v>
      </c>
      <c r="C49" s="42">
        <f>C48+I48</f>
        <v>0</v>
      </c>
      <c r="D49" s="42">
        <f>D48+I48</f>
        <v>0</v>
      </c>
      <c r="E49" s="42">
        <f>E48+I48</f>
        <v>0</v>
      </c>
      <c r="F49" s="42">
        <f>F48+I48</f>
        <v>0</v>
      </c>
      <c r="G49" s="42">
        <f>G48+I48</f>
        <v>0</v>
      </c>
      <c r="H49" s="42">
        <f>H48+I48</f>
        <v>0</v>
      </c>
      <c r="I49" s="462"/>
      <c r="J49" s="463"/>
      <c r="K49" s="463"/>
      <c r="L49" s="463"/>
      <c r="M49" s="463"/>
      <c r="N49" s="464"/>
      <c r="O49" s="6" t="s">
        <v>509</v>
      </c>
      <c r="P49" s="232" t="s">
        <v>510</v>
      </c>
      <c r="Q49" s="231"/>
    </row>
    <row r="50" spans="1:17" ht="18.75" x14ac:dyDescent="0.25">
      <c r="A50" s="466" t="s">
        <v>512</v>
      </c>
      <c r="B50" s="466"/>
      <c r="C50" s="466"/>
      <c r="D50" s="466"/>
      <c r="E50" s="466"/>
      <c r="F50" s="466"/>
      <c r="G50" s="466"/>
      <c r="H50" s="466"/>
      <c r="I50" s="466"/>
      <c r="J50" s="466"/>
      <c r="K50" s="466"/>
      <c r="L50" s="466"/>
      <c r="M50" s="466"/>
      <c r="N50" s="466"/>
      <c r="O50" s="466"/>
      <c r="P50" s="466"/>
      <c r="Q50" s="225"/>
    </row>
    <row r="51" spans="1:17" ht="15.75" customHeight="1" x14ac:dyDescent="0.25">
      <c r="A51" s="467" t="s">
        <v>694</v>
      </c>
      <c r="B51" s="468"/>
      <c r="C51" s="469"/>
      <c r="D51" s="470"/>
      <c r="E51" s="472"/>
      <c r="F51" s="4" t="s">
        <v>693</v>
      </c>
      <c r="G51" s="473"/>
      <c r="H51" s="474"/>
      <c r="I51" s="47" t="s">
        <v>695</v>
      </c>
      <c r="J51" s="470"/>
      <c r="K51" s="471"/>
      <c r="L51" s="472"/>
      <c r="M51" s="47" t="s">
        <v>492</v>
      </c>
      <c r="N51" s="458"/>
      <c r="O51" s="459"/>
      <c r="P51" s="460"/>
      <c r="Q51" s="226"/>
    </row>
    <row r="52" spans="1:17" ht="15" customHeight="1" x14ac:dyDescent="0.25">
      <c r="A52" s="486" t="s">
        <v>494</v>
      </c>
      <c r="B52" s="486" t="s">
        <v>495</v>
      </c>
      <c r="C52" s="486"/>
      <c r="D52" s="486"/>
      <c r="E52" s="486"/>
      <c r="F52" s="486"/>
      <c r="G52" s="486"/>
      <c r="H52" s="461" t="s">
        <v>496</v>
      </c>
      <c r="I52" s="461" t="s">
        <v>685</v>
      </c>
      <c r="J52" s="461" t="s">
        <v>497</v>
      </c>
      <c r="K52" s="461" t="s">
        <v>498</v>
      </c>
      <c r="L52" s="461" t="s">
        <v>499</v>
      </c>
      <c r="M52" s="461" t="s">
        <v>500</v>
      </c>
      <c r="N52" s="461" t="s">
        <v>501</v>
      </c>
      <c r="O52" s="461" t="s">
        <v>502</v>
      </c>
      <c r="P52" s="465" t="s">
        <v>503</v>
      </c>
      <c r="Q52" s="227"/>
    </row>
    <row r="53" spans="1:17" x14ac:dyDescent="0.25">
      <c r="A53" s="486"/>
      <c r="B53" s="41">
        <v>5</v>
      </c>
      <c r="C53" s="41">
        <v>10</v>
      </c>
      <c r="D53" s="41">
        <v>15</v>
      </c>
      <c r="E53" s="41">
        <v>20</v>
      </c>
      <c r="F53" s="41">
        <v>25</v>
      </c>
      <c r="G53" s="41">
        <v>30</v>
      </c>
      <c r="H53" s="461"/>
      <c r="I53" s="461"/>
      <c r="J53" s="461"/>
      <c r="K53" s="461"/>
      <c r="L53" s="461"/>
      <c r="M53" s="461"/>
      <c r="N53" s="461"/>
      <c r="O53" s="461"/>
      <c r="P53" s="465"/>
      <c r="Q53" s="227"/>
    </row>
    <row r="54" spans="1:17" x14ac:dyDescent="0.25">
      <c r="A54" s="5" t="s">
        <v>1019</v>
      </c>
      <c r="B54" s="43">
        <v>0</v>
      </c>
      <c r="C54" s="43">
        <v>0</v>
      </c>
      <c r="D54" s="43">
        <v>0</v>
      </c>
      <c r="E54" s="43">
        <v>0</v>
      </c>
      <c r="F54" s="43">
        <v>0</v>
      </c>
      <c r="G54" s="43">
        <v>0</v>
      </c>
      <c r="H54" s="42">
        <f t="shared" ref="H54:H62" si="20">AVERAGE(B54:G54)</f>
        <v>0</v>
      </c>
      <c r="I54" s="43">
        <v>0</v>
      </c>
      <c r="J54" s="43">
        <v>0</v>
      </c>
      <c r="K54" s="43">
        <v>0</v>
      </c>
      <c r="L54" s="45">
        <f t="shared" ref="L54:L62" si="21">J54-K54</f>
        <v>0</v>
      </c>
      <c r="M54" s="7">
        <v>0</v>
      </c>
      <c r="N54" s="7">
        <v>0</v>
      </c>
      <c r="O54" s="7">
        <v>0</v>
      </c>
      <c r="P54" s="7">
        <v>0</v>
      </c>
      <c r="Q54" s="228"/>
    </row>
    <row r="55" spans="1:17" x14ac:dyDescent="0.25">
      <c r="A55" s="5" t="s">
        <v>1020</v>
      </c>
      <c r="B55" s="43">
        <v>0</v>
      </c>
      <c r="C55" s="43">
        <v>0</v>
      </c>
      <c r="D55" s="43">
        <v>0</v>
      </c>
      <c r="E55" s="43">
        <v>0</v>
      </c>
      <c r="F55" s="43">
        <v>0</v>
      </c>
      <c r="G55" s="43">
        <v>0</v>
      </c>
      <c r="H55" s="42">
        <f t="shared" si="20"/>
        <v>0</v>
      </c>
      <c r="I55" s="43">
        <v>0</v>
      </c>
      <c r="J55" s="43">
        <v>0</v>
      </c>
      <c r="K55" s="43">
        <v>0</v>
      </c>
      <c r="L55" s="45">
        <f t="shared" si="21"/>
        <v>0</v>
      </c>
      <c r="M55" s="7">
        <v>0</v>
      </c>
      <c r="N55" s="7">
        <v>0</v>
      </c>
      <c r="O55" s="7">
        <v>0</v>
      </c>
      <c r="P55" s="7">
        <v>0</v>
      </c>
      <c r="Q55" s="228"/>
    </row>
    <row r="56" spans="1:17" x14ac:dyDescent="0.25">
      <c r="A56" s="5" t="s">
        <v>1021</v>
      </c>
      <c r="B56" s="43">
        <v>0</v>
      </c>
      <c r="C56" s="43">
        <v>0</v>
      </c>
      <c r="D56" s="43">
        <v>0</v>
      </c>
      <c r="E56" s="43">
        <v>0</v>
      </c>
      <c r="F56" s="43">
        <v>0</v>
      </c>
      <c r="G56" s="43">
        <v>0</v>
      </c>
      <c r="H56" s="42">
        <f t="shared" si="20"/>
        <v>0</v>
      </c>
      <c r="I56" s="43">
        <v>0</v>
      </c>
      <c r="J56" s="43">
        <v>0</v>
      </c>
      <c r="K56" s="43">
        <v>0</v>
      </c>
      <c r="L56" s="45">
        <f t="shared" si="21"/>
        <v>0</v>
      </c>
      <c r="M56" s="7">
        <v>0</v>
      </c>
      <c r="N56" s="7">
        <v>0</v>
      </c>
      <c r="O56" s="7">
        <v>0</v>
      </c>
      <c r="P56" s="7">
        <v>0</v>
      </c>
      <c r="Q56" s="228"/>
    </row>
    <row r="57" spans="1:17" x14ac:dyDescent="0.25">
      <c r="A57" s="5" t="s">
        <v>1022</v>
      </c>
      <c r="B57" s="43">
        <v>0</v>
      </c>
      <c r="C57" s="43">
        <v>0</v>
      </c>
      <c r="D57" s="43">
        <v>0</v>
      </c>
      <c r="E57" s="43">
        <v>0</v>
      </c>
      <c r="F57" s="43">
        <v>0</v>
      </c>
      <c r="G57" s="43">
        <v>0</v>
      </c>
      <c r="H57" s="42">
        <f t="shared" si="20"/>
        <v>0</v>
      </c>
      <c r="I57" s="43">
        <v>0</v>
      </c>
      <c r="J57" s="43">
        <v>0</v>
      </c>
      <c r="K57" s="43">
        <v>0</v>
      </c>
      <c r="L57" s="45">
        <f t="shared" si="21"/>
        <v>0</v>
      </c>
      <c r="M57" s="7">
        <v>0</v>
      </c>
      <c r="N57" s="7">
        <v>0</v>
      </c>
      <c r="O57" s="7">
        <v>0</v>
      </c>
      <c r="P57" s="7">
        <v>0</v>
      </c>
      <c r="Q57" s="228"/>
    </row>
    <row r="58" spans="1:17" x14ac:dyDescent="0.25">
      <c r="A58" s="5" t="s">
        <v>1023</v>
      </c>
      <c r="B58" s="43">
        <v>0</v>
      </c>
      <c r="C58" s="43">
        <v>0</v>
      </c>
      <c r="D58" s="43">
        <v>0</v>
      </c>
      <c r="E58" s="43">
        <v>0</v>
      </c>
      <c r="F58" s="43">
        <v>0</v>
      </c>
      <c r="G58" s="43">
        <v>0</v>
      </c>
      <c r="H58" s="42">
        <f t="shared" si="20"/>
        <v>0</v>
      </c>
      <c r="I58" s="43">
        <v>0</v>
      </c>
      <c r="J58" s="43">
        <v>0</v>
      </c>
      <c r="K58" s="43">
        <v>0</v>
      </c>
      <c r="L58" s="45">
        <f t="shared" si="21"/>
        <v>0</v>
      </c>
      <c r="M58" s="7">
        <v>0</v>
      </c>
      <c r="N58" s="7">
        <v>0</v>
      </c>
      <c r="O58" s="7">
        <v>0</v>
      </c>
      <c r="P58" s="7">
        <v>0</v>
      </c>
      <c r="Q58" s="228"/>
    </row>
    <row r="59" spans="1:17" x14ac:dyDescent="0.25">
      <c r="A59" s="5" t="s">
        <v>1024</v>
      </c>
      <c r="B59" s="43">
        <v>0</v>
      </c>
      <c r="C59" s="43">
        <v>0</v>
      </c>
      <c r="D59" s="43">
        <v>0</v>
      </c>
      <c r="E59" s="43">
        <v>0</v>
      </c>
      <c r="F59" s="43">
        <v>0</v>
      </c>
      <c r="G59" s="43">
        <v>0</v>
      </c>
      <c r="H59" s="42">
        <f t="shared" si="20"/>
        <v>0</v>
      </c>
      <c r="I59" s="43">
        <v>0</v>
      </c>
      <c r="J59" s="43">
        <v>0</v>
      </c>
      <c r="K59" s="43">
        <v>0</v>
      </c>
      <c r="L59" s="45">
        <f t="shared" si="21"/>
        <v>0</v>
      </c>
      <c r="M59" s="7">
        <v>0</v>
      </c>
      <c r="N59" s="7">
        <v>0</v>
      </c>
      <c r="O59" s="7">
        <v>0</v>
      </c>
      <c r="P59" s="7">
        <v>0</v>
      </c>
      <c r="Q59" s="228"/>
    </row>
    <row r="60" spans="1:17" x14ac:dyDescent="0.25">
      <c r="A60" s="5" t="s">
        <v>1025</v>
      </c>
      <c r="B60" s="43">
        <v>0</v>
      </c>
      <c r="C60" s="43">
        <v>0</v>
      </c>
      <c r="D60" s="43">
        <v>0</v>
      </c>
      <c r="E60" s="43">
        <v>0</v>
      </c>
      <c r="F60" s="43">
        <v>0</v>
      </c>
      <c r="G60" s="43">
        <v>0</v>
      </c>
      <c r="H60" s="42">
        <f t="shared" si="20"/>
        <v>0</v>
      </c>
      <c r="I60" s="43">
        <v>0</v>
      </c>
      <c r="J60" s="43">
        <v>0</v>
      </c>
      <c r="K60" s="43">
        <v>0</v>
      </c>
      <c r="L60" s="45">
        <f t="shared" si="21"/>
        <v>0</v>
      </c>
      <c r="M60" s="7">
        <v>0</v>
      </c>
      <c r="N60" s="7">
        <v>0</v>
      </c>
      <c r="O60" s="7">
        <v>0</v>
      </c>
      <c r="P60" s="7">
        <v>0</v>
      </c>
      <c r="Q60" s="228"/>
    </row>
    <row r="61" spans="1:17" x14ac:dyDescent="0.25">
      <c r="A61" s="5" t="s">
        <v>1026</v>
      </c>
      <c r="B61" s="43">
        <v>0</v>
      </c>
      <c r="C61" s="43">
        <v>0</v>
      </c>
      <c r="D61" s="43">
        <v>0</v>
      </c>
      <c r="E61" s="43">
        <v>0</v>
      </c>
      <c r="F61" s="43">
        <v>0</v>
      </c>
      <c r="G61" s="43">
        <v>0</v>
      </c>
      <c r="H61" s="42">
        <f t="shared" si="20"/>
        <v>0</v>
      </c>
      <c r="I61" s="43">
        <v>0</v>
      </c>
      <c r="J61" s="43">
        <v>0</v>
      </c>
      <c r="K61" s="43">
        <v>0</v>
      </c>
      <c r="L61" s="45">
        <f t="shared" si="21"/>
        <v>0</v>
      </c>
      <c r="M61" s="7">
        <v>0</v>
      </c>
      <c r="N61" s="7">
        <v>0</v>
      </c>
      <c r="O61" s="7">
        <v>0</v>
      </c>
      <c r="P61" s="7">
        <v>0</v>
      </c>
      <c r="Q61" s="228"/>
    </row>
    <row r="62" spans="1:17" x14ac:dyDescent="0.25">
      <c r="A62" s="5" t="s">
        <v>1027</v>
      </c>
      <c r="B62" s="43">
        <v>0</v>
      </c>
      <c r="C62" s="43">
        <v>0</v>
      </c>
      <c r="D62" s="43">
        <v>0</v>
      </c>
      <c r="E62" s="43">
        <v>0</v>
      </c>
      <c r="F62" s="43">
        <v>0</v>
      </c>
      <c r="G62" s="43">
        <v>0</v>
      </c>
      <c r="H62" s="42">
        <f t="shared" si="20"/>
        <v>0</v>
      </c>
      <c r="I62" s="43">
        <v>0</v>
      </c>
      <c r="J62" s="43">
        <v>0</v>
      </c>
      <c r="K62" s="43">
        <v>0</v>
      </c>
      <c r="L62" s="45">
        <f t="shared" si="21"/>
        <v>0</v>
      </c>
      <c r="M62" s="7">
        <v>0</v>
      </c>
      <c r="N62" s="7">
        <v>0</v>
      </c>
      <c r="O62" s="7">
        <v>0</v>
      </c>
      <c r="P62" s="7">
        <v>0</v>
      </c>
      <c r="Q62" s="228"/>
    </row>
    <row r="63" spans="1:17" x14ac:dyDescent="0.25">
      <c r="A63" s="181" t="s">
        <v>507</v>
      </c>
      <c r="B63" s="42">
        <f t="shared" ref="B63" si="22">SUM(B54:B62)</f>
        <v>0</v>
      </c>
      <c r="C63" s="42">
        <f t="shared" ref="C63" si="23">SUM(C54:C62)</f>
        <v>0</v>
      </c>
      <c r="D63" s="42">
        <f t="shared" ref="D63" si="24">SUM(D54:D62)</f>
        <v>0</v>
      </c>
      <c r="E63" s="42">
        <f t="shared" ref="E63" si="25">SUM(E54:E62)</f>
        <v>0</v>
      </c>
      <c r="F63" s="42">
        <f t="shared" ref="F63" si="26">SUM(F54:F62)</f>
        <v>0</v>
      </c>
      <c r="G63" s="42">
        <f t="shared" ref="G63" si="27">SUM(G54:G62)</f>
        <v>0</v>
      </c>
      <c r="H63" s="42">
        <f>SUM(H54:H62)</f>
        <v>0</v>
      </c>
      <c r="I63" s="42">
        <f>SUM(I54:I62)</f>
        <v>0</v>
      </c>
      <c r="J63" s="42">
        <f t="shared" ref="J63" si="28">SUM(J54:J62)</f>
        <v>0</v>
      </c>
      <c r="K63" s="42">
        <f t="shared" ref="K63" si="29">SUM(K54:K62)</f>
        <v>0</v>
      </c>
      <c r="L63" s="42">
        <f>SUM(L54:L62)</f>
        <v>0</v>
      </c>
      <c r="M63" s="234">
        <f>SUM(M54:M62)</f>
        <v>0</v>
      </c>
      <c r="N63" s="234">
        <f>SUM(N54:N62)</f>
        <v>0</v>
      </c>
      <c r="O63" s="234">
        <f>SUM(O54:O62)</f>
        <v>0</v>
      </c>
      <c r="P63" s="234">
        <f>SUM(P54:P62)</f>
        <v>0</v>
      </c>
      <c r="Q63" s="229"/>
    </row>
    <row r="64" spans="1:17" x14ac:dyDescent="0.25">
      <c r="A64" s="181" t="s">
        <v>496</v>
      </c>
      <c r="B64" s="42">
        <f t="shared" ref="B64:G64" si="30">AVERAGE(B54:B62)</f>
        <v>0</v>
      </c>
      <c r="C64" s="42">
        <f t="shared" si="30"/>
        <v>0</v>
      </c>
      <c r="D64" s="42">
        <f t="shared" si="30"/>
        <v>0</v>
      </c>
      <c r="E64" s="42">
        <f t="shared" si="30"/>
        <v>0</v>
      </c>
      <c r="F64" s="42">
        <f t="shared" si="30"/>
        <v>0</v>
      </c>
      <c r="G64" s="42">
        <f t="shared" si="30"/>
        <v>0</v>
      </c>
      <c r="H64" s="42">
        <f>AVERAGE(H54:H62)</f>
        <v>0</v>
      </c>
      <c r="I64" s="42">
        <f>AVERAGE(I54:I62)</f>
        <v>0</v>
      </c>
      <c r="J64" s="42">
        <f t="shared" ref="J64:K64" si="31">AVERAGE(J54:J62)</f>
        <v>0</v>
      </c>
      <c r="K64" s="42">
        <f t="shared" si="31"/>
        <v>0</v>
      </c>
      <c r="L64" s="42">
        <f>AVERAGE(L54:L62)</f>
        <v>0</v>
      </c>
      <c r="M64" s="234">
        <f>AVERAGE(M54:M62)</f>
        <v>0</v>
      </c>
      <c r="N64" s="234">
        <f>AVERAGE(N54:N62)</f>
        <v>0</v>
      </c>
      <c r="O64" s="234">
        <f>AVERAGE(O54:O62)</f>
        <v>0</v>
      </c>
      <c r="P64" s="234">
        <f>AVERAGE(P54:P62)</f>
        <v>0</v>
      </c>
      <c r="Q64" s="230"/>
    </row>
    <row r="65" spans="1:17" ht="38.25" x14ac:dyDescent="0.25">
      <c r="A65" s="40" t="s">
        <v>508</v>
      </c>
      <c r="B65" s="42">
        <f>B64+I64</f>
        <v>0</v>
      </c>
      <c r="C65" s="42">
        <f>C64+I64</f>
        <v>0</v>
      </c>
      <c r="D65" s="42">
        <f>D64+I64</f>
        <v>0</v>
      </c>
      <c r="E65" s="42">
        <f>E64+I64</f>
        <v>0</v>
      </c>
      <c r="F65" s="42">
        <f>F64+I64</f>
        <v>0</v>
      </c>
      <c r="G65" s="42">
        <f>G64+I64</f>
        <v>0</v>
      </c>
      <c r="H65" s="42">
        <f>H64+I64</f>
        <v>0</v>
      </c>
      <c r="I65" s="462"/>
      <c r="J65" s="463"/>
      <c r="K65" s="463"/>
      <c r="L65" s="463"/>
      <c r="M65" s="463"/>
      <c r="N65" s="464"/>
      <c r="O65" s="6" t="s">
        <v>509</v>
      </c>
      <c r="P65" s="232" t="s">
        <v>510</v>
      </c>
      <c r="Q65" s="231"/>
    </row>
    <row r="66" spans="1:17" ht="18.75" x14ac:dyDescent="0.25">
      <c r="A66" s="466" t="s">
        <v>513</v>
      </c>
      <c r="B66" s="466"/>
      <c r="C66" s="466"/>
      <c r="D66" s="466"/>
      <c r="E66" s="466"/>
      <c r="F66" s="466"/>
      <c r="G66" s="466"/>
      <c r="H66" s="466"/>
      <c r="I66" s="466"/>
      <c r="J66" s="466"/>
      <c r="K66" s="466"/>
      <c r="L66" s="466"/>
      <c r="M66" s="466"/>
      <c r="N66" s="466"/>
      <c r="O66" s="466"/>
      <c r="P66" s="466"/>
      <c r="Q66" s="225"/>
    </row>
    <row r="67" spans="1:17" ht="15.75" customHeight="1" x14ac:dyDescent="0.25">
      <c r="A67" s="467" t="s">
        <v>694</v>
      </c>
      <c r="B67" s="468"/>
      <c r="C67" s="469"/>
      <c r="D67" s="470"/>
      <c r="E67" s="472"/>
      <c r="F67" s="4" t="s">
        <v>693</v>
      </c>
      <c r="G67" s="473"/>
      <c r="H67" s="474"/>
      <c r="I67" s="47" t="s">
        <v>695</v>
      </c>
      <c r="J67" s="470"/>
      <c r="K67" s="471"/>
      <c r="L67" s="472"/>
      <c r="M67" s="47" t="s">
        <v>492</v>
      </c>
      <c r="N67" s="458"/>
      <c r="O67" s="459"/>
      <c r="P67" s="460"/>
      <c r="Q67" s="226"/>
    </row>
    <row r="68" spans="1:17" ht="15" customHeight="1" x14ac:dyDescent="0.25">
      <c r="A68" s="486" t="s">
        <v>494</v>
      </c>
      <c r="B68" s="486" t="s">
        <v>495</v>
      </c>
      <c r="C68" s="486"/>
      <c r="D68" s="486"/>
      <c r="E68" s="486"/>
      <c r="F68" s="486"/>
      <c r="G68" s="486"/>
      <c r="H68" s="461" t="s">
        <v>496</v>
      </c>
      <c r="I68" s="461" t="s">
        <v>685</v>
      </c>
      <c r="J68" s="461" t="s">
        <v>497</v>
      </c>
      <c r="K68" s="461" t="s">
        <v>498</v>
      </c>
      <c r="L68" s="461" t="s">
        <v>499</v>
      </c>
      <c r="M68" s="461" t="s">
        <v>500</v>
      </c>
      <c r="N68" s="461" t="s">
        <v>501</v>
      </c>
      <c r="O68" s="461" t="s">
        <v>502</v>
      </c>
      <c r="P68" s="465" t="s">
        <v>503</v>
      </c>
      <c r="Q68" s="227"/>
    </row>
    <row r="69" spans="1:17" x14ac:dyDescent="0.25">
      <c r="A69" s="486"/>
      <c r="B69" s="41">
        <v>5</v>
      </c>
      <c r="C69" s="41">
        <v>10</v>
      </c>
      <c r="D69" s="41">
        <v>15</v>
      </c>
      <c r="E69" s="41">
        <v>20</v>
      </c>
      <c r="F69" s="41">
        <v>25</v>
      </c>
      <c r="G69" s="41">
        <v>30</v>
      </c>
      <c r="H69" s="461"/>
      <c r="I69" s="461"/>
      <c r="J69" s="461"/>
      <c r="K69" s="461"/>
      <c r="L69" s="461"/>
      <c r="M69" s="461"/>
      <c r="N69" s="461"/>
      <c r="O69" s="461"/>
      <c r="P69" s="465"/>
      <c r="Q69" s="227"/>
    </row>
    <row r="70" spans="1:17" x14ac:dyDescent="0.25">
      <c r="A70" s="5" t="s">
        <v>515</v>
      </c>
      <c r="B70" s="43">
        <v>0</v>
      </c>
      <c r="C70" s="43">
        <v>0</v>
      </c>
      <c r="D70" s="43">
        <v>0</v>
      </c>
      <c r="E70" s="43">
        <v>0</v>
      </c>
      <c r="F70" s="43">
        <v>0</v>
      </c>
      <c r="G70" s="43">
        <v>0</v>
      </c>
      <c r="H70" s="42">
        <f t="shared" ref="H70:H78" si="32">AVERAGE(B70:G70)</f>
        <v>0</v>
      </c>
      <c r="I70" s="43">
        <v>0</v>
      </c>
      <c r="J70" s="43">
        <v>0</v>
      </c>
      <c r="K70" s="43">
        <v>0</v>
      </c>
      <c r="L70" s="45">
        <f t="shared" ref="L70:L78" si="33">J70-K70</f>
        <v>0</v>
      </c>
      <c r="M70" s="7">
        <v>0</v>
      </c>
      <c r="N70" s="7">
        <v>0</v>
      </c>
      <c r="O70" s="7">
        <v>0</v>
      </c>
      <c r="P70" s="7">
        <v>0</v>
      </c>
      <c r="Q70" s="228"/>
    </row>
    <row r="71" spans="1:17" x14ac:dyDescent="0.25">
      <c r="A71" s="5" t="s">
        <v>516</v>
      </c>
      <c r="B71" s="43">
        <v>0</v>
      </c>
      <c r="C71" s="43">
        <v>0</v>
      </c>
      <c r="D71" s="43">
        <v>0</v>
      </c>
      <c r="E71" s="43">
        <v>0</v>
      </c>
      <c r="F71" s="43">
        <v>0</v>
      </c>
      <c r="G71" s="43">
        <v>0</v>
      </c>
      <c r="H71" s="42">
        <f t="shared" si="32"/>
        <v>0</v>
      </c>
      <c r="I71" s="43">
        <v>0</v>
      </c>
      <c r="J71" s="43">
        <v>0</v>
      </c>
      <c r="K71" s="43">
        <v>0</v>
      </c>
      <c r="L71" s="45">
        <f t="shared" si="33"/>
        <v>0</v>
      </c>
      <c r="M71" s="7">
        <v>0</v>
      </c>
      <c r="N71" s="7">
        <v>0</v>
      </c>
      <c r="O71" s="7">
        <v>0</v>
      </c>
      <c r="P71" s="7">
        <v>0</v>
      </c>
      <c r="Q71" s="228"/>
    </row>
    <row r="72" spans="1:17" x14ac:dyDescent="0.25">
      <c r="A72" s="5" t="s">
        <v>517</v>
      </c>
      <c r="B72" s="43">
        <v>0</v>
      </c>
      <c r="C72" s="43">
        <v>0</v>
      </c>
      <c r="D72" s="43">
        <v>0</v>
      </c>
      <c r="E72" s="43">
        <v>0</v>
      </c>
      <c r="F72" s="43">
        <v>0</v>
      </c>
      <c r="G72" s="43">
        <v>0</v>
      </c>
      <c r="H72" s="42">
        <f t="shared" si="32"/>
        <v>0</v>
      </c>
      <c r="I72" s="43">
        <v>0</v>
      </c>
      <c r="J72" s="43">
        <v>0</v>
      </c>
      <c r="K72" s="43">
        <v>0</v>
      </c>
      <c r="L72" s="45">
        <f t="shared" si="33"/>
        <v>0</v>
      </c>
      <c r="M72" s="7">
        <v>0</v>
      </c>
      <c r="N72" s="7">
        <v>0</v>
      </c>
      <c r="O72" s="7">
        <v>0</v>
      </c>
      <c r="P72" s="7">
        <v>0</v>
      </c>
      <c r="Q72" s="228"/>
    </row>
    <row r="73" spans="1:17" x14ac:dyDescent="0.25">
      <c r="A73" s="5" t="s">
        <v>504</v>
      </c>
      <c r="B73" s="43">
        <v>0</v>
      </c>
      <c r="C73" s="43">
        <v>0</v>
      </c>
      <c r="D73" s="43">
        <v>0</v>
      </c>
      <c r="E73" s="43">
        <v>0</v>
      </c>
      <c r="F73" s="43">
        <v>0</v>
      </c>
      <c r="G73" s="43">
        <v>0</v>
      </c>
      <c r="H73" s="42">
        <f t="shared" si="32"/>
        <v>0</v>
      </c>
      <c r="I73" s="43">
        <v>0</v>
      </c>
      <c r="J73" s="43">
        <v>0</v>
      </c>
      <c r="K73" s="43">
        <v>0</v>
      </c>
      <c r="L73" s="45">
        <f t="shared" si="33"/>
        <v>0</v>
      </c>
      <c r="M73" s="7">
        <v>0</v>
      </c>
      <c r="N73" s="7">
        <v>0</v>
      </c>
      <c r="O73" s="7">
        <v>0</v>
      </c>
      <c r="P73" s="7">
        <v>0</v>
      </c>
      <c r="Q73" s="228"/>
    </row>
    <row r="74" spans="1:17" x14ac:dyDescent="0.25">
      <c r="A74" s="5" t="s">
        <v>505</v>
      </c>
      <c r="B74" s="43">
        <v>0</v>
      </c>
      <c r="C74" s="43">
        <v>0</v>
      </c>
      <c r="D74" s="43">
        <v>0</v>
      </c>
      <c r="E74" s="43">
        <v>0</v>
      </c>
      <c r="F74" s="43">
        <v>0</v>
      </c>
      <c r="G74" s="43">
        <v>0</v>
      </c>
      <c r="H74" s="42">
        <f t="shared" si="32"/>
        <v>0</v>
      </c>
      <c r="I74" s="43">
        <v>0</v>
      </c>
      <c r="J74" s="43">
        <v>0</v>
      </c>
      <c r="K74" s="43">
        <v>0</v>
      </c>
      <c r="L74" s="45">
        <f t="shared" si="33"/>
        <v>0</v>
      </c>
      <c r="M74" s="7">
        <v>0</v>
      </c>
      <c r="N74" s="7">
        <v>0</v>
      </c>
      <c r="O74" s="7">
        <v>0</v>
      </c>
      <c r="P74" s="7">
        <v>0</v>
      </c>
      <c r="Q74" s="228"/>
    </row>
    <row r="75" spans="1:17" x14ac:dyDescent="0.25">
      <c r="A75" s="5" t="s">
        <v>506</v>
      </c>
      <c r="B75" s="43">
        <v>0</v>
      </c>
      <c r="C75" s="43">
        <v>0</v>
      </c>
      <c r="D75" s="43">
        <v>0</v>
      </c>
      <c r="E75" s="43">
        <v>0</v>
      </c>
      <c r="F75" s="43">
        <v>0</v>
      </c>
      <c r="G75" s="43">
        <v>0</v>
      </c>
      <c r="H75" s="42">
        <f t="shared" si="32"/>
        <v>0</v>
      </c>
      <c r="I75" s="43">
        <v>0</v>
      </c>
      <c r="J75" s="43">
        <v>0</v>
      </c>
      <c r="K75" s="43">
        <v>0</v>
      </c>
      <c r="L75" s="45">
        <f t="shared" si="33"/>
        <v>0</v>
      </c>
      <c r="M75" s="7">
        <v>0</v>
      </c>
      <c r="N75" s="7">
        <v>0</v>
      </c>
      <c r="O75" s="7">
        <v>0</v>
      </c>
      <c r="P75" s="7">
        <v>0</v>
      </c>
      <c r="Q75" s="228"/>
    </row>
    <row r="76" spans="1:17" x14ac:dyDescent="0.25">
      <c r="A76" s="5" t="s">
        <v>546</v>
      </c>
      <c r="B76" s="43">
        <v>0</v>
      </c>
      <c r="C76" s="43">
        <v>0</v>
      </c>
      <c r="D76" s="43">
        <v>0</v>
      </c>
      <c r="E76" s="43">
        <v>0</v>
      </c>
      <c r="F76" s="43">
        <v>0</v>
      </c>
      <c r="G76" s="43">
        <v>0</v>
      </c>
      <c r="H76" s="42">
        <f t="shared" si="32"/>
        <v>0</v>
      </c>
      <c r="I76" s="43">
        <v>0</v>
      </c>
      <c r="J76" s="43">
        <v>0</v>
      </c>
      <c r="K76" s="43">
        <v>0</v>
      </c>
      <c r="L76" s="45">
        <f t="shared" si="33"/>
        <v>0</v>
      </c>
      <c r="M76" s="7">
        <v>0</v>
      </c>
      <c r="N76" s="7">
        <v>0</v>
      </c>
      <c r="O76" s="7">
        <v>0</v>
      </c>
      <c r="P76" s="7">
        <v>0</v>
      </c>
      <c r="Q76" s="228"/>
    </row>
    <row r="77" spans="1:17" x14ac:dyDescent="0.25">
      <c r="A77" s="5" t="s">
        <v>548</v>
      </c>
      <c r="B77" s="43">
        <v>0</v>
      </c>
      <c r="C77" s="43">
        <v>0</v>
      </c>
      <c r="D77" s="43">
        <v>0</v>
      </c>
      <c r="E77" s="43">
        <v>0</v>
      </c>
      <c r="F77" s="43">
        <v>0</v>
      </c>
      <c r="G77" s="43">
        <v>0</v>
      </c>
      <c r="H77" s="42">
        <f t="shared" si="32"/>
        <v>0</v>
      </c>
      <c r="I77" s="43">
        <v>0</v>
      </c>
      <c r="J77" s="43">
        <v>0</v>
      </c>
      <c r="K77" s="43">
        <v>0</v>
      </c>
      <c r="L77" s="45">
        <f t="shared" si="33"/>
        <v>0</v>
      </c>
      <c r="M77" s="7">
        <v>0</v>
      </c>
      <c r="N77" s="7">
        <v>0</v>
      </c>
      <c r="O77" s="7">
        <v>0</v>
      </c>
      <c r="P77" s="7">
        <v>0</v>
      </c>
      <c r="Q77" s="228"/>
    </row>
    <row r="78" spans="1:17" x14ac:dyDescent="0.25">
      <c r="A78" s="5" t="s">
        <v>550</v>
      </c>
      <c r="B78" s="43">
        <v>0</v>
      </c>
      <c r="C78" s="43">
        <v>0</v>
      </c>
      <c r="D78" s="43">
        <v>0</v>
      </c>
      <c r="E78" s="43">
        <v>0</v>
      </c>
      <c r="F78" s="43">
        <v>0</v>
      </c>
      <c r="G78" s="43">
        <v>0</v>
      </c>
      <c r="H78" s="42">
        <f t="shared" si="32"/>
        <v>0</v>
      </c>
      <c r="I78" s="43">
        <v>0</v>
      </c>
      <c r="J78" s="43">
        <v>0</v>
      </c>
      <c r="K78" s="43">
        <v>0</v>
      </c>
      <c r="L78" s="45">
        <f t="shared" si="33"/>
        <v>0</v>
      </c>
      <c r="M78" s="7">
        <v>0</v>
      </c>
      <c r="N78" s="7">
        <v>0</v>
      </c>
      <c r="O78" s="7">
        <v>0</v>
      </c>
      <c r="P78" s="7">
        <v>0</v>
      </c>
      <c r="Q78" s="228"/>
    </row>
    <row r="79" spans="1:17" x14ac:dyDescent="0.25">
      <c r="A79" s="181" t="s">
        <v>507</v>
      </c>
      <c r="B79" s="42">
        <f t="shared" ref="B79" si="34">SUM(B70:B78)</f>
        <v>0</v>
      </c>
      <c r="C79" s="42">
        <f t="shared" ref="C79" si="35">SUM(C70:C78)</f>
        <v>0</v>
      </c>
      <c r="D79" s="42">
        <f t="shared" ref="D79" si="36">SUM(D70:D78)</f>
        <v>0</v>
      </c>
      <c r="E79" s="42">
        <f t="shared" ref="E79" si="37">SUM(E70:E78)</f>
        <v>0</v>
      </c>
      <c r="F79" s="42">
        <f t="shared" ref="F79" si="38">SUM(F70:F78)</f>
        <v>0</v>
      </c>
      <c r="G79" s="42">
        <f t="shared" ref="G79" si="39">SUM(G70:G78)</f>
        <v>0</v>
      </c>
      <c r="H79" s="42">
        <f>SUM(H70:H78)</f>
        <v>0</v>
      </c>
      <c r="I79" s="42">
        <f>SUM(I70:I78)</f>
        <v>0</v>
      </c>
      <c r="J79" s="42">
        <f t="shared" ref="J79" si="40">SUM(J70:J78)</f>
        <v>0</v>
      </c>
      <c r="K79" s="42">
        <f t="shared" ref="K79" si="41">SUM(K70:K78)</f>
        <v>0</v>
      </c>
      <c r="L79" s="42">
        <f>SUM(L70:L78)</f>
        <v>0</v>
      </c>
      <c r="M79" s="234">
        <f>SUM(M70:M78)</f>
        <v>0</v>
      </c>
      <c r="N79" s="234">
        <f>SUM(N70:N78)</f>
        <v>0</v>
      </c>
      <c r="O79" s="234">
        <f>SUM(O70:O78)</f>
        <v>0</v>
      </c>
      <c r="P79" s="234">
        <f>SUM(P70:P78)</f>
        <v>0</v>
      </c>
      <c r="Q79" s="229"/>
    </row>
    <row r="80" spans="1:17" x14ac:dyDescent="0.25">
      <c r="A80" s="181" t="s">
        <v>496</v>
      </c>
      <c r="B80" s="42">
        <f t="shared" ref="B80:G80" si="42">AVERAGE(B70:B78)</f>
        <v>0</v>
      </c>
      <c r="C80" s="42">
        <f t="shared" si="42"/>
        <v>0</v>
      </c>
      <c r="D80" s="42">
        <f t="shared" si="42"/>
        <v>0</v>
      </c>
      <c r="E80" s="42">
        <f t="shared" si="42"/>
        <v>0</v>
      </c>
      <c r="F80" s="42">
        <f t="shared" si="42"/>
        <v>0</v>
      </c>
      <c r="G80" s="42">
        <f t="shared" si="42"/>
        <v>0</v>
      </c>
      <c r="H80" s="42">
        <f>AVERAGE(H70:H78)</f>
        <v>0</v>
      </c>
      <c r="I80" s="42">
        <f>AVERAGE(I70:I78)</f>
        <v>0</v>
      </c>
      <c r="J80" s="42">
        <f t="shared" ref="J80:K80" si="43">AVERAGE(J70:J78)</f>
        <v>0</v>
      </c>
      <c r="K80" s="42">
        <f t="shared" si="43"/>
        <v>0</v>
      </c>
      <c r="L80" s="42">
        <f>AVERAGE(L70:L78)</f>
        <v>0</v>
      </c>
      <c r="M80" s="234">
        <f>AVERAGE(M70:M78)</f>
        <v>0</v>
      </c>
      <c r="N80" s="234">
        <f>AVERAGE(N70:N78)</f>
        <v>0</v>
      </c>
      <c r="O80" s="234">
        <f>AVERAGE(O70:O78)</f>
        <v>0</v>
      </c>
      <c r="P80" s="234">
        <f>AVERAGE(P70:P78)</f>
        <v>0</v>
      </c>
      <c r="Q80" s="230"/>
    </row>
    <row r="81" spans="1:17" ht="38.25" x14ac:dyDescent="0.25">
      <c r="A81" s="40" t="s">
        <v>508</v>
      </c>
      <c r="B81" s="42">
        <f>B80+I80</f>
        <v>0</v>
      </c>
      <c r="C81" s="42">
        <f>C80+I80</f>
        <v>0</v>
      </c>
      <c r="D81" s="42">
        <f>D80+I80</f>
        <v>0</v>
      </c>
      <c r="E81" s="42">
        <f>E80+I80</f>
        <v>0</v>
      </c>
      <c r="F81" s="42">
        <f>F80+I80</f>
        <v>0</v>
      </c>
      <c r="G81" s="42">
        <f>G80+I80</f>
        <v>0</v>
      </c>
      <c r="H81" s="42">
        <f>H80+I80</f>
        <v>0</v>
      </c>
      <c r="I81" s="462"/>
      <c r="J81" s="463"/>
      <c r="K81" s="463"/>
      <c r="L81" s="463"/>
      <c r="M81" s="463"/>
      <c r="N81" s="464"/>
      <c r="O81" s="6" t="s">
        <v>509</v>
      </c>
      <c r="P81" s="232" t="s">
        <v>510</v>
      </c>
      <c r="Q81" s="231"/>
    </row>
    <row r="82" spans="1:17" ht="18.75" x14ac:dyDescent="0.25">
      <c r="A82" s="466" t="s">
        <v>514</v>
      </c>
      <c r="B82" s="466"/>
      <c r="C82" s="466"/>
      <c r="D82" s="466"/>
      <c r="E82" s="466"/>
      <c r="F82" s="466"/>
      <c r="G82" s="466"/>
      <c r="H82" s="466"/>
      <c r="I82" s="466"/>
      <c r="J82" s="466"/>
      <c r="K82" s="466"/>
      <c r="L82" s="466"/>
      <c r="M82" s="466"/>
      <c r="N82" s="466"/>
      <c r="O82" s="466"/>
      <c r="P82" s="466"/>
      <c r="Q82" s="225"/>
    </row>
    <row r="83" spans="1:17" ht="15.75" customHeight="1" x14ac:dyDescent="0.25">
      <c r="A83" s="467" t="s">
        <v>694</v>
      </c>
      <c r="B83" s="468"/>
      <c r="C83" s="469"/>
      <c r="D83" s="470"/>
      <c r="E83" s="472"/>
      <c r="F83" s="4" t="s">
        <v>693</v>
      </c>
      <c r="G83" s="473"/>
      <c r="H83" s="474"/>
      <c r="I83" s="47" t="s">
        <v>695</v>
      </c>
      <c r="J83" s="470"/>
      <c r="K83" s="471"/>
      <c r="L83" s="472"/>
      <c r="M83" s="47" t="s">
        <v>492</v>
      </c>
      <c r="N83" s="458"/>
      <c r="O83" s="459"/>
      <c r="P83" s="460"/>
      <c r="Q83" s="226"/>
    </row>
    <row r="84" spans="1:17" ht="15" customHeight="1" x14ac:dyDescent="0.25">
      <c r="A84" s="486" t="s">
        <v>494</v>
      </c>
      <c r="B84" s="486" t="s">
        <v>495</v>
      </c>
      <c r="C84" s="486"/>
      <c r="D84" s="486"/>
      <c r="E84" s="486"/>
      <c r="F84" s="486"/>
      <c r="G84" s="486"/>
      <c r="H84" s="461" t="s">
        <v>496</v>
      </c>
      <c r="I84" s="461" t="s">
        <v>685</v>
      </c>
      <c r="J84" s="461" t="s">
        <v>497</v>
      </c>
      <c r="K84" s="461" t="s">
        <v>498</v>
      </c>
      <c r="L84" s="461" t="s">
        <v>499</v>
      </c>
      <c r="M84" s="461" t="s">
        <v>500</v>
      </c>
      <c r="N84" s="461" t="s">
        <v>501</v>
      </c>
      <c r="O84" s="461" t="s">
        <v>502</v>
      </c>
      <c r="P84" s="465" t="s">
        <v>503</v>
      </c>
      <c r="Q84" s="227"/>
    </row>
    <row r="85" spans="1:17" x14ac:dyDescent="0.25">
      <c r="A85" s="486"/>
      <c r="B85" s="41">
        <v>5</v>
      </c>
      <c r="C85" s="41">
        <v>10</v>
      </c>
      <c r="D85" s="41">
        <v>15</v>
      </c>
      <c r="E85" s="41">
        <v>20</v>
      </c>
      <c r="F85" s="41">
        <v>25</v>
      </c>
      <c r="G85" s="41">
        <v>30</v>
      </c>
      <c r="H85" s="461"/>
      <c r="I85" s="461"/>
      <c r="J85" s="461"/>
      <c r="K85" s="461"/>
      <c r="L85" s="461"/>
      <c r="M85" s="461"/>
      <c r="N85" s="461"/>
      <c r="O85" s="461"/>
      <c r="P85" s="465"/>
      <c r="Q85" s="227"/>
    </row>
    <row r="86" spans="1:17" x14ac:dyDescent="0.25">
      <c r="A86" s="5" t="s">
        <v>515</v>
      </c>
      <c r="B86" s="43">
        <v>0</v>
      </c>
      <c r="C86" s="43">
        <v>0</v>
      </c>
      <c r="D86" s="43">
        <v>0</v>
      </c>
      <c r="E86" s="43">
        <v>0</v>
      </c>
      <c r="F86" s="43">
        <v>0</v>
      </c>
      <c r="G86" s="43">
        <v>0</v>
      </c>
      <c r="H86" s="42">
        <f t="shared" ref="H86:H94" si="44">AVERAGE(B86:G86)</f>
        <v>0</v>
      </c>
      <c r="I86" s="43">
        <v>0</v>
      </c>
      <c r="J86" s="43">
        <v>0</v>
      </c>
      <c r="K86" s="43">
        <v>0</v>
      </c>
      <c r="L86" s="45">
        <f t="shared" ref="L86:L94" si="45">J86-K86</f>
        <v>0</v>
      </c>
      <c r="M86" s="7">
        <v>0</v>
      </c>
      <c r="N86" s="7">
        <v>0</v>
      </c>
      <c r="O86" s="7">
        <v>0</v>
      </c>
      <c r="P86" s="7">
        <v>0</v>
      </c>
      <c r="Q86" s="228"/>
    </row>
    <row r="87" spans="1:17" x14ac:dyDescent="0.25">
      <c r="A87" s="5" t="s">
        <v>516</v>
      </c>
      <c r="B87" s="43">
        <v>0</v>
      </c>
      <c r="C87" s="43">
        <v>0</v>
      </c>
      <c r="D87" s="43">
        <v>0</v>
      </c>
      <c r="E87" s="43">
        <v>0</v>
      </c>
      <c r="F87" s="43">
        <v>0</v>
      </c>
      <c r="G87" s="43">
        <v>0</v>
      </c>
      <c r="H87" s="42">
        <f t="shared" si="44"/>
        <v>0</v>
      </c>
      <c r="I87" s="43">
        <v>0</v>
      </c>
      <c r="J87" s="43">
        <v>0</v>
      </c>
      <c r="K87" s="43">
        <v>0</v>
      </c>
      <c r="L87" s="45">
        <f t="shared" si="45"/>
        <v>0</v>
      </c>
      <c r="M87" s="7">
        <v>0</v>
      </c>
      <c r="N87" s="7">
        <v>0</v>
      </c>
      <c r="O87" s="7">
        <v>0</v>
      </c>
      <c r="P87" s="7">
        <v>0</v>
      </c>
      <c r="Q87" s="228"/>
    </row>
    <row r="88" spans="1:17" x14ac:dyDescent="0.25">
      <c r="A88" s="5" t="s">
        <v>517</v>
      </c>
      <c r="B88" s="43">
        <v>0</v>
      </c>
      <c r="C88" s="43">
        <v>0</v>
      </c>
      <c r="D88" s="43">
        <v>0</v>
      </c>
      <c r="E88" s="43">
        <v>0</v>
      </c>
      <c r="F88" s="43">
        <v>0</v>
      </c>
      <c r="G88" s="43">
        <v>0</v>
      </c>
      <c r="H88" s="42">
        <f t="shared" si="44"/>
        <v>0</v>
      </c>
      <c r="I88" s="43">
        <v>0</v>
      </c>
      <c r="J88" s="43">
        <v>0</v>
      </c>
      <c r="K88" s="43">
        <v>0</v>
      </c>
      <c r="L88" s="45">
        <f t="shared" si="45"/>
        <v>0</v>
      </c>
      <c r="M88" s="7">
        <v>0</v>
      </c>
      <c r="N88" s="7">
        <v>0</v>
      </c>
      <c r="O88" s="7">
        <v>0</v>
      </c>
      <c r="P88" s="7">
        <v>0</v>
      </c>
      <c r="Q88" s="228"/>
    </row>
    <row r="89" spans="1:17" x14ac:dyDescent="0.25">
      <c r="A89" s="5" t="s">
        <v>504</v>
      </c>
      <c r="B89" s="43">
        <v>0</v>
      </c>
      <c r="C89" s="43">
        <v>0</v>
      </c>
      <c r="D89" s="43">
        <v>0</v>
      </c>
      <c r="E89" s="43">
        <v>0</v>
      </c>
      <c r="F89" s="43">
        <v>0</v>
      </c>
      <c r="G89" s="43">
        <v>0</v>
      </c>
      <c r="H89" s="42">
        <f t="shared" si="44"/>
        <v>0</v>
      </c>
      <c r="I89" s="43">
        <v>0</v>
      </c>
      <c r="J89" s="43">
        <v>0</v>
      </c>
      <c r="K89" s="43">
        <v>0</v>
      </c>
      <c r="L89" s="45">
        <f t="shared" si="45"/>
        <v>0</v>
      </c>
      <c r="M89" s="7">
        <v>0</v>
      </c>
      <c r="N89" s="7">
        <v>0</v>
      </c>
      <c r="O89" s="7">
        <v>0</v>
      </c>
      <c r="P89" s="7">
        <v>0</v>
      </c>
      <c r="Q89" s="228"/>
    </row>
    <row r="90" spans="1:17" x14ac:dyDescent="0.25">
      <c r="A90" s="5" t="s">
        <v>505</v>
      </c>
      <c r="B90" s="43">
        <v>0</v>
      </c>
      <c r="C90" s="43">
        <v>0</v>
      </c>
      <c r="D90" s="43">
        <v>0</v>
      </c>
      <c r="E90" s="43">
        <v>0</v>
      </c>
      <c r="F90" s="43">
        <v>0</v>
      </c>
      <c r="G90" s="43">
        <v>0</v>
      </c>
      <c r="H90" s="42">
        <f t="shared" si="44"/>
        <v>0</v>
      </c>
      <c r="I90" s="43">
        <v>0</v>
      </c>
      <c r="J90" s="43">
        <v>0</v>
      </c>
      <c r="K90" s="43">
        <v>0</v>
      </c>
      <c r="L90" s="45">
        <f t="shared" si="45"/>
        <v>0</v>
      </c>
      <c r="M90" s="7">
        <v>0</v>
      </c>
      <c r="N90" s="7">
        <v>0</v>
      </c>
      <c r="O90" s="7">
        <v>0</v>
      </c>
      <c r="P90" s="7">
        <v>0</v>
      </c>
      <c r="Q90" s="228"/>
    </row>
    <row r="91" spans="1:17" x14ac:dyDescent="0.25">
      <c r="A91" s="5" t="s">
        <v>506</v>
      </c>
      <c r="B91" s="43">
        <v>0</v>
      </c>
      <c r="C91" s="43">
        <v>0</v>
      </c>
      <c r="D91" s="43">
        <v>0</v>
      </c>
      <c r="E91" s="43">
        <v>0</v>
      </c>
      <c r="F91" s="43">
        <v>0</v>
      </c>
      <c r="G91" s="43">
        <v>0</v>
      </c>
      <c r="H91" s="42">
        <f t="shared" si="44"/>
        <v>0</v>
      </c>
      <c r="I91" s="43">
        <v>0</v>
      </c>
      <c r="J91" s="43">
        <v>0</v>
      </c>
      <c r="K91" s="43">
        <v>0</v>
      </c>
      <c r="L91" s="45">
        <f t="shared" si="45"/>
        <v>0</v>
      </c>
      <c r="M91" s="7">
        <v>0</v>
      </c>
      <c r="N91" s="7">
        <v>0</v>
      </c>
      <c r="O91" s="7">
        <v>0</v>
      </c>
      <c r="P91" s="7">
        <v>0</v>
      </c>
      <c r="Q91" s="228"/>
    </row>
    <row r="92" spans="1:17" x14ac:dyDescent="0.25">
      <c r="A92" s="5" t="s">
        <v>546</v>
      </c>
      <c r="B92" s="43">
        <v>0</v>
      </c>
      <c r="C92" s="43">
        <v>0</v>
      </c>
      <c r="D92" s="43">
        <v>0</v>
      </c>
      <c r="E92" s="43">
        <v>0</v>
      </c>
      <c r="F92" s="43">
        <v>0</v>
      </c>
      <c r="G92" s="43">
        <v>0</v>
      </c>
      <c r="H92" s="42">
        <f t="shared" si="44"/>
        <v>0</v>
      </c>
      <c r="I92" s="43">
        <v>0</v>
      </c>
      <c r="J92" s="43">
        <v>0</v>
      </c>
      <c r="K92" s="43">
        <v>0</v>
      </c>
      <c r="L92" s="45">
        <f t="shared" si="45"/>
        <v>0</v>
      </c>
      <c r="M92" s="7">
        <v>0</v>
      </c>
      <c r="N92" s="7">
        <v>0</v>
      </c>
      <c r="O92" s="7">
        <v>0</v>
      </c>
      <c r="P92" s="7">
        <v>0</v>
      </c>
      <c r="Q92" s="228"/>
    </row>
    <row r="93" spans="1:17" x14ac:dyDescent="0.25">
      <c r="A93" s="5" t="s">
        <v>548</v>
      </c>
      <c r="B93" s="43">
        <v>0</v>
      </c>
      <c r="C93" s="43">
        <v>0</v>
      </c>
      <c r="D93" s="43">
        <v>0</v>
      </c>
      <c r="E93" s="43">
        <v>0</v>
      </c>
      <c r="F93" s="43">
        <v>0</v>
      </c>
      <c r="G93" s="43">
        <v>0</v>
      </c>
      <c r="H93" s="42">
        <f t="shared" si="44"/>
        <v>0</v>
      </c>
      <c r="I93" s="43">
        <v>0</v>
      </c>
      <c r="J93" s="43">
        <v>0</v>
      </c>
      <c r="K93" s="43">
        <v>0</v>
      </c>
      <c r="L93" s="45">
        <f t="shared" si="45"/>
        <v>0</v>
      </c>
      <c r="M93" s="7">
        <v>0</v>
      </c>
      <c r="N93" s="7">
        <v>0</v>
      </c>
      <c r="O93" s="7">
        <v>0</v>
      </c>
      <c r="P93" s="7">
        <v>0</v>
      </c>
      <c r="Q93" s="228"/>
    </row>
    <row r="94" spans="1:17" x14ac:dyDescent="0.25">
      <c r="A94" s="5" t="s">
        <v>550</v>
      </c>
      <c r="B94" s="43">
        <v>0</v>
      </c>
      <c r="C94" s="43">
        <v>0</v>
      </c>
      <c r="D94" s="43">
        <v>0</v>
      </c>
      <c r="E94" s="43">
        <v>0</v>
      </c>
      <c r="F94" s="43">
        <v>0</v>
      </c>
      <c r="G94" s="43">
        <v>0</v>
      </c>
      <c r="H94" s="42">
        <f t="shared" si="44"/>
        <v>0</v>
      </c>
      <c r="I94" s="43">
        <v>0</v>
      </c>
      <c r="J94" s="43">
        <v>0</v>
      </c>
      <c r="K94" s="43">
        <v>0</v>
      </c>
      <c r="L94" s="45">
        <f t="shared" si="45"/>
        <v>0</v>
      </c>
      <c r="M94" s="7">
        <v>0</v>
      </c>
      <c r="N94" s="7">
        <v>0</v>
      </c>
      <c r="O94" s="7">
        <v>0</v>
      </c>
      <c r="P94" s="7">
        <v>0</v>
      </c>
      <c r="Q94" s="228"/>
    </row>
    <row r="95" spans="1:17" ht="18" customHeight="1" x14ac:dyDescent="0.25">
      <c r="A95" s="181" t="s">
        <v>507</v>
      </c>
      <c r="B95" s="42">
        <f t="shared" ref="B95" si="46">SUM(B86:B94)</f>
        <v>0</v>
      </c>
      <c r="C95" s="42">
        <f t="shared" ref="C95" si="47">SUM(C86:C94)</f>
        <v>0</v>
      </c>
      <c r="D95" s="42">
        <f t="shared" ref="D95" si="48">SUM(D86:D94)</f>
        <v>0</v>
      </c>
      <c r="E95" s="42">
        <f t="shared" ref="E95" si="49">SUM(E86:E94)</f>
        <v>0</v>
      </c>
      <c r="F95" s="42">
        <f t="shared" ref="F95" si="50">SUM(F86:F94)</f>
        <v>0</v>
      </c>
      <c r="G95" s="42">
        <f t="shared" ref="G95" si="51">SUM(G86:G94)</f>
        <v>0</v>
      </c>
      <c r="H95" s="42">
        <f>SUM(H86:H94)</f>
        <v>0</v>
      </c>
      <c r="I95" s="42">
        <f>SUM(I86:I94)</f>
        <v>0</v>
      </c>
      <c r="J95" s="42">
        <f t="shared" ref="J95" si="52">SUM(J86:J94)</f>
        <v>0</v>
      </c>
      <c r="K95" s="42">
        <f t="shared" ref="K95" si="53">SUM(K86:K94)</f>
        <v>0</v>
      </c>
      <c r="L95" s="42">
        <f>SUM(L86:L94)</f>
        <v>0</v>
      </c>
      <c r="M95" s="234">
        <f>SUM(M86:M94)</f>
        <v>0</v>
      </c>
      <c r="N95" s="234">
        <f>SUM(N86:N94)</f>
        <v>0</v>
      </c>
      <c r="O95" s="234">
        <f>SUM(O86:O94)</f>
        <v>0</v>
      </c>
      <c r="P95" s="234">
        <f>SUM(P86:P94)</f>
        <v>0</v>
      </c>
      <c r="Q95" s="229"/>
    </row>
    <row r="96" spans="1:17" ht="25.5" customHeight="1" x14ac:dyDescent="0.25">
      <c r="A96" s="181" t="s">
        <v>496</v>
      </c>
      <c r="B96" s="42">
        <f t="shared" ref="B96:G96" si="54">AVERAGE(B86:B94)</f>
        <v>0</v>
      </c>
      <c r="C96" s="42">
        <f t="shared" si="54"/>
        <v>0</v>
      </c>
      <c r="D96" s="42">
        <f t="shared" si="54"/>
        <v>0</v>
      </c>
      <c r="E96" s="42">
        <f t="shared" si="54"/>
        <v>0</v>
      </c>
      <c r="F96" s="42">
        <f t="shared" si="54"/>
        <v>0</v>
      </c>
      <c r="G96" s="42">
        <f t="shared" si="54"/>
        <v>0</v>
      </c>
      <c r="H96" s="42">
        <f>AVERAGE(H86:H94)</f>
        <v>0</v>
      </c>
      <c r="I96" s="42">
        <f>AVERAGE(I86:I94)</f>
        <v>0</v>
      </c>
      <c r="J96" s="42">
        <f t="shared" ref="J96:K96" si="55">AVERAGE(J86:J94)</f>
        <v>0</v>
      </c>
      <c r="K96" s="42">
        <f t="shared" si="55"/>
        <v>0</v>
      </c>
      <c r="L96" s="42">
        <f>AVERAGE(L86:L94)</f>
        <v>0</v>
      </c>
      <c r="M96" s="234">
        <f>AVERAGE(M86:M94)</f>
        <v>0</v>
      </c>
      <c r="N96" s="234">
        <f>AVERAGE(N86:N94)</f>
        <v>0</v>
      </c>
      <c r="O96" s="234">
        <f>AVERAGE(O86:O94)</f>
        <v>0</v>
      </c>
      <c r="P96" s="234">
        <f>AVERAGE(P86:P94)</f>
        <v>0</v>
      </c>
      <c r="Q96" s="230"/>
    </row>
    <row r="97" spans="1:17" ht="24.75" customHeight="1" x14ac:dyDescent="0.25">
      <c r="A97" s="40" t="s">
        <v>508</v>
      </c>
      <c r="B97" s="42">
        <f>B96+I96</f>
        <v>0</v>
      </c>
      <c r="C97" s="42">
        <f>C96+I96</f>
        <v>0</v>
      </c>
      <c r="D97" s="42">
        <f>D96+I96</f>
        <v>0</v>
      </c>
      <c r="E97" s="42">
        <f>E96+I96</f>
        <v>0</v>
      </c>
      <c r="F97" s="42">
        <f>F96+I96</f>
        <v>0</v>
      </c>
      <c r="G97" s="42">
        <f>G96+I96</f>
        <v>0</v>
      </c>
      <c r="H97" s="42">
        <f>H96+I96</f>
        <v>0</v>
      </c>
      <c r="I97" s="462"/>
      <c r="J97" s="463"/>
      <c r="K97" s="463"/>
      <c r="L97" s="463"/>
      <c r="M97" s="463"/>
      <c r="N97" s="464"/>
      <c r="O97" s="6" t="s">
        <v>509</v>
      </c>
      <c r="P97" s="232" t="s">
        <v>510</v>
      </c>
      <c r="Q97" s="231"/>
    </row>
  </sheetData>
  <sheetProtection algorithmName="SHA-512" hashValue="VqkDwO9RH3gC/YJMjj+AeW28yv2e1oze55pPdjb2fDcnsMv5RF2IGHBjHKBAObNPnsnD5/37OIfsgb4O+bpiZA==" saltValue="P1GihESREwABhKURM5LGJQ==" spinCount="100000" sheet="1" objects="1" scenarios="1"/>
  <mergeCells count="131">
    <mergeCell ref="A34:P34"/>
    <mergeCell ref="A8:C8"/>
    <mergeCell ref="A10:C10"/>
    <mergeCell ref="A11:C11"/>
    <mergeCell ref="A13:C13"/>
    <mergeCell ref="N36:N37"/>
    <mergeCell ref="O36:O37"/>
    <mergeCell ref="A18:P18"/>
    <mergeCell ref="A20:A21"/>
    <mergeCell ref="B20:G20"/>
    <mergeCell ref="H20:H21"/>
    <mergeCell ref="J20:J21"/>
    <mergeCell ref="K20:K21"/>
    <mergeCell ref="L20:L21"/>
    <mergeCell ref="A36:A37"/>
    <mergeCell ref="B36:G36"/>
    <mergeCell ref="H36:H37"/>
    <mergeCell ref="J36:J37"/>
    <mergeCell ref="K36:K37"/>
    <mergeCell ref="D19:E19"/>
    <mergeCell ref="G19:H19"/>
    <mergeCell ref="D35:E35"/>
    <mergeCell ref="G35:H35"/>
    <mergeCell ref="D10:P10"/>
    <mergeCell ref="N67:P67"/>
    <mergeCell ref="I68:I69"/>
    <mergeCell ref="I81:N81"/>
    <mergeCell ref="N83:P83"/>
    <mergeCell ref="M84:M85"/>
    <mergeCell ref="N84:N85"/>
    <mergeCell ref="A66:P66"/>
    <mergeCell ref="A52:A53"/>
    <mergeCell ref="B52:G52"/>
    <mergeCell ref="H52:H53"/>
    <mergeCell ref="J52:J53"/>
    <mergeCell ref="K52:K53"/>
    <mergeCell ref="L52:L53"/>
    <mergeCell ref="M52:M53"/>
    <mergeCell ref="N52:N53"/>
    <mergeCell ref="O52:O53"/>
    <mergeCell ref="P52:P53"/>
    <mergeCell ref="I65:N65"/>
    <mergeCell ref="D67:E67"/>
    <mergeCell ref="G67:H67"/>
    <mergeCell ref="D83:E83"/>
    <mergeCell ref="G83:H83"/>
    <mergeCell ref="A67:C67"/>
    <mergeCell ref="J67:L67"/>
    <mergeCell ref="I97:N97"/>
    <mergeCell ref="A82:P82"/>
    <mergeCell ref="A68:A69"/>
    <mergeCell ref="B68:G68"/>
    <mergeCell ref="H68:H69"/>
    <mergeCell ref="J68:J69"/>
    <mergeCell ref="K68:K69"/>
    <mergeCell ref="L68:L69"/>
    <mergeCell ref="M68:M69"/>
    <mergeCell ref="N68:N69"/>
    <mergeCell ref="O68:O69"/>
    <mergeCell ref="P68:P69"/>
    <mergeCell ref="O84:O85"/>
    <mergeCell ref="P84:P85"/>
    <mergeCell ref="A84:A85"/>
    <mergeCell ref="B84:G84"/>
    <mergeCell ref="H84:H85"/>
    <mergeCell ref="J84:J85"/>
    <mergeCell ref="K84:K85"/>
    <mergeCell ref="L84:L85"/>
    <mergeCell ref="I84:I85"/>
    <mergeCell ref="A83:C83"/>
    <mergeCell ref="J83:L83"/>
    <mergeCell ref="D11:P11"/>
    <mergeCell ref="D13:P13"/>
    <mergeCell ref="A1:P1"/>
    <mergeCell ref="D2:P2"/>
    <mergeCell ref="D3:P3"/>
    <mergeCell ref="D4:P4"/>
    <mergeCell ref="D5:P5"/>
    <mergeCell ref="D6:P6"/>
    <mergeCell ref="D7:P7"/>
    <mergeCell ref="A9:C9"/>
    <mergeCell ref="D8:P8"/>
    <mergeCell ref="D9:P9"/>
    <mergeCell ref="A2:C2"/>
    <mergeCell ref="A3:C3"/>
    <mergeCell ref="A4:C4"/>
    <mergeCell ref="A5:C5"/>
    <mergeCell ref="A6:C6"/>
    <mergeCell ref="A7:C7"/>
    <mergeCell ref="A12:C12"/>
    <mergeCell ref="D12:P12"/>
    <mergeCell ref="N19:P19"/>
    <mergeCell ref="N35:P35"/>
    <mergeCell ref="I36:I37"/>
    <mergeCell ref="I49:N49"/>
    <mergeCell ref="N51:P51"/>
    <mergeCell ref="I52:I53"/>
    <mergeCell ref="L36:L37"/>
    <mergeCell ref="M36:M37"/>
    <mergeCell ref="O20:O21"/>
    <mergeCell ref="P20:P21"/>
    <mergeCell ref="M20:M21"/>
    <mergeCell ref="N20:N21"/>
    <mergeCell ref="A50:P50"/>
    <mergeCell ref="P36:P37"/>
    <mergeCell ref="I20:I21"/>
    <mergeCell ref="I33:N33"/>
    <mergeCell ref="A19:C19"/>
    <mergeCell ref="J19:L19"/>
    <mergeCell ref="D51:E51"/>
    <mergeCell ref="G51:H51"/>
    <mergeCell ref="A35:C35"/>
    <mergeCell ref="J35:L35"/>
    <mergeCell ref="A51:C51"/>
    <mergeCell ref="J51:L51"/>
    <mergeCell ref="A17:F17"/>
    <mergeCell ref="G17:I17"/>
    <mergeCell ref="J17:L17"/>
    <mergeCell ref="M14:P14"/>
    <mergeCell ref="M15:P15"/>
    <mergeCell ref="M16:P16"/>
    <mergeCell ref="M17:P17"/>
    <mergeCell ref="A14:F14"/>
    <mergeCell ref="G14:I14"/>
    <mergeCell ref="J14:L14"/>
    <mergeCell ref="A15:F15"/>
    <mergeCell ref="G15:I15"/>
    <mergeCell ref="J15:L15"/>
    <mergeCell ref="A16:F16"/>
    <mergeCell ref="G16:I16"/>
    <mergeCell ref="J16:L16"/>
  </mergeCells>
  <dataValidations count="5">
    <dataValidation operator="greaterThanOrEqual" showInputMessage="1" showErrorMessage="1" sqref="D3:Q3" xr:uid="{00000000-0002-0000-0400-000000000000}"/>
    <dataValidation type="whole" allowBlank="1" showInputMessage="1" showErrorMessage="1" sqref="D4" xr:uid="{00000000-0002-0000-0400-000001000000}">
      <formula1>12</formula1>
      <formula2>60</formula2>
    </dataValidation>
    <dataValidation type="list" allowBlank="1" showInputMessage="1" showErrorMessage="1" sqref="A70:A75 A38:A43 A54:A59 A86:A91" xr:uid="{00000000-0002-0000-0400-000002000000}">
      <formula1>$T$3:$T$14</formula1>
    </dataValidation>
    <dataValidation type="list" allowBlank="1" showInputMessage="1" showErrorMessage="1" sqref="N19:Q19 N83:Q83 N51:Q51 N35:Q35 N67:Q67" xr:uid="{00000000-0002-0000-0400-000003000000}">
      <formula1>$V$7:$V$18</formula1>
    </dataValidation>
    <dataValidation type="whole" allowBlank="1" showInputMessage="1" showErrorMessage="1" errorTitle="Max. Loan Amount" error="Max. Amount = 30L ONLY" promptTitle="Max. loan Amount" prompt="ABB - 30 L" sqref="D2:P2" xr:uid="{00000000-0002-0000-0400-000004000000}">
      <formula1>100000</formula1>
      <formula2>3000000</formula2>
    </dataValidation>
  </dataValidations>
  <pageMargins left="0.7" right="0.7" top="0.75" bottom="0.75" header="0.3" footer="0.3"/>
  <pageSetup paperSize="9" orientation="portrait" horizontalDpi="4294967295" verticalDpi="4294967295"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5000000}">
          <x14:formula1>
            <xm:f>Banking!$S$2:$S$13</xm:f>
          </x14:formula1>
          <xm:sqref>A22:A30 A44:A46 A60:A62 A76:A78 A92:A94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FFC000"/>
  </sheetPr>
  <dimension ref="A1:P167"/>
  <sheetViews>
    <sheetView zoomScaleNormal="100" workbookViewId="0">
      <selection activeCell="D24" sqref="D24"/>
    </sheetView>
  </sheetViews>
  <sheetFormatPr defaultColWidth="0" defaultRowHeight="15" customHeight="1" zeroHeight="1" x14ac:dyDescent="0.2"/>
  <cols>
    <col min="1" max="1" width="50.140625" style="18" bestFit="1" customWidth="1"/>
    <col min="2" max="3" width="19" style="18" customWidth="1"/>
    <col min="4" max="6" width="30.140625" style="18" customWidth="1"/>
    <col min="7" max="7" width="1.7109375" style="18" customWidth="1"/>
    <col min="8" max="14" width="10.140625" style="18" hidden="1" customWidth="1"/>
    <col min="15" max="16384" width="9.140625" style="18" hidden="1"/>
  </cols>
  <sheetData>
    <row r="1" spans="1:16" ht="18" customHeight="1" x14ac:dyDescent="0.3">
      <c r="A1" s="481" t="s">
        <v>474</v>
      </c>
      <c r="B1" s="481"/>
      <c r="C1" s="481"/>
      <c r="D1" s="481"/>
      <c r="E1" s="481"/>
      <c r="F1" s="481"/>
      <c r="G1" s="19"/>
      <c r="I1" s="2" t="s">
        <v>19</v>
      </c>
      <c r="J1" s="2" t="s">
        <v>20</v>
      </c>
      <c r="K1" s="2"/>
      <c r="L1" s="2" t="s">
        <v>15</v>
      </c>
      <c r="M1" s="2" t="s">
        <v>21</v>
      </c>
      <c r="N1" s="2" t="s">
        <v>22</v>
      </c>
      <c r="P1" s="19" t="s">
        <v>257</v>
      </c>
    </row>
    <row r="2" spans="1:16" ht="15" customHeight="1" x14ac:dyDescent="0.25">
      <c r="A2" s="126" t="s">
        <v>0</v>
      </c>
      <c r="B2" s="379">
        <f>'Loan Details'!B3:E3</f>
        <v>0</v>
      </c>
      <c r="C2" s="379"/>
      <c r="D2" s="379"/>
      <c r="E2" s="379"/>
      <c r="F2" s="379"/>
      <c r="G2" s="20"/>
      <c r="H2" s="2" t="str">
        <f>I2&amp;" "&amp;J2</f>
        <v>Agriculture Products Agriculture Products</v>
      </c>
      <c r="I2" s="2" t="s">
        <v>23</v>
      </c>
      <c r="J2" s="2" t="s">
        <v>23</v>
      </c>
      <c r="K2" s="2" t="str">
        <f t="shared" ref="K2:K27" si="0">I2&amp;" "&amp;J2</f>
        <v>Agriculture Products Agriculture Products</v>
      </c>
      <c r="L2" s="2">
        <v>6.64</v>
      </c>
      <c r="M2" s="2">
        <v>3.95</v>
      </c>
      <c r="N2" s="2"/>
      <c r="P2" s="19" t="s">
        <v>264</v>
      </c>
    </row>
    <row r="3" spans="1:16" ht="15" customHeight="1" x14ac:dyDescent="0.25">
      <c r="A3" s="126" t="s">
        <v>2</v>
      </c>
      <c r="B3" s="380">
        <f>'Loan Details'!B4:E4</f>
        <v>0.19</v>
      </c>
      <c r="C3" s="380"/>
      <c r="D3" s="380"/>
      <c r="E3" s="380"/>
      <c r="F3" s="380"/>
      <c r="G3" s="20"/>
      <c r="H3" s="2" t="str">
        <f t="shared" ref="H3:H27" si="1">I3&amp;" "&amp;J3</f>
        <v>Agriculture Products Animal Products (Including animal and bird feed)</v>
      </c>
      <c r="I3" s="2" t="s">
        <v>23</v>
      </c>
      <c r="J3" s="2" t="s">
        <v>24</v>
      </c>
      <c r="K3" s="2" t="str">
        <f t="shared" si="0"/>
        <v>Agriculture Products Animal Products (Including animal and bird feed)</v>
      </c>
      <c r="L3" s="2">
        <v>5.8</v>
      </c>
      <c r="M3" s="2">
        <v>3.95</v>
      </c>
      <c r="N3" s="2"/>
      <c r="P3" s="19" t="s">
        <v>265</v>
      </c>
    </row>
    <row r="4" spans="1:16" ht="15" customHeight="1" x14ac:dyDescent="0.25">
      <c r="A4" s="126" t="s">
        <v>3</v>
      </c>
      <c r="B4" s="381">
        <f>'Loan Details'!B5:E5</f>
        <v>36</v>
      </c>
      <c r="C4" s="381"/>
      <c r="D4" s="381"/>
      <c r="E4" s="381"/>
      <c r="F4" s="381"/>
      <c r="G4" s="20"/>
      <c r="H4" s="2" t="str">
        <f t="shared" si="1"/>
        <v>Agriculture Products Edible Oils</v>
      </c>
      <c r="I4" s="2" t="s">
        <v>23</v>
      </c>
      <c r="J4" s="2" t="s">
        <v>25</v>
      </c>
      <c r="K4" s="2" t="str">
        <f t="shared" si="0"/>
        <v>Agriculture Products Edible Oils</v>
      </c>
      <c r="L4" s="2">
        <v>3.57</v>
      </c>
      <c r="M4" s="2">
        <v>3.57</v>
      </c>
      <c r="N4" s="2"/>
    </row>
    <row r="5" spans="1:16" ht="15" customHeight="1" x14ac:dyDescent="0.2">
      <c r="A5" s="126" t="s">
        <v>14</v>
      </c>
      <c r="B5" s="381">
        <f>'Loan Details'!C9</f>
        <v>0</v>
      </c>
      <c r="C5" s="381"/>
      <c r="D5" s="381"/>
      <c r="E5" s="381"/>
      <c r="F5" s="381"/>
      <c r="H5" s="2" t="str">
        <f t="shared" si="1"/>
        <v>Agriculture Products Floricultural</v>
      </c>
      <c r="I5" s="2" t="s">
        <v>23</v>
      </c>
      <c r="J5" s="2" t="s">
        <v>26</v>
      </c>
      <c r="K5" s="2" t="str">
        <f t="shared" si="0"/>
        <v>Agriculture Products Floricultural</v>
      </c>
      <c r="L5" s="2">
        <v>9.69</v>
      </c>
      <c r="M5" s="2">
        <v>3.95</v>
      </c>
      <c r="N5" s="2"/>
    </row>
    <row r="6" spans="1:16" ht="15" customHeight="1" x14ac:dyDescent="0.2">
      <c r="A6" s="126" t="s">
        <v>16</v>
      </c>
      <c r="B6" s="381">
        <f>'Loan Details'!C10</f>
        <v>0</v>
      </c>
      <c r="C6" s="381"/>
      <c r="D6" s="381"/>
      <c r="E6" s="381"/>
      <c r="F6" s="381"/>
      <c r="H6" s="2" t="str">
        <f t="shared" si="1"/>
        <v>Agriculture Products Fruit and nuts</v>
      </c>
      <c r="I6" s="2" t="s">
        <v>23</v>
      </c>
      <c r="J6" s="2" t="s">
        <v>27</v>
      </c>
      <c r="K6" s="2" t="str">
        <f t="shared" si="0"/>
        <v>Agriculture Products Fruit and nuts</v>
      </c>
      <c r="L6" s="2">
        <v>6.64</v>
      </c>
      <c r="M6" s="2">
        <v>3.95</v>
      </c>
      <c r="N6" s="2"/>
    </row>
    <row r="7" spans="1:16" ht="15" customHeight="1" x14ac:dyDescent="0.2">
      <c r="A7" s="126" t="s">
        <v>18</v>
      </c>
      <c r="B7" s="495" t="str">
        <f ca="1">IFERROR(INDIRECT(ADDRESS(MATCH(B6,K:K,0),MATCH(B5,1:1,0),,,)),"-")</f>
        <v>-</v>
      </c>
      <c r="C7" s="495"/>
      <c r="D7" s="495"/>
      <c r="E7" s="495"/>
      <c r="F7" s="495"/>
      <c r="H7" s="2" t="str">
        <f t="shared" si="1"/>
        <v>Agriculture Products Poultry &amp; Meal Products</v>
      </c>
      <c r="I7" s="2" t="s">
        <v>23</v>
      </c>
      <c r="J7" s="2" t="s">
        <v>28</v>
      </c>
      <c r="K7" s="2" t="str">
        <f t="shared" si="0"/>
        <v>Agriculture Products Poultry &amp; Meal Products</v>
      </c>
      <c r="L7" s="2">
        <v>9.42</v>
      </c>
      <c r="M7" s="2">
        <v>3.95</v>
      </c>
      <c r="N7" s="2"/>
    </row>
    <row r="8" spans="1:16" ht="15" customHeight="1" x14ac:dyDescent="0.3">
      <c r="A8" s="492" t="s">
        <v>4</v>
      </c>
      <c r="B8" s="492"/>
      <c r="C8" s="492"/>
      <c r="D8" s="492"/>
      <c r="E8" s="492"/>
      <c r="F8" s="492"/>
      <c r="H8" s="2" t="str">
        <f t="shared" si="1"/>
        <v>Agriculture Products Agri-seed</v>
      </c>
      <c r="I8" s="2" t="s">
        <v>23</v>
      </c>
      <c r="J8" s="2" t="s">
        <v>29</v>
      </c>
      <c r="K8" s="2" t="str">
        <f t="shared" si="0"/>
        <v>Agriculture Products Agri-seed</v>
      </c>
      <c r="L8" s="2">
        <v>15.98</v>
      </c>
      <c r="M8" s="2">
        <v>3.95</v>
      </c>
      <c r="N8" s="2"/>
    </row>
    <row r="9" spans="1:16" ht="15" customHeight="1" x14ac:dyDescent="0.2">
      <c r="A9" s="113" t="s">
        <v>5</v>
      </c>
      <c r="B9" s="379">
        <f>'Loan Details'!C12</f>
        <v>0</v>
      </c>
      <c r="C9" s="379"/>
      <c r="D9" s="379"/>
      <c r="E9" s="379"/>
      <c r="F9" s="379"/>
      <c r="H9" s="2" t="str">
        <f t="shared" si="1"/>
        <v>Agriculture Products Spices</v>
      </c>
      <c r="I9" s="2" t="s">
        <v>23</v>
      </c>
      <c r="J9" s="2" t="s">
        <v>30</v>
      </c>
      <c r="K9" s="2" t="str">
        <f t="shared" si="0"/>
        <v>Agriculture Products Spices</v>
      </c>
      <c r="L9" s="2">
        <v>6.64</v>
      </c>
      <c r="M9" s="2">
        <v>3.95</v>
      </c>
      <c r="N9" s="2"/>
    </row>
    <row r="10" spans="1:16" ht="15" customHeight="1" x14ac:dyDescent="0.3">
      <c r="A10" s="492" t="s">
        <v>562</v>
      </c>
      <c r="B10" s="492"/>
      <c r="C10" s="492"/>
      <c r="D10" s="492"/>
      <c r="E10" s="492"/>
      <c r="F10" s="492"/>
      <c r="H10" s="2" t="str">
        <f t="shared" si="1"/>
        <v>Agriculture Products Starches</v>
      </c>
      <c r="I10" s="2" t="s">
        <v>23</v>
      </c>
      <c r="J10" s="2" t="s">
        <v>31</v>
      </c>
      <c r="K10" s="2" t="str">
        <f t="shared" si="0"/>
        <v>Agriculture Products Starches</v>
      </c>
      <c r="L10" s="2">
        <v>8.61</v>
      </c>
      <c r="M10" s="2">
        <v>3.95</v>
      </c>
      <c r="N10" s="2"/>
    </row>
    <row r="11" spans="1:16" ht="15" customHeight="1" x14ac:dyDescent="0.2">
      <c r="A11" s="485" t="s">
        <v>234</v>
      </c>
      <c r="B11" s="493" t="s">
        <v>7</v>
      </c>
      <c r="C11" s="493"/>
      <c r="D11" s="110" t="s">
        <v>231</v>
      </c>
      <c r="E11" s="110" t="s">
        <v>232</v>
      </c>
      <c r="F11" s="110" t="s">
        <v>233</v>
      </c>
      <c r="H11" s="2" t="str">
        <f t="shared" si="1"/>
        <v>Agriculture Products Sugar</v>
      </c>
      <c r="I11" s="2" t="s">
        <v>23</v>
      </c>
      <c r="J11" s="2" t="s">
        <v>32</v>
      </c>
      <c r="K11" s="2" t="str">
        <f t="shared" si="0"/>
        <v>Agriculture Products Sugar</v>
      </c>
      <c r="L11" s="2">
        <v>9.69</v>
      </c>
      <c r="M11" s="2">
        <v>3.95</v>
      </c>
      <c r="N11" s="2"/>
    </row>
    <row r="12" spans="1:16" ht="15" customHeight="1" x14ac:dyDescent="0.2">
      <c r="A12" s="485"/>
      <c r="B12" s="494">
        <v>1</v>
      </c>
      <c r="C12" s="494"/>
      <c r="D12" s="106">
        <f>'Loan Details'!C14</f>
        <v>0</v>
      </c>
      <c r="E12" s="106">
        <f>'Loan Details'!E14</f>
        <v>0</v>
      </c>
      <c r="F12" s="123" t="str">
        <f>IFERROR(IF(((E12-D12)/D12)&lt;=20%,E12*B12,IF(((E12-D12)/D12)&lt;=50%,B12*MAX(AVERAGE(E12,D12),1.2*D12),B12*AVERAGE(E12,D12))),"-")</f>
        <v>-</v>
      </c>
      <c r="H12" s="2" t="str">
        <f t="shared" si="1"/>
        <v>Agriculture Products Tea &amp; Coffee</v>
      </c>
      <c r="I12" s="2" t="s">
        <v>23</v>
      </c>
      <c r="J12" s="2" t="s">
        <v>33</v>
      </c>
      <c r="K12" s="2" t="str">
        <f t="shared" si="0"/>
        <v>Agriculture Products Tea &amp; Coffee</v>
      </c>
      <c r="L12" s="2">
        <v>12.26</v>
      </c>
      <c r="M12" s="2">
        <v>3.95</v>
      </c>
      <c r="N12" s="2"/>
    </row>
    <row r="13" spans="1:16" ht="15" customHeight="1" x14ac:dyDescent="0.3">
      <c r="A13" s="492" t="s">
        <v>255</v>
      </c>
      <c r="B13" s="492"/>
      <c r="C13" s="492"/>
      <c r="D13" s="492"/>
      <c r="E13" s="492"/>
      <c r="F13" s="492"/>
      <c r="H13" s="2" t="str">
        <f t="shared" si="1"/>
        <v>Agriculture Products Tobacco Products</v>
      </c>
      <c r="I13" s="2" t="s">
        <v>23</v>
      </c>
      <c r="J13" s="2" t="s">
        <v>34</v>
      </c>
      <c r="K13" s="2" t="str">
        <f t="shared" si="0"/>
        <v>Agriculture Products Tobacco Products</v>
      </c>
      <c r="L13" s="2">
        <v>6.09</v>
      </c>
      <c r="M13" s="2">
        <v>3.95</v>
      </c>
      <c r="N13" s="2"/>
    </row>
    <row r="14" spans="1:16" ht="15" customHeight="1" x14ac:dyDescent="0.2">
      <c r="A14" s="113" t="s">
        <v>565</v>
      </c>
      <c r="B14" s="493" t="s">
        <v>7</v>
      </c>
      <c r="C14" s="493"/>
      <c r="D14" s="110" t="s">
        <v>231</v>
      </c>
      <c r="E14" s="110" t="s">
        <v>232</v>
      </c>
      <c r="F14" s="110" t="s">
        <v>233</v>
      </c>
      <c r="H14" s="2" t="str">
        <f t="shared" si="1"/>
        <v>Agriculture Products Vegetables, roots and tubers</v>
      </c>
      <c r="I14" s="2" t="s">
        <v>23</v>
      </c>
      <c r="J14" s="2" t="s">
        <v>35</v>
      </c>
      <c r="K14" s="2" t="str">
        <f t="shared" si="0"/>
        <v>Agriculture Products Vegetables, roots and tubers</v>
      </c>
      <c r="L14" s="2">
        <v>6.64</v>
      </c>
      <c r="M14" s="2">
        <v>3.95</v>
      </c>
      <c r="N14" s="2"/>
    </row>
    <row r="15" spans="1:16" ht="15" customHeight="1" x14ac:dyDescent="0.2">
      <c r="A15" s="126" t="s">
        <v>256</v>
      </c>
      <c r="B15" s="494">
        <v>1</v>
      </c>
      <c r="C15" s="494"/>
      <c r="D15" s="106">
        <f>'Loan Details'!C17</f>
        <v>0</v>
      </c>
      <c r="E15" s="106">
        <f>'Loan Details'!E17</f>
        <v>0</v>
      </c>
      <c r="F15" s="491" t="e">
        <f>IF(((E19-D19)/D19)&lt;=20%,E19,IF(((E19-D19)/D19)&lt;=50%,MAX(AVERAGE(E19,D19),1.2*D19),AVERAGE(E19,D19)))</f>
        <v>#DIV/0!</v>
      </c>
      <c r="H15" s="2" t="str">
        <f t="shared" si="1"/>
        <v>Air-conditioners &amp; refrigerators Air-conditioners &amp; refrigerators</v>
      </c>
      <c r="I15" s="2" t="s">
        <v>36</v>
      </c>
      <c r="J15" s="2" t="s">
        <v>36</v>
      </c>
      <c r="K15" s="2" t="str">
        <f t="shared" si="0"/>
        <v>Air-conditioners &amp; refrigerators Air-conditioners &amp; refrigerators</v>
      </c>
      <c r="L15" s="2">
        <v>7.43</v>
      </c>
      <c r="M15" s="2">
        <v>7.43</v>
      </c>
      <c r="N15" s="2"/>
    </row>
    <row r="16" spans="1:16" ht="15" customHeight="1" x14ac:dyDescent="0.2">
      <c r="A16" s="126" t="s">
        <v>237</v>
      </c>
      <c r="B16" s="494">
        <v>1</v>
      </c>
      <c r="C16" s="494"/>
      <c r="D16" s="106">
        <f>'Loan Details'!C19</f>
        <v>0</v>
      </c>
      <c r="E16" s="106">
        <f>'Loan Details'!E19</f>
        <v>0</v>
      </c>
      <c r="F16" s="491"/>
      <c r="H16" s="2" t="str">
        <f t="shared" si="1"/>
        <v>Automobiles 2 &amp; 3 Wheelers</v>
      </c>
      <c r="I16" s="2" t="s">
        <v>37</v>
      </c>
      <c r="J16" s="2" t="s">
        <v>38</v>
      </c>
      <c r="K16" s="2" t="str">
        <f t="shared" si="0"/>
        <v>Automobiles 2 &amp; 3 Wheelers</v>
      </c>
      <c r="L16" s="2"/>
      <c r="M16" s="2">
        <v>5.43</v>
      </c>
      <c r="N16" s="2"/>
    </row>
    <row r="17" spans="1:14" ht="15" customHeight="1" x14ac:dyDescent="0.2">
      <c r="A17" s="126" t="s">
        <v>238</v>
      </c>
      <c r="B17" s="494">
        <v>1</v>
      </c>
      <c r="C17" s="494"/>
      <c r="D17" s="106">
        <f>'Loan Details'!C20</f>
        <v>0</v>
      </c>
      <c r="E17" s="106">
        <f>'Loan Details'!E20</f>
        <v>0</v>
      </c>
      <c r="F17" s="491"/>
      <c r="H17" s="2" t="str">
        <f t="shared" si="1"/>
        <v>Automobiles Automobiles ancillaries</v>
      </c>
      <c r="I17" s="2" t="s">
        <v>37</v>
      </c>
      <c r="J17" s="2" t="s">
        <v>39</v>
      </c>
      <c r="K17" s="2" t="str">
        <f t="shared" si="0"/>
        <v>Automobiles Automobiles ancillaries</v>
      </c>
      <c r="L17" s="2">
        <v>10.17</v>
      </c>
      <c r="M17" s="2">
        <v>5.43</v>
      </c>
      <c r="N17" s="2"/>
    </row>
    <row r="18" spans="1:14" ht="15" customHeight="1" x14ac:dyDescent="0.2">
      <c r="A18" s="126" t="s">
        <v>239</v>
      </c>
      <c r="B18" s="494">
        <v>1</v>
      </c>
      <c r="C18" s="494"/>
      <c r="D18" s="106">
        <f>'Loan Details'!C21</f>
        <v>0</v>
      </c>
      <c r="E18" s="106">
        <f>'Loan Details'!E21</f>
        <v>0</v>
      </c>
      <c r="F18" s="491"/>
      <c r="H18" s="2" t="str">
        <f t="shared" si="1"/>
        <v>Automobiles Cycle &amp; accessories</v>
      </c>
      <c r="I18" s="2" t="s">
        <v>37</v>
      </c>
      <c r="J18" s="2" t="s">
        <v>40</v>
      </c>
      <c r="K18" s="2" t="str">
        <f t="shared" si="0"/>
        <v>Automobiles Cycle &amp; accessories</v>
      </c>
      <c r="L18" s="2">
        <v>10.17</v>
      </c>
      <c r="M18" s="2">
        <v>5.43</v>
      </c>
      <c r="N18" s="2"/>
    </row>
    <row r="19" spans="1:14" ht="15" customHeight="1" x14ac:dyDescent="0.2">
      <c r="A19" s="113" t="s">
        <v>255</v>
      </c>
      <c r="B19" s="491"/>
      <c r="C19" s="491"/>
      <c r="D19" s="123">
        <f>SUM(D15:D18)</f>
        <v>0</v>
      </c>
      <c r="E19" s="123">
        <f>SUM(E15:E18)</f>
        <v>0</v>
      </c>
      <c r="F19" s="491"/>
      <c r="H19" s="2" t="str">
        <f t="shared" si="1"/>
        <v>Automobiles Passenger &amp; commercial vehicles</v>
      </c>
      <c r="I19" s="2" t="s">
        <v>37</v>
      </c>
      <c r="J19" s="2" t="s">
        <v>41</v>
      </c>
      <c r="K19" s="2" t="str">
        <f t="shared" si="0"/>
        <v>Automobiles Passenger &amp; commercial vehicles</v>
      </c>
      <c r="L19" s="2">
        <v>2.7</v>
      </c>
      <c r="M19" s="2">
        <v>5.43</v>
      </c>
      <c r="N19" s="2"/>
    </row>
    <row r="20" spans="1:14" ht="15" customHeight="1" x14ac:dyDescent="0.3">
      <c r="A20" s="492" t="s">
        <v>244</v>
      </c>
      <c r="B20" s="492"/>
      <c r="C20" s="492"/>
      <c r="D20" s="492"/>
      <c r="E20" s="492"/>
      <c r="F20" s="492"/>
      <c r="H20" s="2" t="str">
        <f t="shared" si="1"/>
        <v>Automobiles Tyres&amp; Tubes</v>
      </c>
      <c r="I20" s="2" t="s">
        <v>37</v>
      </c>
      <c r="J20" s="2" t="s">
        <v>42</v>
      </c>
      <c r="K20" s="2" t="str">
        <f t="shared" si="0"/>
        <v>Automobiles Tyres&amp; Tubes</v>
      </c>
      <c r="L20" s="2">
        <v>8.5</v>
      </c>
      <c r="M20" s="2">
        <v>5.43</v>
      </c>
      <c r="N20" s="2"/>
    </row>
    <row r="21" spans="1:14" ht="15" customHeight="1" x14ac:dyDescent="0.2">
      <c r="A21" s="113" t="s">
        <v>565</v>
      </c>
      <c r="B21" s="110" t="s">
        <v>7</v>
      </c>
      <c r="C21" s="110" t="s">
        <v>8</v>
      </c>
      <c r="D21" s="110" t="s">
        <v>231</v>
      </c>
      <c r="E21" s="110" t="s">
        <v>232</v>
      </c>
      <c r="F21" s="110" t="s">
        <v>233</v>
      </c>
      <c r="H21" s="2" t="str">
        <f t="shared" si="1"/>
        <v>Professional Services Architectural services &amp; interior designing service</v>
      </c>
      <c r="I21" s="2" t="s">
        <v>43</v>
      </c>
      <c r="J21" s="2" t="s">
        <v>44</v>
      </c>
      <c r="K21" s="2" t="str">
        <f t="shared" si="0"/>
        <v>Professional Services Architectural services &amp; interior designing service</v>
      </c>
      <c r="L21" s="2"/>
      <c r="M21" s="2"/>
      <c r="N21" s="2">
        <v>12.36</v>
      </c>
    </row>
    <row r="22" spans="1:14" ht="15" hidden="1" customHeight="1" x14ac:dyDescent="0.2">
      <c r="A22" s="148" t="s">
        <v>431</v>
      </c>
      <c r="B22" s="139">
        <v>1</v>
      </c>
      <c r="C22" s="490" t="s">
        <v>561</v>
      </c>
      <c r="D22" s="106">
        <v>0</v>
      </c>
      <c r="E22" s="106">
        <v>0</v>
      </c>
      <c r="F22" s="123">
        <f>IF(C22="Annualy",E22*B22,E22*B22*12)</f>
        <v>0</v>
      </c>
      <c r="H22" s="2" t="str">
        <f t="shared" si="1"/>
        <v>Board line/ Multiline General Merchandise Stores</v>
      </c>
      <c r="I22" s="2" t="s">
        <v>45</v>
      </c>
      <c r="J22" s="2" t="s">
        <v>46</v>
      </c>
      <c r="K22" s="2" t="str">
        <f t="shared" si="0"/>
        <v>Board line/ Multiline General Merchandise Stores</v>
      </c>
      <c r="L22" s="2"/>
      <c r="M22" s="2">
        <v>5.04</v>
      </c>
      <c r="N22" s="2"/>
    </row>
    <row r="23" spans="1:14" ht="15" customHeight="1" x14ac:dyDescent="0.2">
      <c r="A23" s="126" t="s">
        <v>433</v>
      </c>
      <c r="B23" s="139">
        <v>1</v>
      </c>
      <c r="C23" s="490"/>
      <c r="D23" s="106">
        <v>0</v>
      </c>
      <c r="E23" s="106">
        <v>0</v>
      </c>
      <c r="F23" s="123">
        <f>IF(C22="Monthly",AVERAGE(B23*D23*12,B23*E23*12),AVERAGE(B23*D23,B23*E23))</f>
        <v>0</v>
      </c>
      <c r="H23" s="2" t="str">
        <f t="shared" si="1"/>
        <v>Cement Cement Products &amp; asbestos products</v>
      </c>
      <c r="I23" s="2" t="s">
        <v>47</v>
      </c>
      <c r="J23" s="2" t="s">
        <v>48</v>
      </c>
      <c r="K23" s="2" t="str">
        <f t="shared" si="0"/>
        <v>Cement Cement Products &amp; asbestos products</v>
      </c>
      <c r="L23" s="2">
        <v>10.99</v>
      </c>
      <c r="M23" s="2">
        <v>5.04</v>
      </c>
      <c r="N23" s="2"/>
    </row>
    <row r="24" spans="1:14" ht="15" customHeight="1" x14ac:dyDescent="0.2">
      <c r="A24" s="126" t="s">
        <v>432</v>
      </c>
      <c r="B24" s="139">
        <v>1</v>
      </c>
      <c r="C24" s="490"/>
      <c r="D24" s="106">
        <v>0</v>
      </c>
      <c r="E24" s="106">
        <v>0</v>
      </c>
      <c r="F24" s="123">
        <f>IF(C22="Monthly",AVERAGE(B24*D24*12,B24*E24*12),AVERAGE(B24*D24,B24*E24))</f>
        <v>0</v>
      </c>
      <c r="H24" s="2" t="str">
        <f t="shared" si="1"/>
        <v>Chemicals Acids &amp; Salts</v>
      </c>
      <c r="I24" s="2" t="s">
        <v>49</v>
      </c>
      <c r="J24" s="2" t="s">
        <v>50</v>
      </c>
      <c r="K24" s="2" t="str">
        <f t="shared" si="0"/>
        <v>Chemicals Acids &amp; Salts</v>
      </c>
      <c r="L24" s="2">
        <v>9.48</v>
      </c>
      <c r="M24" s="2">
        <v>5.31</v>
      </c>
      <c r="N24" s="2"/>
    </row>
    <row r="25" spans="1:14" ht="14.25" x14ac:dyDescent="0.2">
      <c r="A25" s="113" t="s">
        <v>248</v>
      </c>
      <c r="B25" s="489" t="e">
        <f>MIN(SUM(F23:F24),1.5*F15)</f>
        <v>#DIV/0!</v>
      </c>
      <c r="C25" s="489"/>
      <c r="D25" s="489"/>
      <c r="E25" s="489"/>
      <c r="F25" s="489"/>
      <c r="H25" s="2" t="str">
        <f t="shared" si="1"/>
        <v>Chemicals Chemicals including inorganic</v>
      </c>
      <c r="I25" s="2" t="s">
        <v>49</v>
      </c>
      <c r="J25" s="2" t="s">
        <v>52</v>
      </c>
      <c r="K25" s="2" t="str">
        <f t="shared" si="0"/>
        <v>Chemicals Chemicals including inorganic</v>
      </c>
      <c r="L25" s="2">
        <v>9.48</v>
      </c>
      <c r="M25" s="2">
        <v>5.31</v>
      </c>
      <c r="N25" s="2"/>
    </row>
    <row r="26" spans="1:14" ht="18.75" x14ac:dyDescent="0.3">
      <c r="A26" s="492" t="s">
        <v>9</v>
      </c>
      <c r="B26" s="492"/>
      <c r="C26" s="492"/>
      <c r="D26" s="492"/>
      <c r="E26" s="492"/>
      <c r="F26" s="492"/>
      <c r="H26" s="2" t="str">
        <f t="shared" si="1"/>
        <v>Chemicals Dyes &amp; pigments</v>
      </c>
      <c r="I26" s="2" t="s">
        <v>49</v>
      </c>
      <c r="J26" s="2" t="s">
        <v>53</v>
      </c>
      <c r="K26" s="2" t="str">
        <f t="shared" si="0"/>
        <v>Chemicals Dyes &amp; pigments</v>
      </c>
      <c r="L26" s="2">
        <v>8.11</v>
      </c>
      <c r="M26" s="2">
        <v>5.31</v>
      </c>
      <c r="N26" s="2"/>
    </row>
    <row r="27" spans="1:14" ht="15" customHeight="1" x14ac:dyDescent="0.2">
      <c r="A27" s="126" t="s">
        <v>245</v>
      </c>
      <c r="B27" s="489" t="e">
        <f>B25+F15</f>
        <v>#DIV/0!</v>
      </c>
      <c r="C27" s="489"/>
      <c r="D27" s="489"/>
      <c r="E27" s="489"/>
      <c r="F27" s="489"/>
      <c r="H27" s="2" t="str">
        <f t="shared" si="1"/>
        <v>Chemicals Fertilizers</v>
      </c>
      <c r="I27" s="2" t="s">
        <v>49</v>
      </c>
      <c r="J27" s="2" t="s">
        <v>54</v>
      </c>
      <c r="K27" s="2" t="str">
        <f t="shared" si="0"/>
        <v>Chemicals Fertilizers</v>
      </c>
      <c r="L27" s="2">
        <v>8.81</v>
      </c>
      <c r="M27" s="2">
        <v>5.31</v>
      </c>
      <c r="N27" s="2"/>
    </row>
    <row r="28" spans="1:14" ht="15" customHeight="1" x14ac:dyDescent="0.2">
      <c r="A28" s="126" t="s">
        <v>246</v>
      </c>
      <c r="B28" s="489" t="e">
        <f>B27/12</f>
        <v>#DIV/0!</v>
      </c>
      <c r="C28" s="489"/>
      <c r="D28" s="489"/>
      <c r="E28" s="489"/>
      <c r="F28" s="489"/>
      <c r="H28" s="2" t="str">
        <f t="shared" ref="H28:H64" si="2">I28&amp;" "&amp;J28</f>
        <v>Chemicals Industrial Gases</v>
      </c>
      <c r="I28" s="2" t="s">
        <v>49</v>
      </c>
      <c r="J28" s="2" t="s">
        <v>55</v>
      </c>
      <c r="K28" s="2" t="str">
        <f t="shared" ref="K28:K62" si="3">I28&amp;" "&amp;J28</f>
        <v>Chemicals Industrial Gases</v>
      </c>
      <c r="L28" s="2">
        <v>9.48</v>
      </c>
      <c r="M28" s="2">
        <v>5.31</v>
      </c>
      <c r="N28" s="2"/>
    </row>
    <row r="29" spans="1:14" ht="15" customHeight="1" x14ac:dyDescent="0.2">
      <c r="A29" s="126" t="s">
        <v>566</v>
      </c>
      <c r="B29" s="489" t="e">
        <f ca="1">(F12*(B7/100))/12</f>
        <v>#VALUE!</v>
      </c>
      <c r="C29" s="489"/>
      <c r="D29" s="489"/>
      <c r="E29" s="489"/>
      <c r="F29" s="489"/>
      <c r="H29" s="2" t="str">
        <f t="shared" si="2"/>
        <v>Chemicals Pesticides</v>
      </c>
      <c r="I29" s="2" t="s">
        <v>49</v>
      </c>
      <c r="J29" s="2" t="s">
        <v>56</v>
      </c>
      <c r="K29" s="2" t="str">
        <f t="shared" si="3"/>
        <v>Chemicals Pesticides</v>
      </c>
      <c r="L29" s="2">
        <v>7.45</v>
      </c>
      <c r="M29" s="2">
        <v>5.31</v>
      </c>
      <c r="N29" s="2"/>
    </row>
    <row r="30" spans="1:14" ht="15" customHeight="1" x14ac:dyDescent="0.2">
      <c r="A30" s="126" t="s">
        <v>567</v>
      </c>
      <c r="B30" s="489">
        <f>PMT(B3/12,B4,-B2)</f>
        <v>0</v>
      </c>
      <c r="C30" s="489"/>
      <c r="D30" s="489"/>
      <c r="E30" s="489"/>
      <c r="F30" s="489"/>
      <c r="H30" s="2" t="str">
        <f t="shared" si="2"/>
        <v>Chemicals Petrochemicals including organic</v>
      </c>
      <c r="I30" s="2" t="s">
        <v>49</v>
      </c>
      <c r="J30" s="2" t="s">
        <v>57</v>
      </c>
      <c r="K30" s="2" t="str">
        <f t="shared" si="3"/>
        <v>Chemicals Petrochemicals including organic</v>
      </c>
      <c r="L30" s="2">
        <v>7.15</v>
      </c>
      <c r="M30" s="2">
        <v>5.31</v>
      </c>
      <c r="N30" s="2"/>
    </row>
    <row r="31" spans="1:14" ht="15" customHeight="1" x14ac:dyDescent="0.2">
      <c r="A31" s="126" t="s">
        <v>258</v>
      </c>
      <c r="B31" s="488" t="e">
        <f>B28/(B30+B9)</f>
        <v>#DIV/0!</v>
      </c>
      <c r="C31" s="488"/>
      <c r="D31" s="488"/>
      <c r="E31" s="488"/>
      <c r="F31" s="488"/>
      <c r="H31" s="2" t="str">
        <f t="shared" si="2"/>
        <v>Chemicals Polymers</v>
      </c>
      <c r="I31" s="2" t="s">
        <v>49</v>
      </c>
      <c r="J31" s="2" t="s">
        <v>58</v>
      </c>
      <c r="K31" s="2" t="str">
        <f t="shared" si="3"/>
        <v>Chemicals Polymers</v>
      </c>
      <c r="L31" s="2">
        <v>6.29</v>
      </c>
      <c r="M31" s="2">
        <v>5.31</v>
      </c>
      <c r="N31" s="2"/>
    </row>
    <row r="32" spans="1:14" ht="15" customHeight="1" x14ac:dyDescent="0.2">
      <c r="A32" s="126" t="s">
        <v>259</v>
      </c>
      <c r="B32" s="488" t="e">
        <f ca="1">B29/(B30+B9)</f>
        <v>#VALUE!</v>
      </c>
      <c r="C32" s="488"/>
      <c r="D32" s="488"/>
      <c r="E32" s="488"/>
      <c r="F32" s="488"/>
      <c r="H32" s="2" t="str">
        <f t="shared" si="2"/>
        <v>Chemicals Refractories</v>
      </c>
      <c r="I32" s="2" t="s">
        <v>49</v>
      </c>
      <c r="J32" s="2" t="s">
        <v>59</v>
      </c>
      <c r="K32" s="2" t="str">
        <f t="shared" si="3"/>
        <v>Chemicals Refractories</v>
      </c>
      <c r="L32" s="2">
        <v>10.11</v>
      </c>
      <c r="M32" s="2">
        <v>5.31</v>
      </c>
      <c r="N32" s="2"/>
    </row>
    <row r="33" spans="1:14" ht="15" customHeight="1" x14ac:dyDescent="0.2">
      <c r="A33" s="147" t="s">
        <v>920</v>
      </c>
      <c r="B33" s="488" t="e">
        <f>IF(B31&lt;1,"DSCR norms not met",IF(B31&lt;1.25,"Max Loan upto 20 Lacs allowed","Max Loan amount 30 Lacs allowed"))</f>
        <v>#DIV/0!</v>
      </c>
      <c r="C33" s="488"/>
      <c r="D33" s="488"/>
      <c r="E33" s="488"/>
      <c r="F33" s="488"/>
      <c r="H33" s="2"/>
      <c r="I33" s="2"/>
      <c r="J33" s="2"/>
      <c r="K33" s="2"/>
      <c r="L33" s="2"/>
      <c r="M33" s="2"/>
      <c r="N33" s="2"/>
    </row>
    <row r="34" spans="1:14" ht="6" customHeight="1" x14ac:dyDescent="0.2">
      <c r="H34" s="2" t="str">
        <f t="shared" si="2"/>
        <v>Computers Computer – Education</v>
      </c>
      <c r="I34" s="2" t="s">
        <v>60</v>
      </c>
      <c r="J34" s="2" t="s">
        <v>61</v>
      </c>
      <c r="K34" s="2" t="str">
        <f t="shared" si="3"/>
        <v>Computers Computer – Education</v>
      </c>
      <c r="L34" s="2"/>
      <c r="M34" s="2"/>
      <c r="N34" s="2">
        <v>10.73</v>
      </c>
    </row>
    <row r="35" spans="1:14" ht="8.25" hidden="1" customHeight="1" x14ac:dyDescent="0.2">
      <c r="H35" s="2" t="str">
        <f t="shared" si="2"/>
        <v>Computers Computer – Software</v>
      </c>
      <c r="I35" s="2" t="s">
        <v>60</v>
      </c>
      <c r="J35" s="2" t="s">
        <v>62</v>
      </c>
      <c r="K35" s="2" t="str">
        <f t="shared" si="3"/>
        <v>Computers Computer – Software</v>
      </c>
      <c r="L35" s="2"/>
      <c r="M35" s="2"/>
      <c r="N35" s="2">
        <v>12.9</v>
      </c>
    </row>
    <row r="36" spans="1:14" ht="15" hidden="1" customHeight="1" x14ac:dyDescent="0.2">
      <c r="H36" s="2" t="str">
        <f t="shared" si="2"/>
        <v>Computers Computer – Electronics</v>
      </c>
      <c r="I36" s="2" t="s">
        <v>60</v>
      </c>
      <c r="J36" s="2" t="s">
        <v>63</v>
      </c>
      <c r="K36" s="2" t="str">
        <f t="shared" si="3"/>
        <v>Computers Computer – Electronics</v>
      </c>
      <c r="L36" s="2">
        <v>7.98</v>
      </c>
      <c r="M36" s="2">
        <v>7.98</v>
      </c>
      <c r="N36" s="2"/>
    </row>
    <row r="37" spans="1:14" ht="15" hidden="1" customHeight="1" x14ac:dyDescent="0.2">
      <c r="H37" s="2" t="str">
        <f t="shared" si="2"/>
        <v>Construction Ceramic Tiles &amp; Sanitary ware</v>
      </c>
      <c r="I37" s="2" t="s">
        <v>64</v>
      </c>
      <c r="J37" s="2" t="s">
        <v>65</v>
      </c>
      <c r="K37" s="2" t="str">
        <f t="shared" si="3"/>
        <v>Construction Ceramic Tiles &amp; Sanitary ware</v>
      </c>
      <c r="L37" s="2">
        <v>9.64</v>
      </c>
      <c r="M37" s="2">
        <v>5.04</v>
      </c>
      <c r="N37" s="2"/>
    </row>
    <row r="38" spans="1:14" ht="15" hidden="1" customHeight="1" x14ac:dyDescent="0.2">
      <c r="H38" s="2" t="str">
        <f t="shared" si="2"/>
        <v>Construction Construction equipment’s</v>
      </c>
      <c r="I38" s="2" t="s">
        <v>64</v>
      </c>
      <c r="J38" s="2" t="s">
        <v>68</v>
      </c>
      <c r="K38" s="2" t="str">
        <f t="shared" si="3"/>
        <v>Construction Construction equipment’s</v>
      </c>
      <c r="L38" s="2">
        <v>9.1300000000000008</v>
      </c>
      <c r="M38" s="2">
        <v>9.1300000000000008</v>
      </c>
      <c r="N38" s="2"/>
    </row>
    <row r="39" spans="1:14" ht="15" hidden="1" customHeight="1" x14ac:dyDescent="0.2">
      <c r="H39" s="2" t="str">
        <f t="shared" si="2"/>
        <v>Construction Construction (Industrial)</v>
      </c>
      <c r="I39" s="2" t="s">
        <v>64</v>
      </c>
      <c r="J39" s="2" t="s">
        <v>69</v>
      </c>
      <c r="K39" s="2" t="str">
        <f t="shared" si="3"/>
        <v>Construction Construction (Industrial)</v>
      </c>
      <c r="L39" s="2"/>
      <c r="M39" s="2"/>
      <c r="N39" s="2">
        <v>10.18</v>
      </c>
    </row>
    <row r="40" spans="1:14" ht="15" hidden="1" customHeight="1" x14ac:dyDescent="0.2">
      <c r="H40" s="2" t="str">
        <f t="shared" si="2"/>
        <v>Construction Construction (Roads)</v>
      </c>
      <c r="I40" s="2" t="s">
        <v>64</v>
      </c>
      <c r="J40" s="2" t="s">
        <v>70</v>
      </c>
      <c r="K40" s="2" t="str">
        <f t="shared" si="3"/>
        <v>Construction Construction (Roads)</v>
      </c>
      <c r="L40" s="2"/>
      <c r="M40" s="2"/>
      <c r="N40" s="2">
        <v>13.01</v>
      </c>
    </row>
    <row r="41" spans="1:14" ht="15" hidden="1" customHeight="1" x14ac:dyDescent="0.2">
      <c r="H41" s="2" t="str">
        <f t="shared" si="2"/>
        <v>Consumer Electronics Consumer Electronics</v>
      </c>
      <c r="I41" s="2" t="s">
        <v>71</v>
      </c>
      <c r="J41" s="2" t="s">
        <v>71</v>
      </c>
      <c r="K41" s="2" t="str">
        <f t="shared" si="3"/>
        <v>Consumer Electronics Consumer Electronics</v>
      </c>
      <c r="L41" s="2">
        <v>7.98</v>
      </c>
      <c r="M41" s="2">
        <v>7.98</v>
      </c>
      <c r="N41" s="2"/>
    </row>
    <row r="42" spans="1:14" ht="15" hidden="1" customHeight="1" x14ac:dyDescent="0.2">
      <c r="H42" s="2" t="str">
        <f t="shared" si="2"/>
        <v>Containers &amp; Packaging Packaging</v>
      </c>
      <c r="I42" s="2" t="s">
        <v>72</v>
      </c>
      <c r="J42" s="2" t="s">
        <v>73</v>
      </c>
      <c r="K42" s="2" t="str">
        <f t="shared" si="3"/>
        <v>Containers &amp; Packaging Packaging</v>
      </c>
      <c r="L42" s="2">
        <v>9.4499999999999993</v>
      </c>
      <c r="M42" s="2">
        <v>9.4499999999999993</v>
      </c>
      <c r="N42" s="2">
        <v>9.4499999999999993</v>
      </c>
    </row>
    <row r="43" spans="1:14" ht="15" hidden="1" customHeight="1" x14ac:dyDescent="0.2">
      <c r="H43" s="2" t="str">
        <f t="shared" si="2"/>
        <v>Durables Hardware, Plumbing &amp; Heating Equipment</v>
      </c>
      <c r="I43" s="2" t="s">
        <v>74</v>
      </c>
      <c r="J43" s="2" t="s">
        <v>75</v>
      </c>
      <c r="K43" s="2" t="str">
        <f t="shared" si="3"/>
        <v>Durables Hardware, Plumbing &amp; Heating Equipment</v>
      </c>
      <c r="L43" s="2">
        <v>6.94</v>
      </c>
      <c r="M43" s="2">
        <v>6.94</v>
      </c>
      <c r="N43" s="2">
        <v>6.94</v>
      </c>
    </row>
    <row r="44" spans="1:14" ht="15" hidden="1" customHeight="1" x14ac:dyDescent="0.2">
      <c r="H44" s="2" t="str">
        <f t="shared" si="2"/>
        <v>Electronics Domestic Appliances &amp; Machinery</v>
      </c>
      <c r="I44" s="2" t="s">
        <v>76</v>
      </c>
      <c r="J44" s="2" t="s">
        <v>77</v>
      </c>
      <c r="K44" s="2" t="str">
        <f t="shared" si="3"/>
        <v>Electronics Domestic Appliances &amp; Machinery</v>
      </c>
      <c r="L44" s="2">
        <v>8.58</v>
      </c>
      <c r="M44" s="2">
        <v>8.58</v>
      </c>
      <c r="N44" s="2"/>
    </row>
    <row r="45" spans="1:14" ht="15" hidden="1" customHeight="1" x14ac:dyDescent="0.2">
      <c r="H45" s="2" t="str">
        <f t="shared" si="2"/>
        <v>Entertainments &amp; Leisure Hotels &amp; Restaurants</v>
      </c>
      <c r="I45" s="2" t="s">
        <v>78</v>
      </c>
      <c r="J45" s="2" t="s">
        <v>79</v>
      </c>
      <c r="K45" s="2" t="str">
        <f t="shared" si="3"/>
        <v>Entertainments &amp; Leisure Hotels &amp; Restaurants</v>
      </c>
      <c r="L45" s="2"/>
      <c r="M45" s="2"/>
      <c r="N45" s="2">
        <v>18.14</v>
      </c>
    </row>
    <row r="46" spans="1:14" ht="15" hidden="1" customHeight="1" x14ac:dyDescent="0.2">
      <c r="H46" s="2" t="str">
        <f t="shared" si="2"/>
        <v>Entertainments &amp; Leisure Recreation &amp; Amusement Parks</v>
      </c>
      <c r="I46" s="2" t="s">
        <v>78</v>
      </c>
      <c r="J46" s="2" t="s">
        <v>80</v>
      </c>
      <c r="K46" s="2" t="str">
        <f t="shared" si="3"/>
        <v>Entertainments &amp; Leisure Recreation &amp; Amusement Parks</v>
      </c>
      <c r="L46" s="2"/>
      <c r="M46" s="2"/>
      <c r="N46" s="2">
        <v>10.38</v>
      </c>
    </row>
    <row r="47" spans="1:14" ht="15" hidden="1" customHeight="1" x14ac:dyDescent="0.2">
      <c r="H47" s="2" t="str">
        <f t="shared" si="2"/>
        <v>Entertainments &amp; Leisure Travel Services</v>
      </c>
      <c r="I47" s="2" t="s">
        <v>78</v>
      </c>
      <c r="J47" s="2" t="s">
        <v>81</v>
      </c>
      <c r="K47" s="2" t="str">
        <f t="shared" si="3"/>
        <v>Entertainments &amp; Leisure Travel Services</v>
      </c>
      <c r="L47" s="2"/>
      <c r="M47" s="2"/>
      <c r="N47" s="2">
        <v>5.4</v>
      </c>
    </row>
    <row r="48" spans="1:14" ht="15" hidden="1" customHeight="1" x14ac:dyDescent="0.2">
      <c r="H48" s="2" t="str">
        <f t="shared" si="2"/>
        <v>FMCG FMCG</v>
      </c>
      <c r="I48" s="2" t="s">
        <v>82</v>
      </c>
      <c r="J48" s="2" t="s">
        <v>82</v>
      </c>
      <c r="K48" s="2" t="str">
        <f t="shared" si="3"/>
        <v>FMCG FMCG</v>
      </c>
      <c r="L48" s="2">
        <v>7.6</v>
      </c>
      <c r="M48" s="2">
        <v>5.04</v>
      </c>
      <c r="N48" s="2"/>
    </row>
    <row r="49" spans="8:14" ht="15" hidden="1" customHeight="1" x14ac:dyDescent="0.2">
      <c r="H49" s="2" t="str">
        <f t="shared" si="2"/>
        <v>Food and Beverages Beer, Wine &amp;Distilled Alcoholic Beverages</v>
      </c>
      <c r="I49" s="2" t="s">
        <v>83</v>
      </c>
      <c r="J49" s="2" t="s">
        <v>84</v>
      </c>
      <c r="K49" s="2" t="str">
        <f t="shared" si="3"/>
        <v>Food and Beverages Beer, Wine &amp;Distilled Alcoholic Beverages</v>
      </c>
      <c r="L49" s="2">
        <v>7.17</v>
      </c>
      <c r="M49" s="2">
        <v>3.95</v>
      </c>
      <c r="N49" s="2"/>
    </row>
    <row r="50" spans="8:14" ht="15" hidden="1" customHeight="1" x14ac:dyDescent="0.2">
      <c r="H50" s="2" t="str">
        <f t="shared" si="2"/>
        <v>Food and Beverages Processed/Packaged, foods/foods &amp; beverages products (other than poultry meat)</v>
      </c>
      <c r="I50" s="2" t="s">
        <v>83</v>
      </c>
      <c r="J50" s="2" t="s">
        <v>85</v>
      </c>
      <c r="K50" s="2" t="str">
        <f t="shared" si="3"/>
        <v>Food and Beverages Processed/Packaged, foods/foods &amp; beverages products (other than poultry meat)</v>
      </c>
      <c r="L50" s="2">
        <v>6.49</v>
      </c>
      <c r="M50" s="2">
        <v>3.95</v>
      </c>
      <c r="N50" s="2"/>
    </row>
    <row r="51" spans="8:14" ht="15" hidden="1" customHeight="1" x14ac:dyDescent="0.2">
      <c r="H51" s="2" t="str">
        <f t="shared" si="2"/>
        <v>Food and Beverages Soft Drinks</v>
      </c>
      <c r="I51" s="2" t="s">
        <v>83</v>
      </c>
      <c r="J51" s="2" t="s">
        <v>86</v>
      </c>
      <c r="K51" s="2" t="str">
        <f t="shared" si="3"/>
        <v>Food and Beverages Soft Drinks</v>
      </c>
      <c r="L51" s="2">
        <v>7.17</v>
      </c>
      <c r="M51" s="2">
        <v>3.95</v>
      </c>
      <c r="N51" s="2"/>
    </row>
    <row r="52" spans="8:14" ht="15" hidden="1" customHeight="1" x14ac:dyDescent="0.2">
      <c r="H52" s="2" t="str">
        <f t="shared" si="2"/>
        <v>Food Processing Bakery products</v>
      </c>
      <c r="I52" s="2" t="s">
        <v>87</v>
      </c>
      <c r="J52" s="2" t="s">
        <v>88</v>
      </c>
      <c r="K52" s="2" t="str">
        <f t="shared" si="3"/>
        <v>Food Processing Bakery products</v>
      </c>
      <c r="L52" s="2">
        <v>4.34</v>
      </c>
      <c r="M52" s="2">
        <v>3.95</v>
      </c>
      <c r="N52" s="2"/>
    </row>
    <row r="53" spans="8:14" ht="15" hidden="1" customHeight="1" x14ac:dyDescent="0.2">
      <c r="H53" s="2" t="str">
        <f t="shared" si="2"/>
        <v>Food Products Dairy products</v>
      </c>
      <c r="I53" s="2" t="s">
        <v>89</v>
      </c>
      <c r="J53" s="2" t="s">
        <v>90</v>
      </c>
      <c r="K53" s="2" t="str">
        <f t="shared" si="3"/>
        <v>Food Products Dairy products</v>
      </c>
      <c r="L53" s="2">
        <v>5.33</v>
      </c>
      <c r="M53" s="2">
        <v>3.95</v>
      </c>
      <c r="N53" s="2"/>
    </row>
    <row r="54" spans="8:14" ht="15" hidden="1" customHeight="1" x14ac:dyDescent="0.2">
      <c r="H54" s="2" t="str">
        <f t="shared" si="2"/>
        <v>Food Products Marine foods</v>
      </c>
      <c r="I54" s="2" t="s">
        <v>89</v>
      </c>
      <c r="J54" s="2" t="s">
        <v>91</v>
      </c>
      <c r="K54" s="2" t="str">
        <f t="shared" si="3"/>
        <v>Food Products Marine foods</v>
      </c>
      <c r="L54" s="2">
        <v>9.42</v>
      </c>
      <c r="M54" s="2">
        <v>3.95</v>
      </c>
      <c r="N54" s="2"/>
    </row>
    <row r="55" spans="8:14" ht="15" hidden="1" customHeight="1" x14ac:dyDescent="0.2">
      <c r="H55" s="2" t="str">
        <f t="shared" si="2"/>
        <v>Food Products Milling products</v>
      </c>
      <c r="I55" s="2" t="s">
        <v>89</v>
      </c>
      <c r="J55" s="2" t="s">
        <v>92</v>
      </c>
      <c r="K55" s="2" t="str">
        <f t="shared" si="3"/>
        <v>Food Products Milling products</v>
      </c>
      <c r="L55" s="2">
        <v>3.4</v>
      </c>
      <c r="M55" s="2">
        <v>3.95</v>
      </c>
      <c r="N55" s="2"/>
    </row>
    <row r="56" spans="8:14" ht="15" hidden="1" customHeight="1" x14ac:dyDescent="0.2">
      <c r="H56" s="2" t="str">
        <f t="shared" si="2"/>
        <v>Food Products Rice</v>
      </c>
      <c r="I56" s="2" t="s">
        <v>89</v>
      </c>
      <c r="J56" s="2" t="s">
        <v>93</v>
      </c>
      <c r="K56" s="2" t="str">
        <f t="shared" si="3"/>
        <v>Food Products Rice</v>
      </c>
      <c r="L56" s="2">
        <v>4.8899999999999997</v>
      </c>
      <c r="M56" s="2">
        <v>3.95</v>
      </c>
      <c r="N56" s="2"/>
    </row>
    <row r="57" spans="8:14" ht="15" hidden="1" customHeight="1" x14ac:dyDescent="0.2">
      <c r="H57" s="2" t="str">
        <f t="shared" si="2"/>
        <v>Food Products Soya bean products</v>
      </c>
      <c r="I57" s="2" t="s">
        <v>89</v>
      </c>
      <c r="J57" s="2" t="s">
        <v>94</v>
      </c>
      <c r="K57" s="2" t="str">
        <f t="shared" si="3"/>
        <v>Food Products Soya bean products</v>
      </c>
      <c r="L57" s="2">
        <v>6.64</v>
      </c>
      <c r="M57" s="2">
        <v>3.95</v>
      </c>
      <c r="N57" s="2"/>
    </row>
    <row r="58" spans="8:14" ht="15" hidden="1" customHeight="1" x14ac:dyDescent="0.2">
      <c r="H58" s="2" t="str">
        <f t="shared" si="2"/>
        <v>Granite / Marbles Granite</v>
      </c>
      <c r="I58" s="2" t="s">
        <v>95</v>
      </c>
      <c r="J58" s="2" t="s">
        <v>96</v>
      </c>
      <c r="K58" s="2" t="str">
        <f t="shared" si="3"/>
        <v>Granite / Marbles Granite</v>
      </c>
      <c r="L58" s="2">
        <v>11.15</v>
      </c>
      <c r="M58" s="2">
        <v>5.8</v>
      </c>
      <c r="N58" s="2"/>
    </row>
    <row r="59" spans="8:14" ht="15" hidden="1" customHeight="1" x14ac:dyDescent="0.2">
      <c r="H59" s="2" t="str">
        <f t="shared" si="2"/>
        <v>Hardware Equipment Office Equipment</v>
      </c>
      <c r="I59" s="2" t="s">
        <v>97</v>
      </c>
      <c r="J59" s="2" t="s">
        <v>98</v>
      </c>
      <c r="K59" s="2" t="str">
        <f t="shared" si="3"/>
        <v>Hardware Equipment Office Equipment</v>
      </c>
      <c r="L59" s="2">
        <v>7.98</v>
      </c>
      <c r="M59" s="2">
        <v>7.98</v>
      </c>
      <c r="N59" s="2"/>
    </row>
    <row r="60" spans="8:14" ht="15" hidden="1" customHeight="1" x14ac:dyDescent="0.2">
      <c r="H60" s="2" t="str">
        <f t="shared" si="2"/>
        <v>Healthcare Medical &amp; Health Services/Diagnostic center</v>
      </c>
      <c r="I60" s="2" t="s">
        <v>99</v>
      </c>
      <c r="J60" s="2" t="s">
        <v>100</v>
      </c>
      <c r="K60" s="2" t="str">
        <f t="shared" si="3"/>
        <v>Healthcare Medical &amp; Health Services/Diagnostic center</v>
      </c>
      <c r="L60" s="2"/>
      <c r="M60" s="2"/>
      <c r="N60" s="2">
        <v>18.5</v>
      </c>
    </row>
    <row r="61" spans="8:14" ht="15" hidden="1" customHeight="1" x14ac:dyDescent="0.2">
      <c r="H61" s="2" t="str">
        <f t="shared" si="2"/>
        <v>Healthcare Medical Equipment &amp; medical supplies</v>
      </c>
      <c r="I61" s="2" t="s">
        <v>99</v>
      </c>
      <c r="J61" s="2" t="s">
        <v>101</v>
      </c>
      <c r="K61" s="2" t="str">
        <f t="shared" si="3"/>
        <v>Healthcare Medical Equipment &amp; medical supplies</v>
      </c>
      <c r="L61" s="2">
        <v>8.8000000000000007</v>
      </c>
      <c r="M61" s="2">
        <v>8.8000000000000007</v>
      </c>
      <c r="N61" s="2"/>
    </row>
    <row r="62" spans="8:14" ht="15" hidden="1" customHeight="1" x14ac:dyDescent="0.2">
      <c r="H62" s="2" t="str">
        <f t="shared" si="2"/>
        <v>Healthcare Providers Diagnostic centers</v>
      </c>
      <c r="I62" s="2" t="s">
        <v>102</v>
      </c>
      <c r="J62" s="2" t="s">
        <v>103</v>
      </c>
      <c r="K62" s="2" t="str">
        <f t="shared" si="3"/>
        <v>Healthcare Providers Diagnostic centers</v>
      </c>
      <c r="L62" s="2"/>
      <c r="M62" s="2"/>
      <c r="N62" s="2">
        <v>18.5</v>
      </c>
    </row>
    <row r="63" spans="8:14" ht="15" hidden="1" customHeight="1" x14ac:dyDescent="0.2">
      <c r="H63" s="2" t="str">
        <f t="shared" si="2"/>
        <v>Healthcare Providers Drugs&amp;Pharmaceuticals</v>
      </c>
      <c r="I63" s="2" t="s">
        <v>102</v>
      </c>
      <c r="J63" s="2" t="s">
        <v>104</v>
      </c>
      <c r="K63" s="2" t="str">
        <f t="shared" ref="K63:K126" si="4">I63&amp;" "&amp;J63</f>
        <v>Healthcare Providers Drugs&amp;Pharmaceuticals</v>
      </c>
      <c r="L63" s="2">
        <v>11.15</v>
      </c>
      <c r="M63" s="2">
        <v>5.65</v>
      </c>
      <c r="N63" s="2"/>
    </row>
    <row r="64" spans="8:14" ht="15" hidden="1" customHeight="1" x14ac:dyDescent="0.2">
      <c r="H64" s="2" t="str">
        <f t="shared" si="2"/>
        <v>Healthcare Providers Hospitals</v>
      </c>
      <c r="I64" s="2" t="s">
        <v>102</v>
      </c>
      <c r="J64" s="2" t="s">
        <v>105</v>
      </c>
      <c r="K64" s="2" t="str">
        <f t="shared" si="4"/>
        <v>Healthcare Providers Hospitals</v>
      </c>
      <c r="L64" s="2"/>
      <c r="M64" s="2"/>
      <c r="N64" s="2">
        <v>13.41</v>
      </c>
    </row>
    <row r="65" spans="8:14" ht="15" hidden="1" customHeight="1" x14ac:dyDescent="0.2">
      <c r="H65" s="2" t="str">
        <f t="shared" ref="H65:H128" si="5">I65&amp;" "&amp;J65</f>
        <v>Household Products Detergents &amp; intermediates</v>
      </c>
      <c r="I65" s="2" t="s">
        <v>106</v>
      </c>
      <c r="J65" s="2" t="s">
        <v>107</v>
      </c>
      <c r="K65" s="2" t="str">
        <f t="shared" si="4"/>
        <v>Household Products Detergents &amp; intermediates</v>
      </c>
      <c r="L65" s="2">
        <v>7.6</v>
      </c>
      <c r="M65" s="2">
        <v>5.04</v>
      </c>
      <c r="N65" s="2"/>
    </row>
    <row r="66" spans="8:14" ht="15" hidden="1" customHeight="1" x14ac:dyDescent="0.2">
      <c r="H66" s="2" t="str">
        <f t="shared" si="5"/>
        <v>Household Products Electronics Equipment</v>
      </c>
      <c r="I66" s="2" t="s">
        <v>106</v>
      </c>
      <c r="J66" s="2" t="s">
        <v>108</v>
      </c>
      <c r="K66" s="2" t="str">
        <f t="shared" si="4"/>
        <v>Household Products Electronics Equipment</v>
      </c>
      <c r="L66" s="2">
        <v>8.58</v>
      </c>
      <c r="M66" s="2">
        <v>8.58</v>
      </c>
      <c r="N66" s="2"/>
    </row>
    <row r="67" spans="8:14" ht="15" hidden="1" customHeight="1" x14ac:dyDescent="0.2">
      <c r="H67" s="2" t="str">
        <f t="shared" si="5"/>
        <v>Household Products non - electrical machinery</v>
      </c>
      <c r="I67" s="2" t="s">
        <v>106</v>
      </c>
      <c r="J67" s="2" t="s">
        <v>109</v>
      </c>
      <c r="K67" s="2" t="str">
        <f t="shared" si="4"/>
        <v>Household Products non - electrical machinery</v>
      </c>
      <c r="L67" s="2"/>
      <c r="M67" s="2"/>
      <c r="N67" s="2"/>
    </row>
    <row r="68" spans="8:14" ht="15" hidden="1" customHeight="1" x14ac:dyDescent="0.2">
      <c r="H68" s="2" t="str">
        <f t="shared" si="5"/>
        <v>Household Products Personal Care</v>
      </c>
      <c r="I68" s="2" t="s">
        <v>106</v>
      </c>
      <c r="J68" s="2" t="s">
        <v>110</v>
      </c>
      <c r="K68" s="2" t="str">
        <f t="shared" si="4"/>
        <v>Household Products Personal Care</v>
      </c>
      <c r="L68" s="2">
        <v>7.6</v>
      </c>
      <c r="M68" s="2">
        <v>5.04</v>
      </c>
      <c r="N68" s="2"/>
    </row>
    <row r="69" spans="8:14" ht="15" hidden="1" customHeight="1" x14ac:dyDescent="0.2">
      <c r="H69" s="2" t="str">
        <f t="shared" si="5"/>
        <v>Industrial Equipment Abrasives &amp; Grinding</v>
      </c>
      <c r="I69" s="2" t="s">
        <v>111</v>
      </c>
      <c r="J69" s="2" t="s">
        <v>112</v>
      </c>
      <c r="K69" s="2" t="str">
        <f t="shared" si="4"/>
        <v>Industrial Equipment Abrasives &amp; Grinding</v>
      </c>
      <c r="L69" s="2">
        <v>8.2200000000000006</v>
      </c>
      <c r="M69" s="2">
        <v>8.2200000000000006</v>
      </c>
      <c r="N69" s="2"/>
    </row>
    <row r="70" spans="8:14" ht="15" hidden="1" customHeight="1" x14ac:dyDescent="0.2">
      <c r="H70" s="2" t="str">
        <f t="shared" si="5"/>
        <v>Industrial Equipment Bearings</v>
      </c>
      <c r="I70" s="2" t="s">
        <v>111</v>
      </c>
      <c r="J70" s="2" t="s">
        <v>113</v>
      </c>
      <c r="K70" s="2" t="str">
        <f t="shared" si="4"/>
        <v>Industrial Equipment Bearings</v>
      </c>
      <c r="L70" s="2">
        <v>11.78</v>
      </c>
      <c r="M70" s="2">
        <v>11.78</v>
      </c>
      <c r="N70" s="2"/>
    </row>
    <row r="71" spans="8:14" ht="15" hidden="1" customHeight="1" x14ac:dyDescent="0.2">
      <c r="H71" s="2" t="str">
        <f t="shared" si="5"/>
        <v>Industrial Equipment Compressors</v>
      </c>
      <c r="I71" s="2" t="s">
        <v>111</v>
      </c>
      <c r="J71" s="2" t="s">
        <v>114</v>
      </c>
      <c r="K71" s="2" t="str">
        <f t="shared" si="4"/>
        <v>Industrial Equipment Compressors</v>
      </c>
      <c r="L71" s="2">
        <v>11.94</v>
      </c>
      <c r="M71" s="2">
        <v>11.94</v>
      </c>
      <c r="N71" s="2"/>
    </row>
    <row r="72" spans="8:14" ht="15" hidden="1" customHeight="1" x14ac:dyDescent="0.2">
      <c r="H72" s="2" t="str">
        <f t="shared" si="5"/>
        <v>Industrial Equipment Electrical Equipment’s/Railway equipment</v>
      </c>
      <c r="I72" s="2" t="s">
        <v>111</v>
      </c>
      <c r="J72" s="2" t="s">
        <v>115</v>
      </c>
      <c r="K72" s="2" t="str">
        <f t="shared" si="4"/>
        <v>Industrial Equipment Electrical Equipment’s/Railway equipment</v>
      </c>
      <c r="L72" s="2">
        <v>10.36</v>
      </c>
      <c r="M72" s="2">
        <v>5.1100000000000003</v>
      </c>
      <c r="N72" s="2"/>
    </row>
    <row r="73" spans="8:14" ht="15" hidden="1" customHeight="1" x14ac:dyDescent="0.2">
      <c r="H73" s="2" t="str">
        <f t="shared" si="5"/>
        <v>Industrial Equipment Welding electrodes / sticks / wires / fluxes welding related only</v>
      </c>
      <c r="I73" s="2" t="s">
        <v>111</v>
      </c>
      <c r="J73" s="2" t="s">
        <v>116</v>
      </c>
      <c r="K73" s="2" t="str">
        <f t="shared" si="4"/>
        <v>Industrial Equipment Welding electrodes / sticks / wires / fluxes welding related only</v>
      </c>
      <c r="L73" s="2">
        <v>10.62</v>
      </c>
      <c r="M73" s="2">
        <v>10.62</v>
      </c>
      <c r="N73" s="2"/>
    </row>
    <row r="74" spans="8:14" ht="15" hidden="1" customHeight="1" x14ac:dyDescent="0.2">
      <c r="H74" s="2" t="str">
        <f t="shared" si="5"/>
        <v>Industrial Equipment Engines</v>
      </c>
      <c r="I74" s="2" t="s">
        <v>111</v>
      </c>
      <c r="J74" s="2" t="s">
        <v>117</v>
      </c>
      <c r="K74" s="2" t="str">
        <f t="shared" si="4"/>
        <v>Industrial Equipment Engines</v>
      </c>
      <c r="L74" s="2">
        <v>8.2799999999999994</v>
      </c>
      <c r="M74" s="2">
        <v>8.2799999999999994</v>
      </c>
      <c r="N74" s="2"/>
    </row>
    <row r="75" spans="8:14" ht="15" hidden="1" customHeight="1" x14ac:dyDescent="0.2">
      <c r="H75" s="2" t="str">
        <f t="shared" si="5"/>
        <v>Industrial Equipment Fasteners</v>
      </c>
      <c r="I75" s="2" t="s">
        <v>111</v>
      </c>
      <c r="J75" s="2" t="s">
        <v>118</v>
      </c>
      <c r="K75" s="2" t="str">
        <f t="shared" si="4"/>
        <v>Industrial Equipment Fasteners</v>
      </c>
      <c r="L75" s="2">
        <v>11.57</v>
      </c>
      <c r="M75" s="2">
        <v>11.57</v>
      </c>
      <c r="N75" s="2"/>
    </row>
    <row r="76" spans="8:14" ht="15" hidden="1" customHeight="1" x14ac:dyDescent="0.2">
      <c r="H76" s="2" t="str">
        <f t="shared" si="5"/>
        <v>Industrial Equipment Industrial furnaces</v>
      </c>
      <c r="I76" s="2" t="s">
        <v>111</v>
      </c>
      <c r="J76" s="2" t="s">
        <v>119</v>
      </c>
      <c r="K76" s="2" t="str">
        <f t="shared" si="4"/>
        <v>Industrial Equipment Industrial furnaces</v>
      </c>
      <c r="L76" s="2">
        <v>2.12</v>
      </c>
      <c r="M76" s="2">
        <v>2.12</v>
      </c>
      <c r="N76" s="2"/>
    </row>
    <row r="77" spans="8:14" ht="15" hidden="1" customHeight="1" x14ac:dyDescent="0.2">
      <c r="H77" s="2" t="str">
        <f t="shared" si="5"/>
        <v>Industrial Equipment Industrial machinery (All Types)</v>
      </c>
      <c r="I77" s="2" t="s">
        <v>111</v>
      </c>
      <c r="J77" s="2" t="s">
        <v>120</v>
      </c>
      <c r="K77" s="2" t="str">
        <f t="shared" si="4"/>
        <v>Industrial Equipment Industrial machinery (All Types)</v>
      </c>
      <c r="L77" s="2">
        <v>10.36</v>
      </c>
      <c r="M77" s="2">
        <v>5.1100000000000003</v>
      </c>
      <c r="N77" s="2"/>
    </row>
    <row r="78" spans="8:14" ht="15" hidden="1" customHeight="1" x14ac:dyDescent="0.2">
      <c r="H78" s="2" t="str">
        <f t="shared" si="5"/>
        <v>Industrial Equipment Machine Tools</v>
      </c>
      <c r="I78" s="2" t="s">
        <v>111</v>
      </c>
      <c r="J78" s="2" t="s">
        <v>121</v>
      </c>
      <c r="K78" s="2" t="str">
        <f t="shared" si="4"/>
        <v>Industrial Equipment Machine Tools</v>
      </c>
      <c r="L78" s="2">
        <v>9.2100000000000009</v>
      </c>
      <c r="M78" s="2">
        <v>9.2100000000000009</v>
      </c>
      <c r="N78" s="2"/>
    </row>
    <row r="79" spans="8:14" ht="15" hidden="1" customHeight="1" x14ac:dyDescent="0.2">
      <c r="H79" s="2" t="str">
        <f t="shared" si="5"/>
        <v>Industrial Equipment Motors &amp; generators</v>
      </c>
      <c r="I79" s="2" t="s">
        <v>111</v>
      </c>
      <c r="J79" s="2" t="s">
        <v>122</v>
      </c>
      <c r="K79" s="2" t="str">
        <f t="shared" si="4"/>
        <v>Industrial Equipment Motors &amp; generators</v>
      </c>
      <c r="L79" s="2">
        <v>10.36</v>
      </c>
      <c r="M79" s="2">
        <v>5.1100000000000003</v>
      </c>
      <c r="N79" s="2"/>
    </row>
    <row r="80" spans="8:14" ht="15" hidden="1" customHeight="1" x14ac:dyDescent="0.2">
      <c r="H80" s="2" t="str">
        <f t="shared" si="5"/>
        <v>Industrial Equipment Power transmission line services</v>
      </c>
      <c r="I80" s="2" t="s">
        <v>111</v>
      </c>
      <c r="J80" s="2" t="s">
        <v>123</v>
      </c>
      <c r="K80" s="2" t="str">
        <f t="shared" si="4"/>
        <v>Industrial Equipment Power transmission line services</v>
      </c>
      <c r="L80" s="2"/>
      <c r="M80" s="2"/>
      <c r="N80" s="2">
        <v>12.91</v>
      </c>
    </row>
    <row r="81" spans="8:14" ht="15" hidden="1" customHeight="1" x14ac:dyDescent="0.2">
      <c r="H81" s="2" t="str">
        <f t="shared" si="5"/>
        <v>Industrial Equipment Pumps</v>
      </c>
      <c r="I81" s="2" t="s">
        <v>111</v>
      </c>
      <c r="J81" s="2" t="s">
        <v>124</v>
      </c>
      <c r="K81" s="2" t="str">
        <f t="shared" si="4"/>
        <v>Industrial Equipment Pumps</v>
      </c>
      <c r="L81" s="2">
        <v>12.81</v>
      </c>
      <c r="M81" s="2">
        <v>12.81</v>
      </c>
      <c r="N81" s="2"/>
    </row>
    <row r="82" spans="8:14" ht="15" hidden="1" customHeight="1" x14ac:dyDescent="0.2">
      <c r="H82" s="2" t="str">
        <f t="shared" si="5"/>
        <v>Industrial Equipment Storage batteries</v>
      </c>
      <c r="I82" s="2" t="s">
        <v>111</v>
      </c>
      <c r="J82" s="2" t="s">
        <v>125</v>
      </c>
      <c r="K82" s="2" t="str">
        <f t="shared" si="4"/>
        <v>Industrial Equipment Storage batteries</v>
      </c>
      <c r="L82" s="2">
        <v>7.75</v>
      </c>
      <c r="M82" s="2">
        <v>7.75</v>
      </c>
      <c r="N82" s="2"/>
    </row>
    <row r="83" spans="8:14" ht="15" hidden="1" customHeight="1" x14ac:dyDescent="0.2">
      <c r="H83" s="2" t="str">
        <f t="shared" si="5"/>
        <v>Industrial Equipment Structure’s</v>
      </c>
      <c r="I83" s="2" t="s">
        <v>111</v>
      </c>
      <c r="J83" s="2" t="s">
        <v>126</v>
      </c>
      <c r="K83" s="2" t="str">
        <f t="shared" si="4"/>
        <v>Industrial Equipment Structure’s</v>
      </c>
      <c r="L83" s="2">
        <v>6.6</v>
      </c>
      <c r="M83" s="2">
        <v>6.6</v>
      </c>
      <c r="N83" s="2"/>
    </row>
    <row r="84" spans="8:14" ht="15" hidden="1" customHeight="1" x14ac:dyDescent="0.2">
      <c r="H84" s="2" t="str">
        <f t="shared" si="5"/>
        <v>Industrial Equipment Switching apparatus</v>
      </c>
      <c r="I84" s="2" t="s">
        <v>111</v>
      </c>
      <c r="J84" s="2" t="s">
        <v>127</v>
      </c>
      <c r="K84" s="2" t="str">
        <f t="shared" si="4"/>
        <v>Industrial Equipment Switching apparatus</v>
      </c>
      <c r="L84" s="2">
        <v>9.91</v>
      </c>
      <c r="M84" s="2">
        <v>9.91</v>
      </c>
      <c r="N84" s="2"/>
    </row>
    <row r="85" spans="8:14" ht="15" hidden="1" customHeight="1" x14ac:dyDescent="0.2">
      <c r="H85" s="2" t="str">
        <f t="shared" si="5"/>
        <v>Industrial Equipment Transformers</v>
      </c>
      <c r="I85" s="2" t="s">
        <v>111</v>
      </c>
      <c r="J85" s="2" t="s">
        <v>128</v>
      </c>
      <c r="K85" s="2" t="str">
        <f t="shared" si="4"/>
        <v>Industrial Equipment Transformers</v>
      </c>
      <c r="L85" s="2">
        <v>7.13</v>
      </c>
      <c r="M85" s="2">
        <v>7.13</v>
      </c>
      <c r="N85" s="2"/>
    </row>
    <row r="86" spans="8:14" ht="15" hidden="1" customHeight="1" x14ac:dyDescent="0.2">
      <c r="H86" s="2" t="str">
        <f t="shared" si="5"/>
        <v>Jewelry Gems &amp;Jewelry</v>
      </c>
      <c r="I86" s="2" t="s">
        <v>129</v>
      </c>
      <c r="J86" s="2" t="s">
        <v>130</v>
      </c>
      <c r="K86" s="2" t="str">
        <f t="shared" si="4"/>
        <v>Jewelry Gems &amp;Jewelry</v>
      </c>
      <c r="L86" s="2">
        <v>6.61</v>
      </c>
      <c r="M86" s="2">
        <v>6.61</v>
      </c>
      <c r="N86" s="2"/>
    </row>
    <row r="87" spans="8:14" ht="15" hidden="1" customHeight="1" x14ac:dyDescent="0.2">
      <c r="H87" s="2" t="str">
        <f t="shared" si="5"/>
        <v>Media Advertising</v>
      </c>
      <c r="I87" s="2" t="s">
        <v>131</v>
      </c>
      <c r="J87" s="2" t="s">
        <v>132</v>
      </c>
      <c r="K87" s="2" t="str">
        <f t="shared" si="4"/>
        <v>Media Advertising</v>
      </c>
      <c r="L87" s="2"/>
      <c r="M87" s="2"/>
      <c r="N87" s="2">
        <v>12.47</v>
      </c>
    </row>
    <row r="88" spans="8:14" ht="15" hidden="1" customHeight="1" x14ac:dyDescent="0.2">
      <c r="H88" s="2" t="str">
        <f t="shared" si="5"/>
        <v>Media Animation Content Provider</v>
      </c>
      <c r="I88" s="2" t="s">
        <v>131</v>
      </c>
      <c r="J88" s="2" t="s">
        <v>133</v>
      </c>
      <c r="K88" s="2" t="str">
        <f t="shared" si="4"/>
        <v>Media Animation Content Provider</v>
      </c>
      <c r="L88" s="2"/>
      <c r="M88" s="2"/>
      <c r="N88" s="2">
        <v>12.9</v>
      </c>
    </row>
    <row r="89" spans="8:14" ht="15" hidden="1" customHeight="1" x14ac:dyDescent="0.2">
      <c r="H89" s="2" t="str">
        <f t="shared" si="5"/>
        <v>Media Cable and other pay television services</v>
      </c>
      <c r="I89" s="2" t="s">
        <v>131</v>
      </c>
      <c r="J89" s="2" t="s">
        <v>134</v>
      </c>
      <c r="K89" s="2" t="str">
        <f t="shared" si="4"/>
        <v>Media Cable and other pay television services</v>
      </c>
      <c r="L89" s="2"/>
      <c r="M89" s="2"/>
      <c r="N89" s="2">
        <v>9.06</v>
      </c>
    </row>
    <row r="90" spans="8:14" ht="15" hidden="1" customHeight="1" x14ac:dyDescent="0.2">
      <c r="H90" s="2" t="str">
        <f t="shared" si="5"/>
        <v>Media Printing</v>
      </c>
      <c r="I90" s="2" t="s">
        <v>131</v>
      </c>
      <c r="J90" s="2" t="s">
        <v>135</v>
      </c>
      <c r="K90" s="2" t="str">
        <f t="shared" si="4"/>
        <v>Media Printing</v>
      </c>
      <c r="L90" s="2"/>
      <c r="M90" s="2"/>
      <c r="N90" s="2">
        <v>11.95</v>
      </c>
    </row>
    <row r="91" spans="8:14" ht="15" hidden="1" customHeight="1" x14ac:dyDescent="0.2">
      <c r="H91" s="2" t="str">
        <f t="shared" si="5"/>
        <v>Media Publishing</v>
      </c>
      <c r="I91" s="2" t="s">
        <v>131</v>
      </c>
      <c r="J91" s="2" t="s">
        <v>136</v>
      </c>
      <c r="K91" s="2" t="str">
        <f t="shared" si="4"/>
        <v>Media Publishing</v>
      </c>
      <c r="L91" s="2"/>
      <c r="M91" s="2"/>
      <c r="N91" s="2">
        <v>11.95</v>
      </c>
    </row>
    <row r="92" spans="8:14" ht="15" hidden="1" customHeight="1" x14ac:dyDescent="0.2">
      <c r="H92" s="2" t="str">
        <f t="shared" si="5"/>
        <v>Metals Aluminum&amp;Aluminum Products (Manufacturer)</v>
      </c>
      <c r="I92" s="2" t="s">
        <v>137</v>
      </c>
      <c r="J92" s="2" t="s">
        <v>138</v>
      </c>
      <c r="K92" s="2" t="str">
        <f t="shared" si="4"/>
        <v>Metals Aluminum&amp;Aluminum Products (Manufacturer)</v>
      </c>
      <c r="L92" s="2">
        <v>7.6</v>
      </c>
      <c r="M92" s="2">
        <v>3</v>
      </c>
      <c r="N92" s="2"/>
    </row>
    <row r="93" spans="8:14" ht="15" hidden="1" customHeight="1" x14ac:dyDescent="0.2">
      <c r="H93" s="2" t="str">
        <f t="shared" si="5"/>
        <v>Metals Castings &amp; forgings</v>
      </c>
      <c r="I93" s="2" t="s">
        <v>137</v>
      </c>
      <c r="J93" s="2" t="s">
        <v>139</v>
      </c>
      <c r="K93" s="2" t="str">
        <f t="shared" si="4"/>
        <v>Metals Castings &amp; forgings</v>
      </c>
      <c r="L93" s="2">
        <v>10.64</v>
      </c>
      <c r="M93" s="2">
        <v>3</v>
      </c>
      <c r="N93" s="2"/>
    </row>
    <row r="94" spans="8:14" ht="15" hidden="1" customHeight="1" x14ac:dyDescent="0.2">
      <c r="H94" s="2" t="str">
        <f t="shared" si="5"/>
        <v>Metals Copper &amp; copper products (other than wire)</v>
      </c>
      <c r="I94" s="2" t="s">
        <v>137</v>
      </c>
      <c r="J94" s="2" t="s">
        <v>140</v>
      </c>
      <c r="K94" s="2" t="str">
        <f t="shared" si="4"/>
        <v>Metals Copper &amp; copper products (other than wire)</v>
      </c>
      <c r="L94" s="2">
        <v>7.13</v>
      </c>
      <c r="M94" s="2">
        <v>3</v>
      </c>
      <c r="N94" s="2"/>
    </row>
    <row r="95" spans="8:14" ht="15" hidden="1" customHeight="1" x14ac:dyDescent="0.2">
      <c r="H95" s="2" t="str">
        <f t="shared" si="5"/>
        <v>Metals Ferro alloys, ferrous metals &amp; Pig iron</v>
      </c>
      <c r="I95" s="2" t="s">
        <v>137</v>
      </c>
      <c r="J95" s="2" t="s">
        <v>141</v>
      </c>
      <c r="K95" s="2" t="str">
        <f t="shared" si="4"/>
        <v>Metals Ferro alloys, ferrous metals &amp; Pig iron</v>
      </c>
      <c r="L95" s="2">
        <v>7.51</v>
      </c>
      <c r="M95" s="2">
        <v>3</v>
      </c>
      <c r="N95" s="2"/>
    </row>
    <row r="96" spans="8:14" ht="15" hidden="1" customHeight="1" x14ac:dyDescent="0.2">
      <c r="H96" s="2" t="str">
        <f t="shared" si="5"/>
        <v>Metals Other non-metallic mineral products</v>
      </c>
      <c r="I96" s="2" t="s">
        <v>137</v>
      </c>
      <c r="J96" s="2" t="s">
        <v>142</v>
      </c>
      <c r="K96" s="2" t="str">
        <f t="shared" si="4"/>
        <v>Metals Other non-metallic mineral products</v>
      </c>
      <c r="L96" s="2">
        <v>7.57</v>
      </c>
      <c r="M96" s="2">
        <v>3</v>
      </c>
      <c r="N96" s="2"/>
    </row>
    <row r="97" spans="8:14" ht="15" hidden="1" customHeight="1" x14ac:dyDescent="0.2">
      <c r="H97" s="2" t="str">
        <f t="shared" si="5"/>
        <v>Metals Metal Products (other than Steel, Aluminum and Copper) finished metal product only</v>
      </c>
      <c r="I97" s="2" t="s">
        <v>137</v>
      </c>
      <c r="J97" s="2" t="s">
        <v>143</v>
      </c>
      <c r="K97" s="2" t="str">
        <f t="shared" si="4"/>
        <v>Metals Metal Products (other than Steel, Aluminum and Copper) finished metal product only</v>
      </c>
      <c r="L97" s="2">
        <v>9.17</v>
      </c>
      <c r="M97" s="2">
        <v>3</v>
      </c>
      <c r="N97" s="2"/>
    </row>
    <row r="98" spans="8:14" ht="15" hidden="1" customHeight="1" x14ac:dyDescent="0.2">
      <c r="H98" s="2" t="str">
        <f t="shared" si="5"/>
        <v>Metals Metallic ores</v>
      </c>
      <c r="I98" s="2" t="s">
        <v>137</v>
      </c>
      <c r="J98" s="2" t="s">
        <v>144</v>
      </c>
      <c r="K98" s="2" t="str">
        <f t="shared" si="4"/>
        <v>Metals Metallic ores</v>
      </c>
      <c r="L98" s="2">
        <v>9.25</v>
      </c>
      <c r="M98" s="2">
        <v>3</v>
      </c>
      <c r="N98" s="2"/>
    </row>
    <row r="99" spans="8:14" ht="15" hidden="1" customHeight="1" x14ac:dyDescent="0.2">
      <c r="H99" s="2" t="str">
        <f t="shared" si="5"/>
        <v>Metals Other non-ferrous metals/Other non-metallic</v>
      </c>
      <c r="I99" s="2" t="s">
        <v>137</v>
      </c>
      <c r="J99" s="2" t="s">
        <v>145</v>
      </c>
      <c r="K99" s="2" t="str">
        <f t="shared" si="4"/>
        <v>Metals Other non-ferrous metals/Other non-metallic</v>
      </c>
      <c r="L99" s="2"/>
      <c r="M99" s="2">
        <v>3</v>
      </c>
      <c r="N99" s="2"/>
    </row>
    <row r="100" spans="8:14" ht="15" hidden="1" customHeight="1" x14ac:dyDescent="0.2">
      <c r="H100" s="2" t="str">
        <f t="shared" si="5"/>
        <v>Metals Rolled coils and rolled products</v>
      </c>
      <c r="I100" s="2" t="s">
        <v>137</v>
      </c>
      <c r="J100" s="2" t="s">
        <v>146</v>
      </c>
      <c r="K100" s="2" t="str">
        <f t="shared" si="4"/>
        <v>Metals Rolled coils and rolled products</v>
      </c>
      <c r="L100" s="2">
        <v>6.67</v>
      </c>
      <c r="M100" s="2">
        <v>3</v>
      </c>
      <c r="N100" s="2"/>
    </row>
    <row r="101" spans="8:14" ht="15" hidden="1" customHeight="1" x14ac:dyDescent="0.2">
      <c r="H101" s="2" t="str">
        <f t="shared" si="5"/>
        <v>Metals Tubes and pipes</v>
      </c>
      <c r="I101" s="2" t="s">
        <v>137</v>
      </c>
      <c r="J101" s="2" t="s">
        <v>147</v>
      </c>
      <c r="K101" s="2" t="str">
        <f t="shared" si="4"/>
        <v>Metals Tubes and pipes</v>
      </c>
      <c r="L101" s="2">
        <v>6.67</v>
      </c>
      <c r="M101" s="2">
        <v>3</v>
      </c>
      <c r="N101" s="2"/>
    </row>
    <row r="102" spans="8:14" ht="15" hidden="1" customHeight="1" x14ac:dyDescent="0.2">
      <c r="H102" s="2" t="str">
        <f t="shared" si="5"/>
        <v>Metals Wires and cables</v>
      </c>
      <c r="I102" s="2" t="s">
        <v>137</v>
      </c>
      <c r="J102" s="2" t="s">
        <v>148</v>
      </c>
      <c r="K102" s="2" t="str">
        <f t="shared" si="4"/>
        <v>Metals Wires and cables</v>
      </c>
      <c r="L102" s="2">
        <v>5</v>
      </c>
      <c r="M102" s="2">
        <v>3</v>
      </c>
      <c r="N102" s="2"/>
    </row>
    <row r="103" spans="8:14" ht="15" hidden="1" customHeight="1" x14ac:dyDescent="0.2">
      <c r="H103" s="2" t="str">
        <f t="shared" si="5"/>
        <v>Mining Coal and Lignite</v>
      </c>
      <c r="I103" s="2" t="s">
        <v>149</v>
      </c>
      <c r="J103" s="2" t="s">
        <v>150</v>
      </c>
      <c r="K103" s="2" t="str">
        <f t="shared" si="4"/>
        <v>Mining Coal and Lignite</v>
      </c>
      <c r="L103" s="2">
        <v>8.06</v>
      </c>
      <c r="M103" s="2">
        <v>3.84</v>
      </c>
      <c r="N103" s="2"/>
    </row>
    <row r="104" spans="8:14" ht="15" hidden="1" customHeight="1" x14ac:dyDescent="0.2">
      <c r="H104" s="2" t="str">
        <f t="shared" si="5"/>
        <v>Mining Minerals</v>
      </c>
      <c r="I104" s="2" t="s">
        <v>149</v>
      </c>
      <c r="J104" s="2" t="s">
        <v>151</v>
      </c>
      <c r="K104" s="2" t="str">
        <f t="shared" si="4"/>
        <v>Mining Minerals</v>
      </c>
      <c r="L104" s="2">
        <v>11.25</v>
      </c>
      <c r="M104" s="2">
        <v>3.84</v>
      </c>
      <c r="N104" s="2"/>
    </row>
    <row r="105" spans="8:14" ht="15" hidden="1" customHeight="1" x14ac:dyDescent="0.2">
      <c r="H105" s="2" t="str">
        <f t="shared" si="5"/>
        <v>Mining Minerals &amp; energy Sources</v>
      </c>
      <c r="I105" s="2" t="s">
        <v>149</v>
      </c>
      <c r="J105" s="2" t="s">
        <v>152</v>
      </c>
      <c r="K105" s="2" t="str">
        <f t="shared" si="4"/>
        <v>Mining Minerals &amp; energy Sources</v>
      </c>
      <c r="L105" s="2">
        <v>11.25</v>
      </c>
      <c r="M105" s="2">
        <v>3.84</v>
      </c>
      <c r="N105" s="2"/>
    </row>
    <row r="106" spans="8:14" ht="15" hidden="1" customHeight="1" x14ac:dyDescent="0.2">
      <c r="H106" s="2" t="str">
        <f t="shared" si="5"/>
        <v>Other Construction &amp; allied activities Maintenance of buildings (Facility Management)</v>
      </c>
      <c r="I106" s="2" t="s">
        <v>153</v>
      </c>
      <c r="J106" s="2" t="s">
        <v>154</v>
      </c>
      <c r="K106" s="2" t="str">
        <f t="shared" si="4"/>
        <v>Other Construction &amp; allied activities Maintenance of buildings (Facility Management)</v>
      </c>
      <c r="L106" s="2"/>
      <c r="M106" s="2"/>
      <c r="N106" s="2">
        <v>12.45</v>
      </c>
    </row>
    <row r="107" spans="8:14" ht="15" hidden="1" customHeight="1" x14ac:dyDescent="0.2">
      <c r="H107" s="2" t="str">
        <f t="shared" si="5"/>
        <v>Other Fund based Financial Services Commission agents services (Only those booking commission income)</v>
      </c>
      <c r="I107" s="2" t="s">
        <v>155</v>
      </c>
      <c r="J107" s="2" t="s">
        <v>156</v>
      </c>
      <c r="K107" s="2" t="str">
        <f t="shared" si="4"/>
        <v>Other Fund based Financial Services Commission agents services (Only those booking commission income)</v>
      </c>
      <c r="L107" s="2"/>
      <c r="M107" s="2"/>
      <c r="N107" s="2">
        <v>15.8</v>
      </c>
    </row>
    <row r="108" spans="8:14" ht="15" hidden="1" customHeight="1" x14ac:dyDescent="0.2">
      <c r="H108" s="2" t="str">
        <f t="shared" si="5"/>
        <v>Others R &amp; D</v>
      </c>
      <c r="I108" s="2" t="s">
        <v>157</v>
      </c>
      <c r="J108" s="2" t="s">
        <v>158</v>
      </c>
      <c r="K108" s="2" t="str">
        <f t="shared" si="4"/>
        <v>Others R &amp; D</v>
      </c>
      <c r="L108" s="2"/>
      <c r="M108" s="2"/>
      <c r="N108" s="2">
        <v>11</v>
      </c>
    </row>
    <row r="109" spans="8:14" ht="15" hidden="1" customHeight="1" x14ac:dyDescent="0.2">
      <c r="H109" s="2" t="str">
        <f t="shared" si="5"/>
        <v>Others Glass &amp; Glass Products</v>
      </c>
      <c r="I109" s="2" t="s">
        <v>157</v>
      </c>
      <c r="J109" s="2" t="s">
        <v>159</v>
      </c>
      <c r="K109" s="2" t="str">
        <f t="shared" si="4"/>
        <v>Others Glass &amp; Glass Products</v>
      </c>
      <c r="L109" s="2">
        <v>11.58</v>
      </c>
      <c r="M109" s="2">
        <v>11.58</v>
      </c>
      <c r="N109" s="2"/>
    </row>
    <row r="110" spans="8:14" ht="15" hidden="1" customHeight="1" x14ac:dyDescent="0.2">
      <c r="H110" s="2" t="str">
        <f t="shared" si="5"/>
        <v>Others Industries not classified elsewhere (Manufacturing)</v>
      </c>
      <c r="I110" s="2" t="s">
        <v>157</v>
      </c>
      <c r="J110" s="2" t="s">
        <v>160</v>
      </c>
      <c r="K110" s="2" t="str">
        <f t="shared" si="4"/>
        <v>Others Industries not classified elsewhere (Manufacturing)</v>
      </c>
      <c r="L110" s="2">
        <v>7.74</v>
      </c>
      <c r="M110" s="2"/>
      <c r="N110" s="2"/>
    </row>
    <row r="111" spans="8:14" ht="15" hidden="1" customHeight="1" x14ac:dyDescent="0.2">
      <c r="H111" s="2" t="str">
        <f t="shared" si="5"/>
        <v>Others Industries not classified elsewhere (Services)</v>
      </c>
      <c r="I111" s="2" t="s">
        <v>157</v>
      </c>
      <c r="J111" s="2" t="s">
        <v>161</v>
      </c>
      <c r="K111" s="2" t="str">
        <f t="shared" si="4"/>
        <v>Others Industries not classified elsewhere (Services)</v>
      </c>
      <c r="L111" s="2"/>
      <c r="M111" s="2"/>
      <c r="N111" s="2">
        <v>6.5</v>
      </c>
    </row>
    <row r="112" spans="8:14" ht="15" hidden="1" customHeight="1" x14ac:dyDescent="0.2">
      <c r="H112" s="2" t="str">
        <f t="shared" si="5"/>
        <v>Others Industries not classified elsewhere (Trading)</v>
      </c>
      <c r="I112" s="2" t="s">
        <v>157</v>
      </c>
      <c r="J112" s="2" t="s">
        <v>162</v>
      </c>
      <c r="K112" s="2" t="str">
        <f t="shared" si="4"/>
        <v>Others Industries not classified elsewhere (Trading)</v>
      </c>
      <c r="L112" s="2"/>
      <c r="M112" s="2">
        <v>5.04</v>
      </c>
      <c r="N112" s="2"/>
    </row>
    <row r="113" spans="8:14" ht="15" hidden="1" customHeight="1" x14ac:dyDescent="0.2">
      <c r="H113" s="2" t="str">
        <f t="shared" si="5"/>
        <v>Paints Paints &amp; Varnishes</v>
      </c>
      <c r="I113" s="2" t="s">
        <v>163</v>
      </c>
      <c r="J113" s="2" t="s">
        <v>164</v>
      </c>
      <c r="K113" s="2" t="str">
        <f t="shared" si="4"/>
        <v>Paints Paints &amp; Varnishes</v>
      </c>
      <c r="L113" s="2">
        <v>6.7</v>
      </c>
      <c r="M113" s="2">
        <v>6.7</v>
      </c>
      <c r="N113" s="2"/>
    </row>
    <row r="114" spans="8:14" ht="15" hidden="1" customHeight="1" x14ac:dyDescent="0.2">
      <c r="H114" s="2" t="str">
        <f t="shared" si="5"/>
        <v>Paper Paper &amp; Paper Products</v>
      </c>
      <c r="I114" s="2" t="s">
        <v>165</v>
      </c>
      <c r="J114" s="2" t="s">
        <v>166</v>
      </c>
      <c r="K114" s="2" t="str">
        <f t="shared" si="4"/>
        <v>Paper Paper &amp; Paper Products</v>
      </c>
      <c r="L114" s="2">
        <v>7.61</v>
      </c>
      <c r="M114" s="2">
        <v>7.61</v>
      </c>
      <c r="N114" s="2"/>
    </row>
    <row r="115" spans="8:14" ht="15" hidden="1" customHeight="1" x14ac:dyDescent="0.2">
      <c r="H115" s="2" t="str">
        <f t="shared" si="5"/>
        <v>Petroleum Products LRG Cylinders</v>
      </c>
      <c r="I115" s="2" t="s">
        <v>167</v>
      </c>
      <c r="J115" s="2" t="s">
        <v>168</v>
      </c>
      <c r="K115" s="2" t="str">
        <f t="shared" si="4"/>
        <v>Petroleum Products LRG Cylinders</v>
      </c>
      <c r="L115" s="2">
        <v>12.07</v>
      </c>
      <c r="M115" s="2"/>
      <c r="N115" s="2"/>
    </row>
    <row r="116" spans="8:14" ht="15" hidden="1" customHeight="1" x14ac:dyDescent="0.2">
      <c r="H116" s="2" t="str">
        <f t="shared" si="5"/>
        <v>Petroleum Products Lubricants</v>
      </c>
      <c r="I116" s="2" t="s">
        <v>167</v>
      </c>
      <c r="J116" s="2" t="s">
        <v>169</v>
      </c>
      <c r="K116" s="2" t="str">
        <f t="shared" si="4"/>
        <v>Petroleum Products Lubricants</v>
      </c>
      <c r="L116" s="2">
        <v>7.1</v>
      </c>
      <c r="M116" s="2">
        <v>7.1</v>
      </c>
      <c r="N116" s="2"/>
    </row>
    <row r="117" spans="8:14" ht="15" hidden="1" customHeight="1" x14ac:dyDescent="0.2">
      <c r="H117" s="2" t="str">
        <f t="shared" si="5"/>
        <v>Petroleum Products Petroleum Products</v>
      </c>
      <c r="I117" s="2" t="s">
        <v>167</v>
      </c>
      <c r="J117" s="2" t="s">
        <v>167</v>
      </c>
      <c r="K117" s="2" t="str">
        <f t="shared" si="4"/>
        <v>Petroleum Products Petroleum Products</v>
      </c>
      <c r="L117" s="2">
        <v>5.0599999999999996</v>
      </c>
      <c r="M117" s="2">
        <v>5.0599999999999996</v>
      </c>
      <c r="N117" s="2"/>
    </row>
    <row r="118" spans="8:14" ht="15" hidden="1" customHeight="1" x14ac:dyDescent="0.2">
      <c r="H118" s="2" t="str">
        <f t="shared" si="5"/>
        <v>Photographic &amp; Allied Products Photographic &amp; Allied Products</v>
      </c>
      <c r="I118" s="2" t="s">
        <v>170</v>
      </c>
      <c r="J118" s="2" t="s">
        <v>170</v>
      </c>
      <c r="K118" s="2" t="str">
        <f t="shared" si="4"/>
        <v>Photographic &amp; Allied Products Photographic &amp; Allied Products</v>
      </c>
      <c r="L118" s="2">
        <v>5.98</v>
      </c>
      <c r="M118" s="2">
        <v>5.98</v>
      </c>
      <c r="N118" s="2"/>
    </row>
    <row r="119" spans="8:14" ht="15" hidden="1" customHeight="1" x14ac:dyDescent="0.2">
      <c r="H119" s="2" t="str">
        <f t="shared" si="5"/>
        <v>Plastics Plastics Films</v>
      </c>
      <c r="I119" s="2" t="s">
        <v>171</v>
      </c>
      <c r="J119" s="2" t="s">
        <v>172</v>
      </c>
      <c r="K119" s="2" t="str">
        <f t="shared" si="4"/>
        <v>Plastics Plastics Films</v>
      </c>
      <c r="L119" s="2">
        <v>8.24</v>
      </c>
      <c r="M119" s="2">
        <v>8.24</v>
      </c>
      <c r="N119" s="2"/>
    </row>
    <row r="120" spans="8:14" ht="15" hidden="1" customHeight="1" x14ac:dyDescent="0.2">
      <c r="H120" s="2" t="str">
        <f t="shared" si="5"/>
        <v>Plastics Plastics packaging goods</v>
      </c>
      <c r="I120" s="2" t="s">
        <v>171</v>
      </c>
      <c r="J120" s="2" t="s">
        <v>173</v>
      </c>
      <c r="K120" s="2" t="str">
        <f t="shared" si="4"/>
        <v>Plastics Plastics packaging goods</v>
      </c>
      <c r="L120" s="2">
        <v>9.4499999999999993</v>
      </c>
      <c r="M120" s="2">
        <v>9.4499999999999993</v>
      </c>
      <c r="N120" s="2"/>
    </row>
    <row r="121" spans="8:14" ht="15" hidden="1" customHeight="1" x14ac:dyDescent="0.2">
      <c r="H121" s="2" t="str">
        <f t="shared" si="5"/>
        <v>Plastics Plastics tubes, Pipes, fittings &amp; sheets</v>
      </c>
      <c r="I121" s="2" t="s">
        <v>171</v>
      </c>
      <c r="J121" s="2" t="s">
        <v>174</v>
      </c>
      <c r="K121" s="2" t="str">
        <f t="shared" si="4"/>
        <v>Plastics Plastics tubes, Pipes, fittings &amp; sheets</v>
      </c>
      <c r="L121" s="2">
        <v>9.01</v>
      </c>
      <c r="M121" s="2">
        <v>9.01</v>
      </c>
      <c r="N121" s="2"/>
    </row>
    <row r="122" spans="8:14" ht="15" hidden="1" customHeight="1" x14ac:dyDescent="0.2">
      <c r="H122" s="2" t="str">
        <f t="shared" si="5"/>
        <v>Professional Services Consultants/Business Consultancy</v>
      </c>
      <c r="I122" s="2" t="s">
        <v>43</v>
      </c>
      <c r="J122" s="2" t="s">
        <v>175</v>
      </c>
      <c r="K122" s="2" t="str">
        <f t="shared" si="4"/>
        <v>Professional Services Consultants/Business Consultancy</v>
      </c>
      <c r="L122" s="2"/>
      <c r="M122" s="2"/>
      <c r="N122" s="2">
        <v>8.0399999999999991</v>
      </c>
    </row>
    <row r="123" spans="8:14" ht="15" hidden="1" customHeight="1" x14ac:dyDescent="0.2">
      <c r="H123" s="2" t="str">
        <f t="shared" si="5"/>
        <v>Professional Services Education Consultancy</v>
      </c>
      <c r="I123" s="2" t="s">
        <v>43</v>
      </c>
      <c r="J123" s="2" t="s">
        <v>176</v>
      </c>
      <c r="K123" s="2" t="str">
        <f t="shared" si="4"/>
        <v>Professional Services Education Consultancy</v>
      </c>
      <c r="L123" s="2"/>
      <c r="M123" s="2"/>
      <c r="N123" s="2">
        <v>8.75</v>
      </c>
    </row>
    <row r="124" spans="8:14" ht="15" hidden="1" customHeight="1" x14ac:dyDescent="0.2">
      <c r="H124" s="2" t="str">
        <f t="shared" si="5"/>
        <v>Professional Services Entertainment and media content provider</v>
      </c>
      <c r="I124" s="2" t="s">
        <v>43</v>
      </c>
      <c r="J124" s="2" t="s">
        <v>177</v>
      </c>
      <c r="K124" s="2" t="str">
        <f t="shared" si="4"/>
        <v>Professional Services Entertainment and media content provider</v>
      </c>
      <c r="L124" s="2"/>
      <c r="M124" s="2"/>
      <c r="N124" s="2">
        <v>4.66</v>
      </c>
    </row>
    <row r="125" spans="8:14" ht="15" hidden="1" customHeight="1" x14ac:dyDescent="0.2">
      <c r="H125" s="2" t="str">
        <f t="shared" si="5"/>
        <v>Professional Services Event management services</v>
      </c>
      <c r="I125" s="2" t="s">
        <v>43</v>
      </c>
      <c r="J125" s="2" t="s">
        <v>178</v>
      </c>
      <c r="K125" s="2" t="str">
        <f t="shared" si="4"/>
        <v>Professional Services Event management services</v>
      </c>
      <c r="L125" s="2"/>
      <c r="M125" s="2"/>
      <c r="N125" s="2">
        <v>15.78</v>
      </c>
    </row>
    <row r="126" spans="8:14" ht="15" hidden="1" customHeight="1" x14ac:dyDescent="0.2">
      <c r="H126" s="2" t="str">
        <f t="shared" si="5"/>
        <v>Professional Services Motion Picture production, distribution and exhibition</v>
      </c>
      <c r="I126" s="2" t="s">
        <v>43</v>
      </c>
      <c r="J126" s="2" t="s">
        <v>179</v>
      </c>
      <c r="K126" s="2" t="str">
        <f t="shared" si="4"/>
        <v>Professional Services Motion Picture production, distribution and exhibition</v>
      </c>
      <c r="L126" s="2"/>
      <c r="M126" s="2"/>
      <c r="N126" s="2">
        <v>9.4600000000000009</v>
      </c>
    </row>
    <row r="127" spans="8:14" ht="15" hidden="1" customHeight="1" x14ac:dyDescent="0.2">
      <c r="H127" s="2" t="str">
        <f t="shared" si="5"/>
        <v>Professional Services Public Relations</v>
      </c>
      <c r="I127" s="2" t="s">
        <v>43</v>
      </c>
      <c r="J127" s="2" t="s">
        <v>180</v>
      </c>
      <c r="K127" s="2" t="str">
        <f t="shared" ref="K127:K167" si="6">I127&amp;" "&amp;J127</f>
        <v>Professional Services Public Relations</v>
      </c>
      <c r="L127" s="2"/>
      <c r="M127" s="2"/>
      <c r="N127" s="2">
        <v>4.7699999999999996</v>
      </c>
    </row>
    <row r="128" spans="8:14" ht="15" hidden="1" customHeight="1" x14ac:dyDescent="0.2">
      <c r="H128" s="2" t="str">
        <f t="shared" si="5"/>
        <v>Professional Services Real estate infrastructure services</v>
      </c>
      <c r="I128" s="2" t="s">
        <v>43</v>
      </c>
      <c r="J128" s="2" t="s">
        <v>181</v>
      </c>
      <c r="K128" s="2" t="str">
        <f t="shared" si="6"/>
        <v>Professional Services Real estate infrastructure services</v>
      </c>
      <c r="L128" s="2"/>
      <c r="M128" s="2"/>
      <c r="N128" s="2">
        <v>11.22</v>
      </c>
    </row>
    <row r="129" spans="8:14" ht="15" hidden="1" customHeight="1" x14ac:dyDescent="0.2">
      <c r="H129" s="2" t="str">
        <f t="shared" ref="H129:H167" si="7">I129&amp;" "&amp;J129</f>
        <v>Professional Services Technical consultancy and engineering services</v>
      </c>
      <c r="I129" s="2" t="s">
        <v>43</v>
      </c>
      <c r="J129" s="2" t="s">
        <v>182</v>
      </c>
      <c r="K129" s="2" t="str">
        <f t="shared" si="6"/>
        <v>Professional Services Technical consultancy and engineering services</v>
      </c>
      <c r="L129" s="2"/>
      <c r="M129" s="2"/>
      <c r="N129" s="2">
        <v>10.36</v>
      </c>
    </row>
    <row r="130" spans="8:14" ht="15" hidden="1" customHeight="1" x14ac:dyDescent="0.2">
      <c r="H130" s="2" t="str">
        <f t="shared" si="7"/>
        <v>Professional Services Placement &amp; HR consultancy services</v>
      </c>
      <c r="I130" s="2" t="s">
        <v>43</v>
      </c>
      <c r="J130" s="2" t="s">
        <v>183</v>
      </c>
      <c r="K130" s="2" t="str">
        <f t="shared" si="6"/>
        <v>Professional Services Placement &amp; HR consultancy services</v>
      </c>
      <c r="L130" s="2"/>
      <c r="M130" s="2"/>
      <c r="N130" s="2">
        <v>1.95</v>
      </c>
    </row>
    <row r="131" spans="8:14" ht="15" hidden="1" customHeight="1" x14ac:dyDescent="0.2">
      <c r="H131" s="2" t="str">
        <f t="shared" si="7"/>
        <v>Radiobroadcasting media Radiobroadcasting media</v>
      </c>
      <c r="I131" s="2" t="s">
        <v>184</v>
      </c>
      <c r="J131" s="2" t="s">
        <v>184</v>
      </c>
      <c r="K131" s="2" t="str">
        <f t="shared" si="6"/>
        <v>Radiobroadcasting media Radiobroadcasting media</v>
      </c>
      <c r="L131" s="2"/>
      <c r="M131" s="2"/>
      <c r="N131" s="2">
        <v>15.93</v>
      </c>
    </row>
    <row r="132" spans="8:14" ht="15" hidden="1" customHeight="1" x14ac:dyDescent="0.2">
      <c r="H132" s="2" t="str">
        <f t="shared" si="7"/>
        <v>Retail trading Departmental stores</v>
      </c>
      <c r="I132" s="2" t="s">
        <v>185</v>
      </c>
      <c r="J132" s="2" t="s">
        <v>186</v>
      </c>
      <c r="K132" s="2" t="str">
        <f t="shared" si="6"/>
        <v>Retail trading Departmental stores</v>
      </c>
      <c r="L132" s="2"/>
      <c r="M132" s="2">
        <v>2.2599999999999998</v>
      </c>
      <c r="N132" s="2"/>
    </row>
    <row r="133" spans="8:14" ht="15" hidden="1" customHeight="1" x14ac:dyDescent="0.2">
      <c r="H133" s="2" t="str">
        <f t="shared" si="7"/>
        <v>Road Transport Infrastructure services Toll revenue</v>
      </c>
      <c r="I133" s="2" t="s">
        <v>187</v>
      </c>
      <c r="J133" s="2" t="s">
        <v>188</v>
      </c>
      <c r="K133" s="2" t="str">
        <f t="shared" si="6"/>
        <v>Road Transport Infrastructure services Toll revenue</v>
      </c>
      <c r="L133" s="2"/>
      <c r="M133" s="2"/>
      <c r="N133" s="2"/>
    </row>
    <row r="134" spans="8:14" ht="15" hidden="1" customHeight="1" x14ac:dyDescent="0.2">
      <c r="H134" s="2" t="str">
        <f t="shared" si="7"/>
        <v>Road Transport Infrastructure services Other motor transport services</v>
      </c>
      <c r="I134" s="2" t="s">
        <v>187</v>
      </c>
      <c r="J134" s="2" t="s">
        <v>189</v>
      </c>
      <c r="K134" s="2" t="str">
        <f t="shared" si="6"/>
        <v>Road Transport Infrastructure services Other motor transport services</v>
      </c>
      <c r="L134" s="2"/>
      <c r="M134" s="2"/>
      <c r="N134" s="2">
        <v>6.5</v>
      </c>
    </row>
    <row r="135" spans="8:14" ht="15" hidden="1" customHeight="1" x14ac:dyDescent="0.2">
      <c r="H135" s="2" t="str">
        <f t="shared" si="7"/>
        <v>Rubber Rubber &amp; rubber products</v>
      </c>
      <c r="I135" s="2" t="s">
        <v>190</v>
      </c>
      <c r="J135" s="2" t="s">
        <v>191</v>
      </c>
      <c r="K135" s="2" t="str">
        <f t="shared" si="6"/>
        <v>Rubber Rubber &amp; rubber products</v>
      </c>
      <c r="L135" s="2">
        <v>12.03</v>
      </c>
      <c r="M135" s="2">
        <v>12.03</v>
      </c>
      <c r="N135" s="2"/>
    </row>
    <row r="136" spans="8:14" ht="15" hidden="1" customHeight="1" x14ac:dyDescent="0.2">
      <c r="H136" s="2" t="str">
        <f t="shared" si="7"/>
        <v>Services Renting Services</v>
      </c>
      <c r="I136" s="2" t="s">
        <v>192</v>
      </c>
      <c r="J136" s="2" t="s">
        <v>193</v>
      </c>
      <c r="K136" s="2" t="str">
        <f t="shared" si="6"/>
        <v>Services Renting Services</v>
      </c>
      <c r="L136" s="2"/>
      <c r="M136" s="2"/>
      <c r="N136" s="2">
        <v>12.7</v>
      </c>
    </row>
    <row r="137" spans="8:14" ht="15" hidden="1" customHeight="1" x14ac:dyDescent="0.2">
      <c r="H137" s="2" t="str">
        <f t="shared" si="7"/>
        <v>Services - Communication Communication equipment (other than mobile phone wholesaler, retailer)</v>
      </c>
      <c r="I137" s="2" t="s">
        <v>194</v>
      </c>
      <c r="J137" s="2" t="s">
        <v>195</v>
      </c>
      <c r="K137" s="2" t="str">
        <f t="shared" si="6"/>
        <v>Services - Communication Communication equipment (other than mobile phone wholesaler, retailer)</v>
      </c>
      <c r="L137" s="2">
        <v>12.8</v>
      </c>
      <c r="M137" s="2"/>
      <c r="N137" s="2">
        <v>12.8</v>
      </c>
    </row>
    <row r="138" spans="8:14" ht="15" hidden="1" customHeight="1" x14ac:dyDescent="0.2">
      <c r="H138" s="2" t="str">
        <f t="shared" si="7"/>
        <v>Services - Communication Internet Services</v>
      </c>
      <c r="I138" s="2" t="s">
        <v>194</v>
      </c>
      <c r="J138" s="2" t="s">
        <v>196</v>
      </c>
      <c r="K138" s="2" t="str">
        <f t="shared" si="6"/>
        <v>Services - Communication Internet Services</v>
      </c>
      <c r="L138" s="2"/>
      <c r="M138" s="2"/>
      <c r="N138" s="2">
        <v>10.88</v>
      </c>
    </row>
    <row r="139" spans="8:14" ht="15" hidden="1" customHeight="1" x14ac:dyDescent="0.2">
      <c r="H139" s="2" t="str">
        <f t="shared" si="7"/>
        <v>Services - Communication Other communication services (wireless services, fax services, paper services, other telephone services, other communication services)</v>
      </c>
      <c r="I139" s="2" t="s">
        <v>194</v>
      </c>
      <c r="J139" s="2" t="s">
        <v>197</v>
      </c>
      <c r="K139" s="2" t="str">
        <f t="shared" si="6"/>
        <v>Services - Communication Other communication services (wireless services, fax services, paper services, other telephone services, other communication services)</v>
      </c>
      <c r="L139" s="2"/>
      <c r="M139" s="2"/>
      <c r="N139" s="2">
        <v>6.5</v>
      </c>
    </row>
    <row r="140" spans="8:14" ht="15" hidden="1" customHeight="1" x14ac:dyDescent="0.2">
      <c r="H140" s="2" t="str">
        <f t="shared" si="7"/>
        <v>Software ITES/ Call Centers</v>
      </c>
      <c r="I140" s="2" t="s">
        <v>198</v>
      </c>
      <c r="J140" s="2" t="s">
        <v>199</v>
      </c>
      <c r="K140" s="2" t="str">
        <f t="shared" si="6"/>
        <v>Software ITES/ Call Centers</v>
      </c>
      <c r="L140" s="2"/>
      <c r="M140" s="2"/>
      <c r="N140" s="2">
        <v>7.36</v>
      </c>
    </row>
    <row r="141" spans="8:14" ht="15" hidden="1" customHeight="1" x14ac:dyDescent="0.2">
      <c r="H141" s="2" t="str">
        <f t="shared" si="7"/>
        <v>Specially Footwear</v>
      </c>
      <c r="I141" s="2" t="s">
        <v>200</v>
      </c>
      <c r="J141" s="2" t="s">
        <v>201</v>
      </c>
      <c r="K141" s="2" t="str">
        <f t="shared" si="6"/>
        <v>Specially Footwear</v>
      </c>
      <c r="L141" s="2">
        <v>8.6999999999999993</v>
      </c>
      <c r="M141" s="2">
        <v>8.6999999999999993</v>
      </c>
      <c r="N141" s="2"/>
    </row>
    <row r="142" spans="8:14" ht="15" hidden="1" customHeight="1" x14ac:dyDescent="0.2">
      <c r="H142" s="2" t="str">
        <f t="shared" si="7"/>
        <v>Specially Books, Office Suppliers &amp; Stationery</v>
      </c>
      <c r="I142" s="2" t="s">
        <v>200</v>
      </c>
      <c r="J142" s="2" t="s">
        <v>202</v>
      </c>
      <c r="K142" s="2" t="str">
        <f t="shared" si="6"/>
        <v>Specially Books, Office Suppliers &amp; Stationery</v>
      </c>
      <c r="L142" s="2">
        <v>5.26</v>
      </c>
      <c r="M142" s="2">
        <v>5.26</v>
      </c>
      <c r="N142" s="2"/>
    </row>
    <row r="143" spans="8:14" ht="15" hidden="1" customHeight="1" x14ac:dyDescent="0.2">
      <c r="H143" s="2" t="str">
        <f t="shared" si="7"/>
        <v>Specially Clock &amp; watches</v>
      </c>
      <c r="I143" s="2" t="s">
        <v>200</v>
      </c>
      <c r="J143" s="2" t="s">
        <v>203</v>
      </c>
      <c r="K143" s="2" t="str">
        <f t="shared" si="6"/>
        <v>Specially Clock &amp; watches</v>
      </c>
      <c r="L143" s="2">
        <v>12.67</v>
      </c>
      <c r="M143" s="2">
        <v>12.67</v>
      </c>
      <c r="N143" s="2"/>
    </row>
    <row r="144" spans="8:14" ht="15" hidden="1" customHeight="1" x14ac:dyDescent="0.2">
      <c r="H144" s="2" t="str">
        <f t="shared" si="7"/>
        <v>Specially Hobby, Toys &amp; Games</v>
      </c>
      <c r="I144" s="2" t="s">
        <v>200</v>
      </c>
      <c r="J144" s="2" t="s">
        <v>204</v>
      </c>
      <c r="K144" s="2" t="str">
        <f t="shared" si="6"/>
        <v>Specially Hobby, Toys &amp; Games</v>
      </c>
      <c r="L144" s="2">
        <v>15.87</v>
      </c>
      <c r="M144" s="2">
        <v>15.87</v>
      </c>
      <c r="N144" s="2"/>
    </row>
    <row r="145" spans="8:14" ht="15" hidden="1" customHeight="1" x14ac:dyDescent="0.2">
      <c r="H145" s="2" t="str">
        <f t="shared" si="7"/>
        <v>Specially Home Furniture &amp; Finishing</v>
      </c>
      <c r="I145" s="2" t="s">
        <v>200</v>
      </c>
      <c r="J145" s="2" t="s">
        <v>205</v>
      </c>
      <c r="K145" s="2" t="str">
        <f t="shared" si="6"/>
        <v>Specially Home Furniture &amp; Finishing</v>
      </c>
      <c r="L145" s="2">
        <v>4.63</v>
      </c>
      <c r="M145" s="2">
        <v>4.63</v>
      </c>
      <c r="N145" s="2"/>
    </row>
    <row r="146" spans="8:14" ht="15" hidden="1" customHeight="1" x14ac:dyDescent="0.2">
      <c r="H146" s="2" t="str">
        <f t="shared" si="7"/>
        <v>Specially Luggage &amp; Leather Goods</v>
      </c>
      <c r="I146" s="2" t="s">
        <v>200</v>
      </c>
      <c r="J146" s="2" t="s">
        <v>206</v>
      </c>
      <c r="K146" s="2" t="str">
        <f t="shared" si="6"/>
        <v>Specially Luggage &amp; Leather Goods</v>
      </c>
      <c r="L146" s="2">
        <v>8.6999999999999993</v>
      </c>
      <c r="M146" s="2">
        <v>8.6999999999999993</v>
      </c>
      <c r="N146" s="2"/>
    </row>
    <row r="147" spans="8:14" ht="15" hidden="1" customHeight="1" x14ac:dyDescent="0.2">
      <c r="H147" s="2" t="str">
        <f t="shared" si="7"/>
        <v>Specially Opticians &amp; Optical instruments</v>
      </c>
      <c r="I147" s="2" t="s">
        <v>200</v>
      </c>
      <c r="J147" s="2" t="s">
        <v>207</v>
      </c>
      <c r="K147" s="2" t="str">
        <f t="shared" si="6"/>
        <v>Specially Opticians &amp; Optical instruments</v>
      </c>
      <c r="L147" s="2">
        <v>9.26</v>
      </c>
      <c r="M147" s="2">
        <v>9.26</v>
      </c>
      <c r="N147" s="2"/>
    </row>
    <row r="148" spans="8:14" ht="15" hidden="1" customHeight="1" x14ac:dyDescent="0.2">
      <c r="H148" s="2" t="str">
        <f t="shared" si="7"/>
        <v>Specially Pens and Pencils</v>
      </c>
      <c r="I148" s="2" t="s">
        <v>200</v>
      </c>
      <c r="J148" s="2" t="s">
        <v>208</v>
      </c>
      <c r="K148" s="2" t="str">
        <f t="shared" si="6"/>
        <v>Specially Pens and Pencils</v>
      </c>
      <c r="L148" s="2">
        <v>5.72</v>
      </c>
      <c r="M148" s="2">
        <v>5.72</v>
      </c>
      <c r="N148" s="2"/>
    </row>
    <row r="149" spans="8:14" ht="15" hidden="1" customHeight="1" x14ac:dyDescent="0.2">
      <c r="H149" s="2" t="str">
        <f t="shared" si="7"/>
        <v>Specially Sports Goods</v>
      </c>
      <c r="I149" s="2" t="s">
        <v>200</v>
      </c>
      <c r="J149" s="2" t="s">
        <v>209</v>
      </c>
      <c r="K149" s="2" t="str">
        <f t="shared" si="6"/>
        <v>Specially Sports Goods</v>
      </c>
      <c r="L149" s="2">
        <v>6.54</v>
      </c>
      <c r="M149" s="2">
        <v>6.54</v>
      </c>
      <c r="N149" s="2"/>
    </row>
    <row r="150" spans="8:14" ht="15" hidden="1" customHeight="1" x14ac:dyDescent="0.2">
      <c r="H150" s="2" t="str">
        <f t="shared" si="7"/>
        <v>Specially Wood and wood products / Sports goods</v>
      </c>
      <c r="I150" s="2" t="s">
        <v>200</v>
      </c>
      <c r="J150" s="2" t="s">
        <v>210</v>
      </c>
      <c r="K150" s="2" t="str">
        <f t="shared" si="6"/>
        <v>Specially Wood and wood products / Sports goods</v>
      </c>
      <c r="L150" s="2">
        <v>6.54</v>
      </c>
      <c r="M150" s="2">
        <v>6.54</v>
      </c>
      <c r="N150" s="2"/>
    </row>
    <row r="151" spans="8:14" ht="15" hidden="1" customHeight="1" x14ac:dyDescent="0.2">
      <c r="H151" s="2" t="str">
        <f t="shared" si="7"/>
        <v>Telecommunication services Cellular phone infrastructure</v>
      </c>
      <c r="I151" s="2" t="s">
        <v>211</v>
      </c>
      <c r="J151" s="2" t="s">
        <v>212</v>
      </c>
      <c r="K151" s="2" t="str">
        <f t="shared" si="6"/>
        <v>Telecommunication services Cellular phone infrastructure</v>
      </c>
      <c r="L151" s="2"/>
      <c r="M151" s="2"/>
      <c r="N151" s="2">
        <v>12.96</v>
      </c>
    </row>
    <row r="152" spans="8:14" ht="15" hidden="1" customHeight="1" x14ac:dyDescent="0.2">
      <c r="H152" s="2" t="str">
        <f t="shared" si="7"/>
        <v>Television broadcasting media Television broadcasting media</v>
      </c>
      <c r="I152" s="2" t="s">
        <v>213</v>
      </c>
      <c r="J152" s="2" t="s">
        <v>213</v>
      </c>
      <c r="K152" s="2" t="str">
        <f t="shared" si="6"/>
        <v>Television broadcasting media Television broadcasting media</v>
      </c>
      <c r="L152" s="2"/>
      <c r="M152" s="2"/>
      <c r="N152" s="2">
        <v>11.09</v>
      </c>
    </row>
    <row r="153" spans="8:14" ht="15" hidden="1" customHeight="1" x14ac:dyDescent="0.2">
      <c r="H153" s="2" t="str">
        <f t="shared" si="7"/>
        <v>Textiles Blankets &amp; Carpets</v>
      </c>
      <c r="I153" s="2" t="s">
        <v>214</v>
      </c>
      <c r="J153" s="2" t="s">
        <v>215</v>
      </c>
      <c r="K153" s="2" t="str">
        <f t="shared" si="6"/>
        <v>Textiles Blankets &amp; Carpets</v>
      </c>
      <c r="L153" s="2">
        <v>9.51</v>
      </c>
      <c r="M153" s="2">
        <v>4.9000000000000004</v>
      </c>
      <c r="N153" s="2"/>
    </row>
    <row r="154" spans="8:14" ht="15" hidden="1" customHeight="1" x14ac:dyDescent="0.2">
      <c r="H154" s="2" t="str">
        <f t="shared" si="7"/>
        <v>Textiles Blended yarn</v>
      </c>
      <c r="I154" s="2" t="s">
        <v>214</v>
      </c>
      <c r="J154" s="2" t="s">
        <v>216</v>
      </c>
      <c r="K154" s="2" t="str">
        <f t="shared" si="6"/>
        <v>Textiles Blended yarn</v>
      </c>
      <c r="L154" s="2">
        <v>8.99</v>
      </c>
      <c r="M154" s="2">
        <v>4.9000000000000004</v>
      </c>
      <c r="N154" s="2"/>
    </row>
    <row r="155" spans="8:14" ht="15" hidden="1" customHeight="1" x14ac:dyDescent="0.2">
      <c r="H155" s="2" t="str">
        <f t="shared" si="7"/>
        <v>Textiles Jute</v>
      </c>
      <c r="I155" s="2" t="s">
        <v>214</v>
      </c>
      <c r="J155" s="2" t="s">
        <v>217</v>
      </c>
      <c r="K155" s="2" t="str">
        <f t="shared" si="6"/>
        <v>Textiles Jute</v>
      </c>
      <c r="L155" s="2">
        <v>4.2300000000000004</v>
      </c>
      <c r="M155" s="2">
        <v>4.9000000000000004</v>
      </c>
      <c r="N155" s="2"/>
    </row>
    <row r="156" spans="8:14" ht="15" hidden="1" customHeight="1" x14ac:dyDescent="0.2">
      <c r="H156" s="2" t="str">
        <f t="shared" si="7"/>
        <v>Textiles Readymade Garments</v>
      </c>
      <c r="I156" s="2" t="s">
        <v>214</v>
      </c>
      <c r="J156" s="2" t="s">
        <v>218</v>
      </c>
      <c r="K156" s="2" t="str">
        <f t="shared" si="6"/>
        <v>Textiles Readymade Garments</v>
      </c>
      <c r="L156" s="2">
        <v>8.43</v>
      </c>
      <c r="M156" s="2">
        <v>4.9000000000000004</v>
      </c>
      <c r="N156" s="2"/>
    </row>
    <row r="157" spans="8:14" ht="15" hidden="1" customHeight="1" x14ac:dyDescent="0.2">
      <c r="H157" s="2" t="str">
        <f t="shared" si="7"/>
        <v>Textiles Textiles - Cotton</v>
      </c>
      <c r="I157" s="2" t="s">
        <v>214</v>
      </c>
      <c r="J157" s="2" t="s">
        <v>219</v>
      </c>
      <c r="K157" s="2" t="str">
        <f t="shared" si="6"/>
        <v>Textiles Textiles - Cotton</v>
      </c>
      <c r="L157" s="2">
        <v>9.66</v>
      </c>
      <c r="M157" s="2">
        <v>4.9000000000000004</v>
      </c>
      <c r="N157" s="2"/>
    </row>
    <row r="158" spans="8:14" ht="15" hidden="1" customHeight="1" x14ac:dyDescent="0.2">
      <c r="H158" s="2" t="str">
        <f t="shared" si="7"/>
        <v>Textiles Textiles - Silk</v>
      </c>
      <c r="I158" s="2" t="s">
        <v>214</v>
      </c>
      <c r="J158" s="2" t="s">
        <v>220</v>
      </c>
      <c r="K158" s="2" t="str">
        <f t="shared" si="6"/>
        <v>Textiles Textiles - Silk</v>
      </c>
      <c r="L158" s="2">
        <v>7</v>
      </c>
      <c r="M158" s="2">
        <v>4.9000000000000004</v>
      </c>
      <c r="N158" s="2"/>
    </row>
    <row r="159" spans="8:14" ht="15" hidden="1" customHeight="1" x14ac:dyDescent="0.2">
      <c r="H159" s="2" t="str">
        <f t="shared" si="7"/>
        <v>Textiles Textiles - Synthetic</v>
      </c>
      <c r="I159" s="2" t="s">
        <v>214</v>
      </c>
      <c r="J159" s="2" t="s">
        <v>221</v>
      </c>
      <c r="K159" s="2" t="str">
        <f t="shared" si="6"/>
        <v>Textiles Textiles - Synthetic</v>
      </c>
      <c r="L159" s="2">
        <v>8.0399999999999991</v>
      </c>
      <c r="M159" s="2">
        <v>4.9000000000000004</v>
      </c>
      <c r="N159" s="2"/>
    </row>
    <row r="160" spans="8:14" ht="15" hidden="1" customHeight="1" x14ac:dyDescent="0.2">
      <c r="H160" s="2" t="str">
        <f t="shared" si="7"/>
        <v>Textiles Textiles - Specialized (Other than Cotton, Jute &amp; Yarn, Silk and Synthetic)</v>
      </c>
      <c r="I160" s="2" t="s">
        <v>214</v>
      </c>
      <c r="J160" s="2" t="s">
        <v>222</v>
      </c>
      <c r="K160" s="2" t="str">
        <f t="shared" si="6"/>
        <v>Textiles Textiles - Specialized (Other than Cotton, Jute &amp; Yarn, Silk and Synthetic)</v>
      </c>
      <c r="L160" s="2">
        <v>12.36</v>
      </c>
      <c r="M160" s="2">
        <v>4.9000000000000004</v>
      </c>
      <c r="N160" s="2"/>
    </row>
    <row r="161" spans="8:14" ht="15" hidden="1" customHeight="1" x14ac:dyDescent="0.2">
      <c r="H161" s="2" t="str">
        <f t="shared" si="7"/>
        <v>Textiles Woolen Textiles</v>
      </c>
      <c r="I161" s="2" t="s">
        <v>214</v>
      </c>
      <c r="J161" s="2" t="s">
        <v>223</v>
      </c>
      <c r="K161" s="2" t="str">
        <f t="shared" si="6"/>
        <v>Textiles Woolen Textiles</v>
      </c>
      <c r="L161" s="2">
        <v>9.51</v>
      </c>
      <c r="M161" s="2">
        <v>4.9000000000000004</v>
      </c>
      <c r="N161" s="2"/>
    </row>
    <row r="162" spans="8:14" ht="15" hidden="1" customHeight="1" x14ac:dyDescent="0.2">
      <c r="H162" s="2" t="str">
        <f t="shared" si="7"/>
        <v>Transportation Logistics Cargo (Cargo Handling air &amp; water)</v>
      </c>
      <c r="I162" s="2" t="s">
        <v>224</v>
      </c>
      <c r="J162" s="2" t="s">
        <v>225</v>
      </c>
      <c r="K162" s="2" t="str">
        <f t="shared" si="6"/>
        <v>Transportation Logistics Cargo (Cargo Handling air &amp; water)</v>
      </c>
      <c r="L162" s="2"/>
      <c r="M162" s="2"/>
      <c r="N162" s="2">
        <v>9.64</v>
      </c>
    </row>
    <row r="163" spans="8:14" ht="15" hidden="1" customHeight="1" x14ac:dyDescent="0.2">
      <c r="H163" s="2" t="str">
        <f t="shared" si="7"/>
        <v>Transportation Logistics Courier</v>
      </c>
      <c r="I163" s="2" t="s">
        <v>224</v>
      </c>
      <c r="J163" s="2" t="s">
        <v>226</v>
      </c>
      <c r="K163" s="2" t="str">
        <f t="shared" si="6"/>
        <v>Transportation Logistics Courier</v>
      </c>
      <c r="L163" s="2"/>
      <c r="M163" s="2"/>
      <c r="N163" s="2">
        <v>6.48</v>
      </c>
    </row>
    <row r="164" spans="8:14" ht="15" hidden="1" customHeight="1" x14ac:dyDescent="0.2">
      <c r="H164" s="2" t="str">
        <f t="shared" si="7"/>
        <v>Transportation Logistics Goods Transport Services (Road)</v>
      </c>
      <c r="I164" s="2" t="s">
        <v>224</v>
      </c>
      <c r="J164" s="2" t="s">
        <v>227</v>
      </c>
      <c r="K164" s="2" t="str">
        <f t="shared" si="6"/>
        <v>Transportation Logistics Goods Transport Services (Road)</v>
      </c>
      <c r="L164" s="2"/>
      <c r="M164" s="2"/>
      <c r="N164" s="2">
        <v>8.3800000000000008</v>
      </c>
    </row>
    <row r="165" spans="8:14" ht="15" hidden="1" customHeight="1" x14ac:dyDescent="0.2">
      <c r="H165" s="2" t="str">
        <f t="shared" si="7"/>
        <v>Transportation Logistics Passenger Transport Services (Road)</v>
      </c>
      <c r="I165" s="2" t="s">
        <v>224</v>
      </c>
      <c r="J165" s="2" t="s">
        <v>228</v>
      </c>
      <c r="K165" s="2" t="str">
        <f t="shared" si="6"/>
        <v>Transportation Logistics Passenger Transport Services (Road)</v>
      </c>
      <c r="L165" s="2"/>
      <c r="M165" s="2"/>
      <c r="N165" s="2">
        <v>8.3800000000000008</v>
      </c>
    </row>
    <row r="166" spans="8:14" ht="15" hidden="1" customHeight="1" x14ac:dyDescent="0.2">
      <c r="H166" s="2" t="str">
        <f t="shared" si="7"/>
        <v>Transportation Logistics Storage &amp; Warehousing</v>
      </c>
      <c r="I166" s="2" t="s">
        <v>224</v>
      </c>
      <c r="J166" s="2" t="s">
        <v>229</v>
      </c>
      <c r="K166" s="2" t="str">
        <f t="shared" si="6"/>
        <v>Transportation Logistics Storage &amp; Warehousing</v>
      </c>
      <c r="L166" s="2"/>
      <c r="M166" s="2"/>
      <c r="N166" s="2">
        <v>13.17</v>
      </c>
    </row>
    <row r="167" spans="8:14" ht="15" hidden="1" customHeight="1" x14ac:dyDescent="0.2">
      <c r="H167" s="2" t="str">
        <f t="shared" si="7"/>
        <v>Transportation Logistics Portal</v>
      </c>
      <c r="I167" s="2" t="s">
        <v>224</v>
      </c>
      <c r="J167" s="2" t="s">
        <v>230</v>
      </c>
      <c r="K167" s="2" t="str">
        <f t="shared" si="6"/>
        <v>Transportation Logistics Portal</v>
      </c>
      <c r="L167" s="2"/>
      <c r="M167" s="2"/>
      <c r="N167" s="2">
        <v>18.86</v>
      </c>
    </row>
  </sheetData>
  <sheetProtection algorithmName="SHA-512" hashValue="hy/zEZNu4XiRMW4I3ggnuzLUMXqMZHfF3hEg4QcBU3OOvEMvEfXx9cgNId41s4s7XHvXRJDi6iaZdKocN4rGrg==" saltValue="i3qPOknhVHU6T2O+CtolXg==" spinCount="100000" sheet="1" objects="1" scenarios="1"/>
  <mergeCells count="32">
    <mergeCell ref="F15:F19"/>
    <mergeCell ref="B18:C18"/>
    <mergeCell ref="B15:C15"/>
    <mergeCell ref="B17:C17"/>
    <mergeCell ref="B16:C16"/>
    <mergeCell ref="A1:F1"/>
    <mergeCell ref="B2:F2"/>
    <mergeCell ref="B3:F3"/>
    <mergeCell ref="A8:F8"/>
    <mergeCell ref="B9:F9"/>
    <mergeCell ref="B27:F27"/>
    <mergeCell ref="C22:C24"/>
    <mergeCell ref="B19:C19"/>
    <mergeCell ref="A20:F20"/>
    <mergeCell ref="B4:F4"/>
    <mergeCell ref="B11:C11"/>
    <mergeCell ref="B12:C12"/>
    <mergeCell ref="B14:C14"/>
    <mergeCell ref="A11:A12"/>
    <mergeCell ref="A13:F13"/>
    <mergeCell ref="B25:F25"/>
    <mergeCell ref="A26:F26"/>
    <mergeCell ref="B5:F5"/>
    <mergeCell ref="B6:F6"/>
    <mergeCell ref="B7:F7"/>
    <mergeCell ref="A10:F10"/>
    <mergeCell ref="B33:F33"/>
    <mergeCell ref="B31:F31"/>
    <mergeCell ref="B32:F32"/>
    <mergeCell ref="B28:F28"/>
    <mergeCell ref="B29:F29"/>
    <mergeCell ref="B30:F30"/>
  </mergeCells>
  <dataValidations count="5">
    <dataValidation type="whole" allowBlank="1" showInputMessage="1" showErrorMessage="1" sqref="B4" xr:uid="{00000000-0002-0000-0500-000000000000}">
      <formula1>12</formula1>
      <formula2>60</formula2>
    </dataValidation>
    <dataValidation operator="greaterThanOrEqual" showInputMessage="1" showErrorMessage="1" sqref="B29 B3:F3" xr:uid="{00000000-0002-0000-0500-000001000000}"/>
    <dataValidation type="list" allowBlank="1" showInputMessage="1" showErrorMessage="1" sqref="C22" xr:uid="{00000000-0002-0000-0500-000002000000}">
      <formula1>"Monthly,Annualy"</formula1>
    </dataValidation>
    <dataValidation type="list" allowBlank="1" showInputMessage="1" showErrorMessage="1" sqref="B6:F6" xr:uid="{00000000-0002-0000-0500-000003000000}">
      <formula1>$H$2:$H$167</formula1>
    </dataValidation>
    <dataValidation allowBlank="1" showInputMessage="1" showErrorMessage="1" promptTitle="Max. Loan Amount" prompt="DSCR [1 - 1.25) - 20L_x000a_DSCR &gt;=1.25 - 30L_x000a_" sqref="B2:F2" xr:uid="{00000000-0002-0000-0500-000004000000}"/>
  </dataValidations>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rgb="FFFFC000"/>
  </sheetPr>
  <dimension ref="A1:P17"/>
  <sheetViews>
    <sheetView workbookViewId="0">
      <selection activeCell="B12" sqref="B12"/>
    </sheetView>
  </sheetViews>
  <sheetFormatPr defaultColWidth="0" defaultRowHeight="15" zeroHeight="1" x14ac:dyDescent="0.25"/>
  <cols>
    <col min="1" max="1" width="39.42578125" style="13" customWidth="1"/>
    <col min="2" max="2" width="35.28515625" style="13" customWidth="1"/>
    <col min="3" max="3" width="0.85546875" style="13" customWidth="1"/>
    <col min="4" max="16" width="0" style="13" hidden="1" customWidth="1"/>
    <col min="17" max="16384" width="9.140625" style="13" hidden="1"/>
  </cols>
  <sheetData>
    <row r="1" spans="1:2" ht="20.25" x14ac:dyDescent="0.3">
      <c r="A1" s="481" t="s">
        <v>832</v>
      </c>
      <c r="B1" s="481"/>
    </row>
    <row r="2" spans="1:2" ht="15" customHeight="1" x14ac:dyDescent="0.25">
      <c r="A2" s="126" t="s">
        <v>0</v>
      </c>
      <c r="B2" s="112">
        <f>'Loan Details'!B3</f>
        <v>0</v>
      </c>
    </row>
    <row r="3" spans="1:2" x14ac:dyDescent="0.25">
      <c r="A3" s="126" t="s">
        <v>2</v>
      </c>
      <c r="B3" s="108">
        <f>'Loan Details'!B4</f>
        <v>0.19</v>
      </c>
    </row>
    <row r="4" spans="1:2" ht="15" customHeight="1" x14ac:dyDescent="0.25">
      <c r="A4" s="126" t="s">
        <v>3</v>
      </c>
      <c r="B4" s="109">
        <f>'Loan Details'!B5</f>
        <v>36</v>
      </c>
    </row>
    <row r="5" spans="1:2" ht="18.75" x14ac:dyDescent="0.3">
      <c r="A5" s="492" t="s">
        <v>833</v>
      </c>
      <c r="B5" s="492"/>
    </row>
    <row r="6" spans="1:2" ht="15" customHeight="1" x14ac:dyDescent="0.25">
      <c r="A6" s="120" t="s">
        <v>13</v>
      </c>
      <c r="B6" s="107">
        <v>1000000</v>
      </c>
    </row>
    <row r="7" spans="1:2" ht="15" customHeight="1" x14ac:dyDescent="0.25">
      <c r="A7" s="120" t="s">
        <v>836</v>
      </c>
      <c r="B7" s="109">
        <v>19</v>
      </c>
    </row>
    <row r="8" spans="1:2" ht="15" customHeight="1" x14ac:dyDescent="0.25">
      <c r="A8" s="120" t="s">
        <v>834</v>
      </c>
      <c r="B8" s="107">
        <v>33333</v>
      </c>
    </row>
    <row r="9" spans="1:2" ht="15" customHeight="1" x14ac:dyDescent="0.25">
      <c r="A9" s="120" t="s">
        <v>835</v>
      </c>
      <c r="B9" s="107">
        <f>B8*B7</f>
        <v>633327</v>
      </c>
    </row>
    <row r="10" spans="1:2" ht="15" customHeight="1" x14ac:dyDescent="0.25">
      <c r="A10" s="120" t="s">
        <v>837</v>
      </c>
      <c r="B10" s="127">
        <f>IF(B7&lt;=18,1.2,1.3)</f>
        <v>1.3</v>
      </c>
    </row>
    <row r="11" spans="1:2" ht="18.75" x14ac:dyDescent="0.3">
      <c r="A11" s="492" t="s">
        <v>838</v>
      </c>
      <c r="B11" s="492"/>
    </row>
    <row r="12" spans="1:2" ht="15" customHeight="1" x14ac:dyDescent="0.25">
      <c r="A12" s="126" t="s">
        <v>839</v>
      </c>
      <c r="B12" s="131">
        <f>B10*B8</f>
        <v>43332.9</v>
      </c>
    </row>
    <row r="13" spans="1:2" ht="15" customHeight="1" x14ac:dyDescent="0.25">
      <c r="A13" s="126" t="s">
        <v>840</v>
      </c>
      <c r="B13" s="107">
        <f>PV(B3/12,B4,-B12)</f>
        <v>1182149.6161376475</v>
      </c>
    </row>
    <row r="14" spans="1:2" ht="15" customHeight="1" x14ac:dyDescent="0.25">
      <c r="A14" s="126" t="s">
        <v>524</v>
      </c>
      <c r="B14" s="114">
        <f>MIN(B13,B2)</f>
        <v>0</v>
      </c>
    </row>
    <row r="15" spans="1:2" x14ac:dyDescent="0.25">
      <c r="A15" s="126" t="s">
        <v>12</v>
      </c>
      <c r="B15" s="114">
        <f>PMT(B3/12,B4,-B14)</f>
        <v>0</v>
      </c>
    </row>
    <row r="16" spans="1:2" ht="6" customHeight="1" x14ac:dyDescent="0.25"/>
    <row r="17" ht="5.25" hidden="1" customHeight="1" x14ac:dyDescent="0.25"/>
  </sheetData>
  <sheetProtection algorithmName="SHA-512" hashValue="lr6EmKEhVSw1qP7FGbGE8HzRYp85xhi8JdgOlUN8/Mh7p6P2C6EOMoAJXUANHZ28gvvry/JWRjoYwatibkY4AA==" saltValue="kkOxR2oxCvV5mcwUVtW++w==" spinCount="100000" sheet="1" objects="1" scenarios="1"/>
  <mergeCells count="3">
    <mergeCell ref="A1:B1"/>
    <mergeCell ref="A11:B11"/>
    <mergeCell ref="A5:B5"/>
  </mergeCells>
  <dataValidations disablePrompts="1" count="2">
    <dataValidation operator="greaterThanOrEqual" showInputMessage="1" showErrorMessage="1" sqref="B3" xr:uid="{00000000-0002-0000-0600-000000000000}"/>
    <dataValidation type="whole" allowBlank="1" showInputMessage="1" showErrorMessage="1" sqref="B4" xr:uid="{00000000-0002-0000-0600-000001000000}">
      <formula1>12</formula1>
      <formula2>60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1">
    <tabColor rgb="FFC00000"/>
  </sheetPr>
  <dimension ref="A1:XFC16"/>
  <sheetViews>
    <sheetView showGridLines="0" workbookViewId="0">
      <selection activeCell="B12" sqref="B12"/>
    </sheetView>
  </sheetViews>
  <sheetFormatPr defaultColWidth="0" defaultRowHeight="7.5" customHeight="1" zeroHeight="1" x14ac:dyDescent="0.2"/>
  <cols>
    <col min="1" max="1" width="49" style="18" bestFit="1" customWidth="1"/>
    <col min="2" max="2" width="40.5703125" style="18" customWidth="1"/>
    <col min="3" max="3" width="10.42578125" style="18" hidden="1"/>
    <col min="4" max="4" width="9.140625" style="18" hidden="1"/>
    <col min="5" max="5" width="11.140625" style="18" hidden="1" customWidth="1"/>
    <col min="6" max="6" width="8.85546875" style="18" hidden="1" customWidth="1"/>
    <col min="7" max="16383" width="9.140625" style="18" hidden="1"/>
    <col min="16384" max="16384" width="3.7109375" style="18" hidden="1"/>
  </cols>
  <sheetData>
    <row r="1" spans="1:6" ht="20.25" x14ac:dyDescent="0.3">
      <c r="A1" s="481" t="s">
        <v>484</v>
      </c>
      <c r="B1" s="481"/>
    </row>
    <row r="2" spans="1:6" ht="14.25" customHeight="1" x14ac:dyDescent="0.2">
      <c r="A2" s="126" t="s">
        <v>0</v>
      </c>
      <c r="B2" s="107">
        <f>'Loan Details'!B3</f>
        <v>0</v>
      </c>
    </row>
    <row r="3" spans="1:6" ht="15" customHeight="1" x14ac:dyDescent="0.2">
      <c r="A3" s="145" t="s">
        <v>2</v>
      </c>
      <c r="B3" s="141">
        <f>'Loan Details'!B4</f>
        <v>0.19</v>
      </c>
    </row>
    <row r="4" spans="1:6" ht="15" customHeight="1" x14ac:dyDescent="0.2">
      <c r="A4" s="145" t="s">
        <v>3</v>
      </c>
      <c r="B4" s="142">
        <f>'Loan Details'!B5</f>
        <v>36</v>
      </c>
    </row>
    <row r="5" spans="1:6" ht="15" customHeight="1" x14ac:dyDescent="0.2">
      <c r="A5" s="145" t="s">
        <v>917</v>
      </c>
      <c r="B5" s="142" t="s">
        <v>437</v>
      </c>
      <c r="E5" s="18" t="s">
        <v>917</v>
      </c>
      <c r="F5" s="18" t="s">
        <v>919</v>
      </c>
    </row>
    <row r="6" spans="1:6" ht="14.25" customHeight="1" x14ac:dyDescent="0.3">
      <c r="A6" s="492" t="s">
        <v>4</v>
      </c>
      <c r="B6" s="492"/>
      <c r="E6" s="18" t="s">
        <v>999</v>
      </c>
      <c r="F6" s="18">
        <v>5</v>
      </c>
    </row>
    <row r="7" spans="1:6" ht="15" customHeight="1" x14ac:dyDescent="0.2">
      <c r="A7" s="145" t="s">
        <v>5</v>
      </c>
      <c r="B7" s="140">
        <f>'Loan Details'!C12</f>
        <v>0</v>
      </c>
      <c r="E7" s="18" t="s">
        <v>437</v>
      </c>
      <c r="F7" s="18">
        <v>4</v>
      </c>
    </row>
    <row r="8" spans="1:6" ht="15" customHeight="1" x14ac:dyDescent="0.3">
      <c r="A8" s="492" t="s">
        <v>6</v>
      </c>
      <c r="B8" s="492"/>
      <c r="E8" s="18" t="s">
        <v>918</v>
      </c>
      <c r="F8" s="18">
        <v>3</v>
      </c>
    </row>
    <row r="9" spans="1:6" ht="15" customHeight="1" x14ac:dyDescent="0.2">
      <c r="A9" s="145" t="s">
        <v>783</v>
      </c>
      <c r="B9" s="140">
        <v>0</v>
      </c>
    </row>
    <row r="10" spans="1:6" ht="15" customHeight="1" x14ac:dyDescent="0.2">
      <c r="A10" s="145" t="s">
        <v>252</v>
      </c>
      <c r="B10" s="144">
        <f>VLOOKUP(B5,E6:F8,2,0)</f>
        <v>4</v>
      </c>
    </row>
    <row r="11" spans="1:6" ht="14.25" customHeight="1" x14ac:dyDescent="0.2">
      <c r="A11" s="145" t="s">
        <v>245</v>
      </c>
      <c r="B11" s="146">
        <f>(B9*B10)*0.7</f>
        <v>0</v>
      </c>
    </row>
    <row r="12" spans="1:6" ht="14.25" customHeight="1" x14ac:dyDescent="0.2">
      <c r="A12" s="145" t="s">
        <v>853</v>
      </c>
      <c r="B12" s="146">
        <f>B11-(B7*12)</f>
        <v>0</v>
      </c>
    </row>
    <row r="13" spans="1:6" ht="14.25" x14ac:dyDescent="0.2">
      <c r="A13" s="145" t="s">
        <v>247</v>
      </c>
      <c r="B13" s="143">
        <f>B12</f>
        <v>0</v>
      </c>
    </row>
    <row r="14" spans="1:6" ht="14.25" x14ac:dyDescent="0.2">
      <c r="A14" s="145" t="s">
        <v>524</v>
      </c>
      <c r="B14" s="143">
        <f>MIN(B13,B2)</f>
        <v>0</v>
      </c>
    </row>
    <row r="15" spans="1:6" ht="14.25" x14ac:dyDescent="0.2">
      <c r="A15" s="145" t="s">
        <v>12</v>
      </c>
      <c r="B15" s="143">
        <f>PMT(B3/12,B4,-B14)</f>
        <v>0</v>
      </c>
    </row>
    <row r="16" spans="1:6" ht="7.5" customHeight="1" x14ac:dyDescent="0.2"/>
  </sheetData>
  <sheetProtection algorithmName="SHA-512" hashValue="DGM8vXWU+8Dn7TkUAWLqPLYH/zl8CeDhVGSVFDM8QSOJj9y6ji6LokMzlHGdpR2da4vfzN6v2Hl5dAQgyWKhBg==" saltValue="jAbPhatka6c3oWFOR0y6kg==" spinCount="100000" sheet="1" objects="1" scenarios="1"/>
  <mergeCells count="3">
    <mergeCell ref="A1:B1"/>
    <mergeCell ref="A6:B6"/>
    <mergeCell ref="A8:B8"/>
  </mergeCells>
  <dataValidations count="4">
    <dataValidation type="whole" allowBlank="1" showInputMessage="1" showErrorMessage="1" sqref="B4" xr:uid="{00000000-0002-0000-0700-000000000000}">
      <formula1>12</formula1>
      <formula2>60</formula2>
    </dataValidation>
    <dataValidation operator="greaterThanOrEqual" showInputMessage="1" showErrorMessage="1" sqref="B3" xr:uid="{00000000-0002-0000-0700-000001000000}"/>
    <dataValidation type="list" allowBlank="1" showInputMessage="1" showErrorMessage="1" sqref="B5" xr:uid="{00000000-0002-0000-0700-000002000000}">
      <formula1>$E$6:$E$7</formula1>
    </dataValidation>
    <dataValidation allowBlank="1" showInputMessage="1" showErrorMessage="1" error="CIBIL [700 - 750) -- 15 lakhs_x000a_CIBIL &gt;= 750 --&gt; 25 Lakhs" promptTitle="Max. Loan Capping" prompt="CIBIL [700 - 750) -- 15 lakhs_x000a_CIBIL &gt;= 750 --&gt; 25 Lakhs_x000a_" sqref="B2" xr:uid="{00000000-0002-0000-0700-000003000000}"/>
  </dataValidations>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9">
    <tabColor rgb="FFC00000"/>
  </sheetPr>
  <dimension ref="A1:F32"/>
  <sheetViews>
    <sheetView workbookViewId="0">
      <selection activeCell="B10" sqref="B10"/>
    </sheetView>
  </sheetViews>
  <sheetFormatPr defaultColWidth="0" defaultRowHeight="0" customHeight="1" zeroHeight="1" x14ac:dyDescent="0.2"/>
  <cols>
    <col min="1" max="1" width="49" style="18" bestFit="1" customWidth="1"/>
    <col min="2" max="2" width="30.28515625" style="18" bestFit="1" customWidth="1"/>
    <col min="3" max="3" width="3.5703125" style="18" hidden="1"/>
    <col min="4" max="4" width="6.5703125" style="18" hidden="1" customWidth="1"/>
    <col min="5" max="5" width="26.140625" style="18" hidden="1" customWidth="1"/>
    <col min="6" max="6" width="9.5703125" style="18" hidden="1" customWidth="1"/>
    <col min="7" max="16384" width="3.5703125" style="18" hidden="1"/>
  </cols>
  <sheetData>
    <row r="1" spans="1:6" ht="20.25" x14ac:dyDescent="0.3">
      <c r="A1" s="481" t="s">
        <v>249</v>
      </c>
      <c r="B1" s="481"/>
    </row>
    <row r="2" spans="1:6" ht="14.25" customHeight="1" x14ac:dyDescent="0.2">
      <c r="A2" s="96" t="s">
        <v>0</v>
      </c>
      <c r="B2" s="92">
        <f>'Loan Details'!B3</f>
        <v>0</v>
      </c>
    </row>
    <row r="3" spans="1:6" ht="15" customHeight="1" x14ac:dyDescent="0.2">
      <c r="A3" s="96" t="s">
        <v>2</v>
      </c>
      <c r="B3" s="93">
        <f>'Loan Details'!B4</f>
        <v>0.19</v>
      </c>
      <c r="D3" s="132" t="s">
        <v>913</v>
      </c>
      <c r="E3" s="132" t="s">
        <v>910</v>
      </c>
      <c r="F3" s="132" t="s">
        <v>254</v>
      </c>
    </row>
    <row r="4" spans="1:6" ht="15" customHeight="1" x14ac:dyDescent="0.2">
      <c r="A4" s="96" t="s">
        <v>3</v>
      </c>
      <c r="B4" s="94">
        <f>'Loan Details'!B5</f>
        <v>36</v>
      </c>
      <c r="D4" s="132" t="str">
        <f>IF(B$5=E4,"Yes","No")</f>
        <v>Yes</v>
      </c>
      <c r="E4" s="133" t="s">
        <v>437</v>
      </c>
      <c r="F4" s="134">
        <v>3</v>
      </c>
    </row>
    <row r="5" spans="1:6" ht="15" customHeight="1" x14ac:dyDescent="0.2">
      <c r="A5" s="96" t="s">
        <v>436</v>
      </c>
      <c r="B5" s="94" t="s">
        <v>437</v>
      </c>
      <c r="D5" s="132" t="str">
        <f t="shared" ref="D5:D6" si="0">IF(B$5=E5,"Yes","No")</f>
        <v>No</v>
      </c>
      <c r="E5" s="133" t="s">
        <v>911</v>
      </c>
      <c r="F5" s="134">
        <v>3</v>
      </c>
    </row>
    <row r="6" spans="1:6" ht="15" customHeight="1" x14ac:dyDescent="0.3">
      <c r="A6" s="492" t="s">
        <v>4</v>
      </c>
      <c r="B6" s="492"/>
      <c r="D6" s="132" t="str">
        <f t="shared" si="0"/>
        <v>No</v>
      </c>
      <c r="E6" s="133" t="s">
        <v>912</v>
      </c>
      <c r="F6" s="134">
        <v>3</v>
      </c>
    </row>
    <row r="7" spans="1:6" ht="14.25" customHeight="1" x14ac:dyDescent="0.2">
      <c r="A7" s="96" t="s">
        <v>5</v>
      </c>
      <c r="B7" s="92">
        <f>'Loan Details'!C12</f>
        <v>0</v>
      </c>
      <c r="D7" s="32"/>
      <c r="E7" s="33"/>
    </row>
    <row r="8" spans="1:6" ht="15" customHeight="1" x14ac:dyDescent="0.3">
      <c r="A8" s="492" t="s">
        <v>528</v>
      </c>
      <c r="B8" s="492"/>
      <c r="D8" s="34"/>
      <c r="E8" s="35"/>
    </row>
    <row r="9" spans="1:6" ht="15" customHeight="1" x14ac:dyDescent="0.2">
      <c r="A9" s="96" t="s">
        <v>782</v>
      </c>
      <c r="B9" s="92">
        <v>500000</v>
      </c>
      <c r="D9" s="34"/>
      <c r="E9" s="35"/>
    </row>
    <row r="10" spans="1:6" ht="15" customHeight="1" x14ac:dyDescent="0.2">
      <c r="A10" s="96" t="s">
        <v>252</v>
      </c>
      <c r="B10" s="98">
        <f>VLOOKUP("Yes",D3:F6,3,0)</f>
        <v>3</v>
      </c>
    </row>
    <row r="11" spans="1:6" ht="15" customHeight="1" x14ac:dyDescent="0.2">
      <c r="A11" s="96" t="s">
        <v>781</v>
      </c>
      <c r="B11" s="97">
        <f>(B9/12)*B10</f>
        <v>125000</v>
      </c>
    </row>
    <row r="12" spans="1:6" ht="15" customHeight="1" x14ac:dyDescent="0.2">
      <c r="A12" s="96" t="s">
        <v>10</v>
      </c>
      <c r="B12" s="95">
        <f>B7</f>
        <v>0</v>
      </c>
    </row>
    <row r="13" spans="1:6" ht="15" customHeight="1" x14ac:dyDescent="0.2">
      <c r="A13" s="96" t="s">
        <v>779</v>
      </c>
      <c r="B13" s="95">
        <f>-PMT(B3/12,B4,B2)</f>
        <v>0</v>
      </c>
    </row>
    <row r="14" spans="1:6" ht="15" customHeight="1" x14ac:dyDescent="0.2">
      <c r="A14" s="96" t="s">
        <v>778</v>
      </c>
      <c r="B14" s="135">
        <f>(B12+B13)/B11</f>
        <v>0</v>
      </c>
    </row>
    <row r="15" spans="1:6" ht="15" customHeight="1" x14ac:dyDescent="0.2">
      <c r="A15" s="96" t="s">
        <v>777</v>
      </c>
      <c r="B15" s="95" t="str">
        <f>IF(B14&gt;75%,"Not Eligible for applied Loan Amount","Eligible for applied Loan Amount")</f>
        <v>Eligible for applied Loan Amount</v>
      </c>
    </row>
    <row r="16" spans="1:6" ht="4.5" customHeight="1" x14ac:dyDescent="0.2"/>
    <row r="17" ht="9.75" hidden="1" customHeight="1" x14ac:dyDescent="0.2"/>
    <row r="18" ht="15" hidden="1" customHeight="1" x14ac:dyDescent="0.2"/>
    <row r="19" ht="15" hidden="1" customHeight="1" x14ac:dyDescent="0.2"/>
    <row r="20" ht="10.5" hidden="1" customHeight="1" x14ac:dyDescent="0.2"/>
    <row r="21" ht="15" hidden="1" customHeight="1" x14ac:dyDescent="0.2"/>
    <row r="22" ht="15" hidden="1" customHeight="1" x14ac:dyDescent="0.2"/>
    <row r="23" ht="15" hidden="1" customHeight="1" x14ac:dyDescent="0.2"/>
    <row r="24" ht="15" hidden="1" customHeight="1" x14ac:dyDescent="0.2"/>
    <row r="25" ht="15" hidden="1" customHeight="1" x14ac:dyDescent="0.2"/>
    <row r="26" ht="15" hidden="1" customHeight="1" x14ac:dyDescent="0.2"/>
    <row r="27" ht="15" hidden="1" customHeight="1" x14ac:dyDescent="0.2"/>
    <row r="28" ht="15" hidden="1" customHeight="1" x14ac:dyDescent="0.2"/>
    <row r="29" ht="15" hidden="1" customHeight="1" x14ac:dyDescent="0.2"/>
    <row r="30" ht="15" hidden="1" customHeight="1" x14ac:dyDescent="0.2"/>
    <row r="31" ht="15" hidden="1" customHeight="1" x14ac:dyDescent="0.2"/>
    <row r="32" ht="15" hidden="1" customHeight="1" x14ac:dyDescent="0.2"/>
  </sheetData>
  <sheetProtection algorithmName="SHA-512" hashValue="YLkGrVBZ13KIwE9Bqz5LxSg3GcEmLzSmNrsU84qdkmlfwbOJcVas3ZX3glaZ5gqhFfxozueGq3g2wYvPRYJBCQ==" saltValue="dVgIzQf3gkTW7EbJ/ZviTA==" spinCount="100000" sheet="1" objects="1" scenarios="1"/>
  <mergeCells count="3">
    <mergeCell ref="A1:B1"/>
    <mergeCell ref="A8:B8"/>
    <mergeCell ref="A6:B6"/>
  </mergeCells>
  <dataValidations count="3">
    <dataValidation type="whole" allowBlank="1" showInputMessage="1" showErrorMessage="1" sqref="B4" xr:uid="{00000000-0002-0000-0800-000000000000}">
      <formula1>12</formula1>
      <formula2>60</formula2>
    </dataValidation>
    <dataValidation operator="greaterThanOrEqual" showInputMessage="1" showErrorMessage="1" sqref="B3" xr:uid="{00000000-0002-0000-0800-000001000000}"/>
    <dataValidation type="list" allowBlank="1" showInputMessage="1" showErrorMessage="1" sqref="B5" xr:uid="{00000000-0002-0000-0800-000002000000}">
      <formula1>$E$4:$E$6</formula1>
    </dataValidation>
  </dataValidation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0">
    <tabColor rgb="FFC00000"/>
  </sheetPr>
  <dimension ref="A1:R19"/>
  <sheetViews>
    <sheetView workbookViewId="0">
      <selection sqref="A1:G1"/>
    </sheetView>
  </sheetViews>
  <sheetFormatPr defaultColWidth="0" defaultRowHeight="12.75" zeroHeight="1" x14ac:dyDescent="0.2"/>
  <cols>
    <col min="1" max="1" width="49" style="18" bestFit="1" customWidth="1"/>
    <col min="2" max="7" width="20.7109375" style="18" customWidth="1"/>
    <col min="8" max="8" width="1.28515625" style="18" customWidth="1"/>
    <col min="9" max="18" width="0" style="18" hidden="1" customWidth="1"/>
    <col min="19" max="16384" width="9.140625" style="18" hidden="1"/>
  </cols>
  <sheetData>
    <row r="1" spans="1:10" ht="20.25" x14ac:dyDescent="0.3">
      <c r="A1" s="481" t="s">
        <v>473</v>
      </c>
      <c r="B1" s="481"/>
      <c r="C1" s="481"/>
      <c r="D1" s="481"/>
      <c r="E1" s="481"/>
      <c r="F1" s="481"/>
      <c r="G1" s="481"/>
    </row>
    <row r="2" spans="1:10" ht="15" customHeight="1" thickBot="1" x14ac:dyDescent="0.25">
      <c r="A2" s="126" t="s">
        <v>0</v>
      </c>
      <c r="B2" s="379">
        <f>'Loan Details'!B3</f>
        <v>0</v>
      </c>
      <c r="C2" s="379"/>
      <c r="D2" s="379"/>
      <c r="E2" s="379"/>
      <c r="F2" s="379"/>
      <c r="G2" s="379"/>
    </row>
    <row r="3" spans="1:10" ht="15" customHeight="1" thickBot="1" x14ac:dyDescent="0.25">
      <c r="A3" s="126" t="s">
        <v>2</v>
      </c>
      <c r="B3" s="380">
        <f>'Loan Details'!B4</f>
        <v>0.19</v>
      </c>
      <c r="C3" s="380"/>
      <c r="D3" s="380"/>
      <c r="E3" s="380"/>
      <c r="F3" s="380"/>
      <c r="G3" s="380"/>
      <c r="I3" s="36" t="s">
        <v>253</v>
      </c>
      <c r="J3" s="37" t="s">
        <v>254</v>
      </c>
    </row>
    <row r="4" spans="1:10" ht="15" customHeight="1" thickBot="1" x14ac:dyDescent="0.25">
      <c r="A4" s="126" t="s">
        <v>3</v>
      </c>
      <c r="B4" s="381">
        <f>'Loan Details'!B5</f>
        <v>36</v>
      </c>
      <c r="C4" s="381"/>
      <c r="D4" s="381"/>
      <c r="E4" s="381"/>
      <c r="F4" s="381"/>
      <c r="G4" s="381"/>
      <c r="I4" s="38">
        <v>1</v>
      </c>
      <c r="J4" s="39">
        <v>8</v>
      </c>
    </row>
    <row r="5" spans="1:10" ht="15" customHeight="1" thickBot="1" x14ac:dyDescent="0.35">
      <c r="A5" s="492" t="s">
        <v>4</v>
      </c>
      <c r="B5" s="492"/>
      <c r="C5" s="492"/>
      <c r="D5" s="492"/>
      <c r="E5" s="492"/>
      <c r="F5" s="492"/>
      <c r="G5" s="492"/>
      <c r="I5" s="38">
        <v>2</v>
      </c>
      <c r="J5" s="39">
        <v>12</v>
      </c>
    </row>
    <row r="6" spans="1:10" ht="14.25" customHeight="1" x14ac:dyDescent="0.2">
      <c r="A6" s="126" t="s">
        <v>5</v>
      </c>
      <c r="B6" s="379">
        <f>'Loan Details'!C12</f>
        <v>0</v>
      </c>
      <c r="C6" s="379"/>
      <c r="D6" s="379"/>
      <c r="E6" s="379"/>
      <c r="F6" s="379"/>
      <c r="G6" s="379"/>
      <c r="I6" s="32"/>
      <c r="J6" s="33"/>
    </row>
    <row r="7" spans="1:10" ht="15" customHeight="1" x14ac:dyDescent="0.3">
      <c r="A7" s="492" t="s">
        <v>6</v>
      </c>
      <c r="B7" s="492"/>
      <c r="C7" s="492"/>
      <c r="D7" s="492"/>
      <c r="E7" s="492"/>
      <c r="F7" s="492"/>
      <c r="G7" s="492"/>
      <c r="I7" s="34"/>
      <c r="J7" s="35"/>
    </row>
    <row r="8" spans="1:10" ht="15" thickBot="1" x14ac:dyDescent="0.25">
      <c r="A8" s="502" t="s">
        <v>250</v>
      </c>
      <c r="B8" s="113" t="s">
        <v>444</v>
      </c>
      <c r="C8" s="113" t="s">
        <v>445</v>
      </c>
      <c r="D8" s="113" t="s">
        <v>446</v>
      </c>
      <c r="E8" s="113" t="s">
        <v>447</v>
      </c>
      <c r="F8" s="113" t="s">
        <v>448</v>
      </c>
      <c r="G8" s="113" t="s">
        <v>449</v>
      </c>
      <c r="I8" s="38">
        <v>3</v>
      </c>
      <c r="J8" s="39">
        <v>15</v>
      </c>
    </row>
    <row r="9" spans="1:10" ht="15" customHeight="1" thickBot="1" x14ac:dyDescent="0.25">
      <c r="A9" s="503"/>
      <c r="B9" s="105">
        <v>0</v>
      </c>
      <c r="C9" s="105">
        <v>0</v>
      </c>
      <c r="D9" s="105">
        <v>0</v>
      </c>
      <c r="E9" s="105">
        <v>0</v>
      </c>
      <c r="F9" s="105">
        <v>0</v>
      </c>
      <c r="G9" s="106">
        <v>0</v>
      </c>
      <c r="I9" s="38">
        <v>4</v>
      </c>
      <c r="J9" s="39">
        <v>18</v>
      </c>
    </row>
    <row r="10" spans="1:10" ht="15" customHeight="1" thickBot="1" x14ac:dyDescent="0.25">
      <c r="A10" s="502" t="s">
        <v>251</v>
      </c>
      <c r="B10" s="451" t="s">
        <v>447</v>
      </c>
      <c r="C10" s="452"/>
      <c r="D10" s="451" t="s">
        <v>448</v>
      </c>
      <c r="E10" s="452"/>
      <c r="F10" s="451" t="s">
        <v>449</v>
      </c>
      <c r="G10" s="452"/>
      <c r="I10" s="38">
        <v>5</v>
      </c>
      <c r="J10" s="39">
        <v>20</v>
      </c>
    </row>
    <row r="11" spans="1:10" ht="15" customHeight="1" x14ac:dyDescent="0.2">
      <c r="A11" s="503"/>
      <c r="B11" s="504">
        <v>0</v>
      </c>
      <c r="C11" s="505"/>
      <c r="D11" s="504">
        <v>0</v>
      </c>
      <c r="E11" s="505"/>
      <c r="F11" s="504">
        <v>0</v>
      </c>
      <c r="G11" s="505"/>
    </row>
    <row r="12" spans="1:10" ht="15" customHeight="1" x14ac:dyDescent="0.2">
      <c r="A12" s="126" t="s">
        <v>252</v>
      </c>
      <c r="B12" s="501">
        <f>VLOOKUP(ROUNDUP(B4/12,0),I:J,2,0)</f>
        <v>15</v>
      </c>
      <c r="C12" s="501"/>
      <c r="D12" s="501"/>
      <c r="E12" s="501"/>
      <c r="F12" s="501"/>
      <c r="G12" s="501"/>
    </row>
    <row r="13" spans="1:10" ht="15" customHeight="1" x14ac:dyDescent="0.2">
      <c r="A13" s="126" t="s">
        <v>781</v>
      </c>
      <c r="B13" s="498">
        <f>(AVERAGE(B11:G11)+AVERAGE(B9:G9))*0.75</f>
        <v>0</v>
      </c>
      <c r="C13" s="498"/>
      <c r="D13" s="498"/>
      <c r="E13" s="498"/>
      <c r="F13" s="498"/>
      <c r="G13" s="498"/>
    </row>
    <row r="14" spans="1:10" ht="15" customHeight="1" x14ac:dyDescent="0.2">
      <c r="A14" s="120" t="s">
        <v>853</v>
      </c>
      <c r="B14" s="499">
        <f>B13-B6</f>
        <v>0</v>
      </c>
      <c r="C14" s="500"/>
      <c r="D14" s="500"/>
      <c r="E14" s="500"/>
      <c r="F14" s="500"/>
      <c r="G14" s="500"/>
    </row>
    <row r="15" spans="1:10" ht="15" customHeight="1" x14ac:dyDescent="0.2">
      <c r="A15" s="120" t="s">
        <v>247</v>
      </c>
      <c r="B15" s="496">
        <f>B14*B12</f>
        <v>0</v>
      </c>
      <c r="C15" s="497"/>
      <c r="D15" s="497"/>
      <c r="E15" s="497"/>
      <c r="F15" s="497"/>
      <c r="G15" s="497"/>
    </row>
    <row r="16" spans="1:10" ht="15" customHeight="1" x14ac:dyDescent="0.2">
      <c r="A16" s="126" t="s">
        <v>524</v>
      </c>
      <c r="B16" s="489">
        <f>MIN(B15,B2)</f>
        <v>0</v>
      </c>
      <c r="C16" s="489"/>
      <c r="D16" s="489"/>
      <c r="E16" s="489"/>
      <c r="F16" s="489"/>
      <c r="G16" s="489"/>
    </row>
    <row r="17" spans="1:7" ht="15" customHeight="1" x14ac:dyDescent="0.2">
      <c r="A17" s="126" t="s">
        <v>12</v>
      </c>
      <c r="B17" s="489">
        <f>PMT(B3/12,B4,-B16)</f>
        <v>0</v>
      </c>
      <c r="C17" s="489"/>
      <c r="D17" s="489"/>
      <c r="E17" s="489"/>
      <c r="F17" s="489"/>
      <c r="G17" s="489"/>
    </row>
    <row r="18" spans="1:7" ht="6" customHeight="1" x14ac:dyDescent="0.2"/>
    <row r="19" spans="1:7" ht="5.25" hidden="1" customHeight="1" x14ac:dyDescent="0.2"/>
  </sheetData>
  <sheetProtection algorithmName="SHA-512" hashValue="/HBIIqwsPvz1zbUGtn+FWYMPxlNHHurPAp2a5AWgyQLlO9d1ipr7la5+SXlYnNwePZq0AZhTkBfagbv4NqpUMA==" saltValue="3Av4Nc6k3Tw4QRYqr3UaJA==" spinCount="100000" sheet="1" objects="1" scenarios="1"/>
  <mergeCells count="21">
    <mergeCell ref="B4:G4"/>
    <mergeCell ref="A8:A9"/>
    <mergeCell ref="A7:G7"/>
    <mergeCell ref="A5:G5"/>
    <mergeCell ref="A1:G1"/>
    <mergeCell ref="B2:G2"/>
    <mergeCell ref="B3:G3"/>
    <mergeCell ref="A10:A11"/>
    <mergeCell ref="B10:C10"/>
    <mergeCell ref="D10:E10"/>
    <mergeCell ref="F10:G10"/>
    <mergeCell ref="B11:C11"/>
    <mergeCell ref="D11:E11"/>
    <mergeCell ref="F11:G11"/>
    <mergeCell ref="B17:G17"/>
    <mergeCell ref="B15:G15"/>
    <mergeCell ref="B16:G16"/>
    <mergeCell ref="B6:G6"/>
    <mergeCell ref="B13:G13"/>
    <mergeCell ref="B14:G14"/>
    <mergeCell ref="B12:G12"/>
  </mergeCells>
  <dataValidations count="2">
    <dataValidation type="whole" allowBlank="1" showInputMessage="1" showErrorMessage="1" sqref="B4" xr:uid="{00000000-0002-0000-0900-000000000000}">
      <formula1>12</formula1>
      <formula2>60</formula2>
    </dataValidation>
    <dataValidation operator="greaterThanOrEqual" showInputMessage="1" showErrorMessage="1" sqref="B3:G3" xr:uid="{00000000-0002-0000-0900-00000100000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dimension ref="A1:R92"/>
  <sheetViews>
    <sheetView topLeftCell="A7" zoomScale="90" zoomScaleNormal="90" workbookViewId="0">
      <selection activeCell="A29" sqref="A29:Q29"/>
    </sheetView>
  </sheetViews>
  <sheetFormatPr defaultColWidth="0" defaultRowHeight="15" zeroHeight="1" x14ac:dyDescent="0.25"/>
  <cols>
    <col min="1" max="1" width="12.28515625" style="13" customWidth="1"/>
    <col min="2" max="2" width="11.5703125" style="13" customWidth="1"/>
    <col min="3" max="4" width="19.5703125" style="13" customWidth="1"/>
    <col min="5" max="8" width="9.140625" style="13" customWidth="1"/>
    <col min="9" max="10" width="10.42578125" style="13" customWidth="1"/>
    <col min="11" max="13" width="9.140625" style="13" customWidth="1"/>
    <col min="14" max="17" width="11.7109375" style="13" customWidth="1"/>
    <col min="18" max="18" width="2" style="13" customWidth="1"/>
    <col min="19" max="16384" width="9.140625" style="13" hidden="1"/>
  </cols>
  <sheetData>
    <row r="1" spans="1:17" ht="20.25" x14ac:dyDescent="0.25">
      <c r="A1" s="509" t="s">
        <v>525</v>
      </c>
      <c r="B1" s="509"/>
      <c r="C1" s="509"/>
      <c r="D1" s="509"/>
      <c r="E1" s="509"/>
      <c r="F1" s="509"/>
      <c r="G1" s="509"/>
      <c r="H1" s="509"/>
      <c r="I1" s="509"/>
      <c r="J1" s="509"/>
      <c r="K1" s="509"/>
      <c r="L1" s="509"/>
      <c r="M1" s="509"/>
      <c r="N1" s="509"/>
      <c r="O1" s="509"/>
      <c r="P1" s="509"/>
      <c r="Q1" s="509"/>
    </row>
    <row r="2" spans="1:17" ht="15.75" x14ac:dyDescent="0.25">
      <c r="A2" s="506" t="s">
        <v>829</v>
      </c>
      <c r="B2" s="506"/>
      <c r="C2" s="507" t="s">
        <v>1028</v>
      </c>
      <c r="D2" s="507"/>
      <c r="E2" s="507"/>
      <c r="F2" s="507"/>
      <c r="G2" s="507"/>
      <c r="H2" s="507"/>
      <c r="I2" s="508" t="str">
        <f>IF(C2="Rented","Permanent address to be documented","OK to proceed")</f>
        <v>OK to proceed</v>
      </c>
      <c r="J2" s="508"/>
      <c r="K2" s="508"/>
      <c r="L2" s="508"/>
      <c r="M2" s="508"/>
      <c r="N2" s="508"/>
      <c r="O2" s="508"/>
      <c r="P2" s="508"/>
      <c r="Q2" s="508"/>
    </row>
    <row r="3" spans="1:17" ht="15.75" x14ac:dyDescent="0.25">
      <c r="A3" s="506" t="s">
        <v>826</v>
      </c>
      <c r="B3" s="506"/>
      <c r="C3" s="507" t="s">
        <v>1030</v>
      </c>
      <c r="D3" s="507"/>
      <c r="E3" s="507"/>
      <c r="F3" s="507"/>
      <c r="G3" s="507"/>
      <c r="H3" s="507"/>
      <c r="I3" s="508" t="str">
        <f>IF(C3="None","Need RCM Deviation","Ownership norms met")</f>
        <v>Ownership norms met</v>
      </c>
      <c r="J3" s="508"/>
      <c r="K3" s="508"/>
      <c r="L3" s="508"/>
      <c r="M3" s="508"/>
      <c r="N3" s="508"/>
      <c r="O3" s="508"/>
      <c r="P3" s="508"/>
      <c r="Q3" s="508"/>
    </row>
    <row r="4" spans="1:17" x14ac:dyDescent="0.25">
      <c r="A4" s="506" t="s">
        <v>827</v>
      </c>
      <c r="B4" s="506"/>
      <c r="C4" s="506" t="s">
        <v>828</v>
      </c>
      <c r="D4" s="506"/>
      <c r="E4" s="506"/>
      <c r="F4" s="506" t="s">
        <v>231</v>
      </c>
      <c r="G4" s="506"/>
      <c r="H4" s="506"/>
      <c r="I4" s="508" t="str">
        <f>IF((C5-F5)&lt;180,"Need ZCM Deviation","Deviation not required")</f>
        <v>Need ZCM Deviation</v>
      </c>
      <c r="J4" s="508"/>
      <c r="K4" s="508"/>
      <c r="L4" s="508"/>
      <c r="M4" s="508"/>
      <c r="N4" s="508"/>
      <c r="O4" s="508"/>
      <c r="P4" s="508"/>
      <c r="Q4" s="508"/>
    </row>
    <row r="5" spans="1:17" x14ac:dyDescent="0.25">
      <c r="A5" s="506"/>
      <c r="B5" s="506"/>
      <c r="C5" s="519"/>
      <c r="D5" s="519"/>
      <c r="E5" s="519"/>
      <c r="F5" s="519"/>
      <c r="G5" s="519"/>
      <c r="H5" s="519"/>
      <c r="I5" s="508"/>
      <c r="J5" s="508"/>
      <c r="K5" s="508"/>
      <c r="L5" s="508"/>
      <c r="M5" s="508"/>
      <c r="N5" s="508"/>
      <c r="O5" s="508"/>
      <c r="P5" s="508"/>
      <c r="Q5" s="508"/>
    </row>
    <row r="6" spans="1:17" ht="15.75" x14ac:dyDescent="0.25">
      <c r="A6" s="506" t="s">
        <v>830</v>
      </c>
      <c r="B6" s="506"/>
      <c r="C6" s="507" t="s">
        <v>709</v>
      </c>
      <c r="D6" s="507"/>
      <c r="E6" s="507"/>
      <c r="F6" s="507"/>
      <c r="G6" s="507"/>
      <c r="H6" s="507"/>
      <c r="I6" s="508" t="str">
        <f>IF(C6="Landline","OK to proceed","Need ACM Deviation")</f>
        <v>Need ACM Deviation</v>
      </c>
      <c r="J6" s="508"/>
      <c r="K6" s="508"/>
      <c r="L6" s="508"/>
      <c r="M6" s="508"/>
      <c r="N6" s="508"/>
      <c r="O6" s="508"/>
      <c r="P6" s="508"/>
      <c r="Q6" s="508"/>
    </row>
    <row r="7" spans="1:17" ht="15.75" x14ac:dyDescent="0.25">
      <c r="A7" s="506" t="s">
        <v>831</v>
      </c>
      <c r="B7" s="506"/>
      <c r="C7" s="507" t="s">
        <v>1029</v>
      </c>
      <c r="D7" s="507"/>
      <c r="E7" s="507"/>
      <c r="F7" s="507"/>
      <c r="G7" s="507"/>
      <c r="H7" s="507"/>
      <c r="I7" s="508" t="str">
        <f>IF(C7="Other","Need ACM Deviation","OK to proceed")</f>
        <v>OK to proceed</v>
      </c>
      <c r="J7" s="508"/>
      <c r="K7" s="508"/>
      <c r="L7" s="508"/>
      <c r="M7" s="508"/>
      <c r="N7" s="508"/>
      <c r="O7" s="508"/>
      <c r="P7" s="508"/>
      <c r="Q7" s="508"/>
    </row>
    <row r="8" spans="1:17" ht="20.25" x14ac:dyDescent="0.25">
      <c r="A8" s="509" t="s">
        <v>842</v>
      </c>
      <c r="B8" s="509"/>
      <c r="C8" s="509"/>
      <c r="D8" s="509"/>
      <c r="E8" s="509"/>
      <c r="F8" s="509"/>
      <c r="G8" s="509"/>
      <c r="H8" s="509"/>
      <c r="I8" s="509"/>
      <c r="J8" s="509"/>
      <c r="K8" s="509"/>
      <c r="L8" s="509"/>
      <c r="M8" s="509"/>
      <c r="N8" s="509"/>
      <c r="O8" s="509"/>
      <c r="P8" s="509"/>
      <c r="Q8" s="509"/>
    </row>
    <row r="9" spans="1:17" ht="15.75" x14ac:dyDescent="0.25">
      <c r="A9" s="506" t="s">
        <v>768</v>
      </c>
      <c r="B9" s="506"/>
      <c r="C9" s="522">
        <f>'CUSTOMER DETAIL'!B3</f>
        <v>0</v>
      </c>
      <c r="D9" s="507"/>
      <c r="E9" s="507"/>
      <c r="F9" s="507"/>
      <c r="G9" s="507"/>
      <c r="H9" s="507"/>
      <c r="I9" s="506" t="s">
        <v>770</v>
      </c>
      <c r="J9" s="506"/>
      <c r="K9" s="523" t="s">
        <v>1031</v>
      </c>
      <c r="L9" s="524"/>
      <c r="M9" s="525"/>
      <c r="N9" s="508" t="str">
        <f>IF(K9="Proprietary","Co-applicant must be Father/ Mother/ Spouse/ Son","51% holders must be on the loan structure")</f>
        <v>Co-applicant must be Father/ Mother/ Spouse/ Son</v>
      </c>
      <c r="O9" s="508"/>
      <c r="P9" s="508"/>
      <c r="Q9" s="508"/>
    </row>
    <row r="10" spans="1:17" ht="15.75" x14ac:dyDescent="0.25">
      <c r="A10" s="506" t="s">
        <v>767</v>
      </c>
      <c r="B10" s="506"/>
      <c r="C10" s="518">
        <f>'CUSTOMER DETAIL'!B7</f>
        <v>0</v>
      </c>
      <c r="D10" s="518"/>
      <c r="E10" s="518"/>
      <c r="F10" s="518"/>
      <c r="G10" s="518"/>
      <c r="H10" s="518"/>
      <c r="I10" s="506" t="s">
        <v>769</v>
      </c>
      <c r="J10" s="506"/>
      <c r="K10" s="515">
        <f>-(C10-C14)/365</f>
        <v>0</v>
      </c>
      <c r="L10" s="515"/>
      <c r="M10" s="515"/>
      <c r="N10" s="508" t="str">
        <f>IF(K10&lt;3,"Business Vintage norm not met, need RCM approval","Business Vintage norm met")</f>
        <v>Business Vintage norm not met, need RCM approval</v>
      </c>
      <c r="O10" s="508"/>
      <c r="P10" s="508"/>
      <c r="Q10" s="508"/>
    </row>
    <row r="11" spans="1:17" ht="20.25" x14ac:dyDescent="0.25">
      <c r="A11" s="509" t="s">
        <v>451</v>
      </c>
      <c r="B11" s="509"/>
      <c r="C11" s="509"/>
      <c r="D11" s="509"/>
      <c r="E11" s="509"/>
      <c r="F11" s="509"/>
      <c r="G11" s="509"/>
      <c r="H11" s="509"/>
      <c r="I11" s="509"/>
      <c r="J11" s="509"/>
      <c r="K11" s="509"/>
      <c r="L11" s="509"/>
      <c r="M11" s="509"/>
      <c r="N11" s="509"/>
      <c r="O11" s="509"/>
      <c r="P11" s="509"/>
      <c r="Q11" s="509"/>
    </row>
    <row r="12" spans="1:17" ht="15.75" x14ac:dyDescent="0.25">
      <c r="A12" s="506" t="s">
        <v>452</v>
      </c>
      <c r="B12" s="506"/>
      <c r="C12" s="522">
        <f>'CUSTOMER DETAIL'!C3</f>
        <v>0</v>
      </c>
      <c r="D12" s="507"/>
      <c r="E12" s="507"/>
      <c r="F12" s="507"/>
      <c r="G12" s="507"/>
      <c r="H12" s="507"/>
      <c r="I12" s="506" t="s">
        <v>436</v>
      </c>
      <c r="J12" s="506"/>
      <c r="K12" s="521" t="s">
        <v>453</v>
      </c>
      <c r="L12" s="521"/>
      <c r="M12" s="521"/>
      <c r="N12" s="521"/>
      <c r="O12" s="521"/>
      <c r="P12" s="521"/>
      <c r="Q12" s="521"/>
    </row>
    <row r="13" spans="1:17" ht="15.75" x14ac:dyDescent="0.25">
      <c r="A13" s="506" t="s">
        <v>454</v>
      </c>
      <c r="B13" s="506"/>
      <c r="C13" s="518">
        <f>'CUSTOMER DETAIL'!C7</f>
        <v>0</v>
      </c>
      <c r="D13" s="518"/>
      <c r="E13" s="518"/>
      <c r="F13" s="518"/>
      <c r="G13" s="518"/>
      <c r="H13" s="518"/>
      <c r="I13" s="506" t="s">
        <v>455</v>
      </c>
      <c r="J13" s="506"/>
      <c r="K13" s="515">
        <f>-(C13-C14)/365</f>
        <v>0</v>
      </c>
      <c r="L13" s="515"/>
      <c r="M13" s="515"/>
      <c r="N13" s="508" t="str">
        <f>IF(OR(AND(K13&gt;65,K12="SENP"),AND(K13&gt;70,K12="SEP"),AND(K13&gt;70,K12="Doctor")),"Age is more than Eligible Norm, need ACM approval",IF(OR(AND(K13&gt;=25,K12="SENP"),AND(K13&gt;=27,K12="SEP"),AND(K13&gt;=27,K12="Doctor")),"Customer Age is Eligible","Age is less than Eligible Norm, need ACM approval"))</f>
        <v>Age is less than Eligible Norm, need ACM approval</v>
      </c>
      <c r="O13" s="508"/>
      <c r="P13" s="508"/>
      <c r="Q13" s="508"/>
    </row>
    <row r="14" spans="1:17" ht="15.75" x14ac:dyDescent="0.25">
      <c r="A14" s="506" t="s">
        <v>456</v>
      </c>
      <c r="B14" s="506"/>
      <c r="C14" s="519">
        <f>'CUSTOMER DETAIL'!B2</f>
        <v>0</v>
      </c>
      <c r="D14" s="519"/>
      <c r="E14" s="506" t="s">
        <v>253</v>
      </c>
      <c r="F14" s="506"/>
      <c r="G14" s="520">
        <v>36</v>
      </c>
      <c r="H14" s="520"/>
      <c r="I14" s="506" t="s">
        <v>457</v>
      </c>
      <c r="J14" s="506"/>
      <c r="K14" s="515">
        <f>-(C13-(C14+(G14*30)))/365</f>
        <v>2.9589041095890409</v>
      </c>
      <c r="L14" s="515"/>
      <c r="M14" s="515"/>
      <c r="N14" s="508" t="str">
        <f>IF(OR(AND(K14&gt;65,K12="SENP"),AND(K14&gt;70,K12="SEP"),AND(K14&gt;70,K12="Doctor")),"Age is more than Eligible Norm, need ACM approval",IF(OR(AND(K14&gt;=25,K12="SENP"),AND(K14&gt;=27,K12="SEP"),AND(K14&gt;=27,K12="Doctor")),"Customer Age is Eligible","Age is less than Eligible Norm, need ACM approval"))</f>
        <v>Age is less than Eligible Norm, need ACM approval</v>
      </c>
      <c r="O14" s="508"/>
      <c r="P14" s="508"/>
      <c r="Q14" s="508"/>
    </row>
    <row r="15" spans="1:17" ht="15.75" x14ac:dyDescent="0.25">
      <c r="A15" s="516" t="s">
        <v>458</v>
      </c>
      <c r="B15" s="516"/>
      <c r="C15" s="516"/>
      <c r="D15" s="516"/>
      <c r="E15" s="516"/>
      <c r="F15" s="516"/>
      <c r="G15" s="516"/>
      <c r="H15" s="516"/>
      <c r="I15" s="516"/>
      <c r="J15" s="516"/>
      <c r="K15" s="516"/>
      <c r="L15" s="516"/>
      <c r="M15" s="516"/>
      <c r="N15" s="516"/>
      <c r="O15" s="516"/>
      <c r="P15" s="516"/>
      <c r="Q15" s="516"/>
    </row>
    <row r="16" spans="1:17" ht="15.75" x14ac:dyDescent="0.25">
      <c r="A16" s="517" t="s">
        <v>459</v>
      </c>
      <c r="B16" s="517"/>
      <c r="C16" s="517" t="s">
        <v>460</v>
      </c>
      <c r="D16" s="517"/>
      <c r="E16" s="517" t="s">
        <v>461</v>
      </c>
      <c r="F16" s="517"/>
      <c r="G16" s="517"/>
      <c r="H16" s="517"/>
      <c r="I16" s="517"/>
      <c r="J16" s="517"/>
      <c r="K16" s="517"/>
      <c r="L16" s="517" t="s">
        <v>750</v>
      </c>
      <c r="M16" s="517"/>
      <c r="N16" s="517"/>
      <c r="O16" s="517"/>
      <c r="P16" s="517"/>
      <c r="Q16" s="517"/>
    </row>
    <row r="17" spans="1:17" x14ac:dyDescent="0.25">
      <c r="A17" s="59" t="s">
        <v>462</v>
      </c>
      <c r="B17" s="513" t="s">
        <v>463</v>
      </c>
      <c r="C17" s="510" t="s">
        <v>464</v>
      </c>
      <c r="D17" s="510"/>
      <c r="E17" s="514">
        <f>'CUSTOMER DETAIL'!C18</f>
        <v>0</v>
      </c>
      <c r="F17" s="514"/>
      <c r="G17" s="514"/>
      <c r="H17" s="514"/>
      <c r="I17" s="514"/>
      <c r="J17" s="514"/>
      <c r="K17" s="514"/>
      <c r="L17" s="512" t="str">
        <f>IF(E17&lt;700,"CIBIL Score Norms Not Met","CIBIL Norms Met")</f>
        <v>CIBIL Score Norms Not Met</v>
      </c>
      <c r="M17" s="512"/>
      <c r="N17" s="512"/>
      <c r="O17" s="512"/>
      <c r="P17" s="512"/>
      <c r="Q17" s="512"/>
    </row>
    <row r="18" spans="1:17" x14ac:dyDescent="0.25">
      <c r="A18" s="68">
        <v>44194</v>
      </c>
      <c r="B18" s="513"/>
      <c r="C18" s="510" t="s">
        <v>465</v>
      </c>
      <c r="D18" s="510"/>
      <c r="E18" s="514">
        <f>'CUSTOMER DETAIL'!C19</f>
        <v>0</v>
      </c>
      <c r="F18" s="514"/>
      <c r="G18" s="514"/>
      <c r="H18" s="514"/>
      <c r="I18" s="514"/>
      <c r="J18" s="514"/>
      <c r="K18" s="514"/>
      <c r="L18" s="512"/>
      <c r="M18" s="512"/>
      <c r="N18" s="512"/>
      <c r="O18" s="512"/>
      <c r="P18" s="512"/>
      <c r="Q18" s="512"/>
    </row>
    <row r="19" spans="1:17" ht="24" x14ac:dyDescent="0.25">
      <c r="A19" s="16" t="str">
        <f ca="1">IF((TODAY()-A18)&gt;45,"CIBIL EXPIRED","CIBIL VALID")</f>
        <v>CIBIL EXPIRED</v>
      </c>
      <c r="B19" s="17" t="s">
        <v>466</v>
      </c>
      <c r="C19" s="510" t="s">
        <v>467</v>
      </c>
      <c r="D19" s="510"/>
      <c r="E19" s="511">
        <f>'CUSTOMER DETAIL'!C20</f>
        <v>0</v>
      </c>
      <c r="F19" s="511"/>
      <c r="G19" s="511"/>
      <c r="H19" s="511"/>
      <c r="I19" s="511"/>
      <c r="J19" s="511"/>
      <c r="K19" s="511"/>
      <c r="L19" s="512" t="str">
        <f>IF(E19&lt;5,"No Deviation required",IF(E19&lt;=7,"Need ZCM Deviation for enquiries",IF(E19&lt;=10,"Need NRM Deviation for enquiries","Deviation not allowed")))</f>
        <v>No Deviation required</v>
      </c>
      <c r="M19" s="512"/>
      <c r="N19" s="512"/>
      <c r="O19" s="512"/>
      <c r="P19" s="512"/>
      <c r="Q19" s="512"/>
    </row>
    <row r="20" spans="1:17" ht="20.25" x14ac:dyDescent="0.25">
      <c r="A20" s="509" t="s">
        <v>468</v>
      </c>
      <c r="B20" s="509"/>
      <c r="C20" s="509"/>
      <c r="D20" s="509"/>
      <c r="E20" s="509"/>
      <c r="F20" s="509"/>
      <c r="G20" s="509"/>
      <c r="H20" s="509"/>
      <c r="I20" s="509"/>
      <c r="J20" s="509"/>
      <c r="K20" s="509"/>
      <c r="L20" s="509"/>
      <c r="M20" s="509"/>
      <c r="N20" s="509"/>
      <c r="O20" s="509"/>
      <c r="P20" s="509"/>
      <c r="Q20" s="509"/>
    </row>
    <row r="21" spans="1:17" ht="15.75" x14ac:dyDescent="0.25">
      <c r="A21" s="506" t="s">
        <v>452</v>
      </c>
      <c r="B21" s="506"/>
      <c r="C21" s="522">
        <f>'CUSTOMER DETAIL'!D3</f>
        <v>0</v>
      </c>
      <c r="D21" s="507"/>
      <c r="E21" s="507"/>
      <c r="F21" s="507"/>
      <c r="G21" s="507"/>
      <c r="H21" s="507"/>
      <c r="I21" s="506" t="s">
        <v>436</v>
      </c>
      <c r="J21" s="506"/>
      <c r="K21" s="521" t="s">
        <v>453</v>
      </c>
      <c r="L21" s="521"/>
      <c r="M21" s="521"/>
      <c r="N21" s="521"/>
      <c r="O21" s="521"/>
      <c r="P21" s="521"/>
      <c r="Q21" s="521"/>
    </row>
    <row r="22" spans="1:17" ht="15.75" x14ac:dyDescent="0.25">
      <c r="A22" s="506" t="s">
        <v>454</v>
      </c>
      <c r="B22" s="506"/>
      <c r="C22" s="518">
        <f>'CUSTOMER DETAIL'!D7</f>
        <v>0</v>
      </c>
      <c r="D22" s="518"/>
      <c r="E22" s="518"/>
      <c r="F22" s="518"/>
      <c r="G22" s="518"/>
      <c r="H22" s="518"/>
      <c r="I22" s="506" t="s">
        <v>455</v>
      </c>
      <c r="J22" s="506"/>
      <c r="K22" s="515">
        <f>-(C22-C23)/365</f>
        <v>0</v>
      </c>
      <c r="L22" s="515"/>
      <c r="M22" s="515"/>
      <c r="N22" s="508" t="str">
        <f>IF(OR(AND(K22&gt;65,K21="SENP"),AND(K22&gt;70,K21="SEP"),AND(K22&gt;70,K21="Doctor")),"Age is more than Eligible Norm, need ACM approval",IF(OR(AND(K22&gt;=25,K21="SENP"),AND(K22&gt;=27,K21="SEP"),AND(K22&gt;=27,K21="Doctor")),"Customer Age is Eligible","Age is less than Eligible Norm, need ACM approval"))</f>
        <v>Age is less than Eligible Norm, need ACM approval</v>
      </c>
      <c r="O22" s="508"/>
      <c r="P22" s="508"/>
      <c r="Q22" s="508"/>
    </row>
    <row r="23" spans="1:17" ht="15.75" x14ac:dyDescent="0.25">
      <c r="A23" s="506" t="s">
        <v>456</v>
      </c>
      <c r="B23" s="506"/>
      <c r="C23" s="519">
        <f>C14</f>
        <v>0</v>
      </c>
      <c r="D23" s="519"/>
      <c r="E23" s="506" t="s">
        <v>253</v>
      </c>
      <c r="F23" s="506"/>
      <c r="G23" s="520">
        <v>36</v>
      </c>
      <c r="H23" s="520"/>
      <c r="I23" s="506" t="s">
        <v>457</v>
      </c>
      <c r="J23" s="506"/>
      <c r="K23" s="515">
        <f>-(C22-(C23+(G23*30)))/365</f>
        <v>2.9589041095890409</v>
      </c>
      <c r="L23" s="515"/>
      <c r="M23" s="515"/>
      <c r="N23" s="508" t="str">
        <f>IF(OR(AND(K23&gt;65,K21="SENP"),AND(K23&gt;70,K21="SEP"),AND(K23&gt;70,K21="Doctor")),"Age is more than Eligible Norm, need ACM approval",IF(OR(AND(K23&gt;=25,K21="SENP"),AND(K23&gt;=27,K21="SEP"),AND(K23&gt;=27,K21="Doctor")),"Customer Age is Eligible","Age is less than Eligible Norm, need ACM approval"))</f>
        <v>Age is less than Eligible Norm, need ACM approval</v>
      </c>
      <c r="O23" s="508"/>
      <c r="P23" s="508"/>
      <c r="Q23" s="508"/>
    </row>
    <row r="24" spans="1:17" ht="15.75" x14ac:dyDescent="0.25">
      <c r="A24" s="516" t="s">
        <v>458</v>
      </c>
      <c r="B24" s="516"/>
      <c r="C24" s="516"/>
      <c r="D24" s="516"/>
      <c r="E24" s="516"/>
      <c r="F24" s="516"/>
      <c r="G24" s="516"/>
      <c r="H24" s="516"/>
      <c r="I24" s="516"/>
      <c r="J24" s="516"/>
      <c r="K24" s="516"/>
      <c r="L24" s="516"/>
      <c r="M24" s="516"/>
      <c r="N24" s="516"/>
      <c r="O24" s="516"/>
      <c r="P24" s="516"/>
      <c r="Q24" s="516"/>
    </row>
    <row r="25" spans="1:17" ht="15.75" x14ac:dyDescent="0.25">
      <c r="A25" s="517" t="s">
        <v>459</v>
      </c>
      <c r="B25" s="517"/>
      <c r="C25" s="517" t="s">
        <v>460</v>
      </c>
      <c r="D25" s="517"/>
      <c r="E25" s="517" t="s">
        <v>461</v>
      </c>
      <c r="F25" s="517"/>
      <c r="G25" s="517"/>
      <c r="H25" s="517"/>
      <c r="I25" s="517"/>
      <c r="J25" s="517"/>
      <c r="K25" s="517"/>
      <c r="L25" s="517" t="s">
        <v>750</v>
      </c>
      <c r="M25" s="517"/>
      <c r="N25" s="517"/>
      <c r="O25" s="517"/>
      <c r="P25" s="517"/>
      <c r="Q25" s="517"/>
    </row>
    <row r="26" spans="1:17" x14ac:dyDescent="0.25">
      <c r="A26" s="59" t="s">
        <v>462</v>
      </c>
      <c r="B26" s="513" t="s">
        <v>463</v>
      </c>
      <c r="C26" s="510" t="s">
        <v>464</v>
      </c>
      <c r="D26" s="510"/>
      <c r="E26" s="514">
        <f>'CUSTOMER DETAIL'!D18</f>
        <v>0</v>
      </c>
      <c r="F26" s="514"/>
      <c r="G26" s="514"/>
      <c r="H26" s="514"/>
      <c r="I26" s="514"/>
      <c r="J26" s="514"/>
      <c r="K26" s="514"/>
      <c r="L26" s="512" t="str">
        <f>IF(E26&lt;700,"CIBIL Score Norms Not Met","CIBIL Norms Met")</f>
        <v>CIBIL Score Norms Not Met</v>
      </c>
      <c r="M26" s="512"/>
      <c r="N26" s="512"/>
      <c r="O26" s="512"/>
      <c r="P26" s="512"/>
      <c r="Q26" s="512"/>
    </row>
    <row r="27" spans="1:17" x14ac:dyDescent="0.25">
      <c r="A27" s="68">
        <f>A18</f>
        <v>44194</v>
      </c>
      <c r="B27" s="513"/>
      <c r="C27" s="510" t="s">
        <v>465</v>
      </c>
      <c r="D27" s="510"/>
      <c r="E27" s="511">
        <f>'CUSTOMER DETAIL'!D19</f>
        <v>0</v>
      </c>
      <c r="F27" s="511"/>
      <c r="G27" s="511"/>
      <c r="H27" s="511"/>
      <c r="I27" s="511"/>
      <c r="J27" s="511"/>
      <c r="K27" s="511"/>
      <c r="L27" s="512"/>
      <c r="M27" s="512"/>
      <c r="N27" s="512"/>
      <c r="O27" s="512"/>
      <c r="P27" s="512"/>
      <c r="Q27" s="512"/>
    </row>
    <row r="28" spans="1:17" ht="24" x14ac:dyDescent="0.25">
      <c r="A28" s="16" t="str">
        <f ca="1">IF((TODAY()-A27)&gt;45,"CIBIL EXPIRED","CIBIL VALID")</f>
        <v>CIBIL EXPIRED</v>
      </c>
      <c r="B28" s="17" t="s">
        <v>466</v>
      </c>
      <c r="C28" s="510" t="s">
        <v>467</v>
      </c>
      <c r="D28" s="510"/>
      <c r="E28" s="511">
        <f>'CUSTOMER DETAIL'!D20</f>
        <v>0</v>
      </c>
      <c r="F28" s="511"/>
      <c r="G28" s="511"/>
      <c r="H28" s="511"/>
      <c r="I28" s="511"/>
      <c r="J28" s="511"/>
      <c r="K28" s="511"/>
      <c r="L28" s="512" t="str">
        <f>IF(E28&lt;5,"No Deviation required",IF(E28&lt;=7,"Need ZCM Deviation for enquiries",IF(E28&lt;=10,"Need NRM Deviation for enquiries","Deviation not allowed")))</f>
        <v>No Deviation required</v>
      </c>
      <c r="M28" s="512"/>
      <c r="N28" s="512"/>
      <c r="O28" s="512"/>
      <c r="P28" s="512"/>
      <c r="Q28" s="512"/>
    </row>
    <row r="29" spans="1:17" ht="20.25" x14ac:dyDescent="0.25">
      <c r="A29" s="509" t="s">
        <v>471</v>
      </c>
      <c r="B29" s="509"/>
      <c r="C29" s="509"/>
      <c r="D29" s="509"/>
      <c r="E29" s="509"/>
      <c r="F29" s="509"/>
      <c r="G29" s="509"/>
      <c r="H29" s="509"/>
      <c r="I29" s="509"/>
      <c r="J29" s="509"/>
      <c r="K29" s="509"/>
      <c r="L29" s="509"/>
      <c r="M29" s="509"/>
      <c r="N29" s="509"/>
      <c r="O29" s="509"/>
      <c r="P29" s="509"/>
      <c r="Q29" s="509"/>
    </row>
    <row r="30" spans="1:17" ht="15.75" x14ac:dyDescent="0.25">
      <c r="A30" s="506" t="s">
        <v>452</v>
      </c>
      <c r="B30" s="506"/>
      <c r="C30" s="522">
        <f>'CUSTOMER DETAIL'!E3</f>
        <v>0</v>
      </c>
      <c r="D30" s="507"/>
      <c r="E30" s="507"/>
      <c r="F30" s="507"/>
      <c r="G30" s="507"/>
      <c r="H30" s="507"/>
      <c r="I30" s="506" t="s">
        <v>436</v>
      </c>
      <c r="J30" s="506"/>
      <c r="K30" s="521" t="s">
        <v>453</v>
      </c>
      <c r="L30" s="521"/>
      <c r="M30" s="521"/>
      <c r="N30" s="521"/>
      <c r="O30" s="521"/>
      <c r="P30" s="521"/>
      <c r="Q30" s="521"/>
    </row>
    <row r="31" spans="1:17" ht="15.75" x14ac:dyDescent="0.25">
      <c r="A31" s="506" t="s">
        <v>454</v>
      </c>
      <c r="B31" s="506"/>
      <c r="C31" s="518">
        <f>'CUSTOMER DETAIL'!E7</f>
        <v>0</v>
      </c>
      <c r="D31" s="518"/>
      <c r="E31" s="518"/>
      <c r="F31" s="518"/>
      <c r="G31" s="518"/>
      <c r="H31" s="518"/>
      <c r="I31" s="506" t="s">
        <v>455</v>
      </c>
      <c r="J31" s="506"/>
      <c r="K31" s="515">
        <f>-(C31-C32)/365</f>
        <v>0</v>
      </c>
      <c r="L31" s="515"/>
      <c r="M31" s="515"/>
      <c r="N31" s="508" t="str">
        <f>IF(OR(AND(K31&gt;65,K30="SENP"),AND(K31&gt;70,K30="SEP"),AND(K31&gt;70,K30="Doctor")),"Age is more than Eligible Norm, need ACM approval",IF(OR(AND(K31&gt;=25,K30="SENP"),AND(K31&gt;=27,K30="SEP"),AND(K31&gt;=27,K30="Doctor")),"Customer Age is Eligible","Age is less than Eligible Norm, need ACM approval"))</f>
        <v>Age is less than Eligible Norm, need ACM approval</v>
      </c>
      <c r="O31" s="508"/>
      <c r="P31" s="508"/>
      <c r="Q31" s="508"/>
    </row>
    <row r="32" spans="1:17" ht="15.75" x14ac:dyDescent="0.25">
      <c r="A32" s="506" t="s">
        <v>456</v>
      </c>
      <c r="B32" s="506"/>
      <c r="C32" s="519">
        <f>C23</f>
        <v>0</v>
      </c>
      <c r="D32" s="519"/>
      <c r="E32" s="506" t="s">
        <v>253</v>
      </c>
      <c r="F32" s="506"/>
      <c r="G32" s="520">
        <v>36</v>
      </c>
      <c r="H32" s="520"/>
      <c r="I32" s="506" t="s">
        <v>457</v>
      </c>
      <c r="J32" s="506"/>
      <c r="K32" s="515">
        <f>-(C31-(C32+(G32*30)))/365</f>
        <v>2.9589041095890409</v>
      </c>
      <c r="L32" s="515"/>
      <c r="M32" s="515"/>
      <c r="N32" s="508" t="str">
        <f>IF(OR(AND(K32&gt;65,K30="SENP"),AND(K32&gt;70,K30="SEP"),AND(K32&gt;70,K30="Doctor")),"Age is more than Eligible Norm, need ACM approval",IF(OR(AND(K32&gt;=25,K30="SENP"),AND(K32&gt;=27,K30="SEP"),AND(K32&gt;=27,K30="Doctor")),"Customer Age is Eligible","Age is less than Eligible Norm, need ACM approval"))</f>
        <v>Age is less than Eligible Norm, need ACM approval</v>
      </c>
      <c r="O32" s="508"/>
      <c r="P32" s="508"/>
      <c r="Q32" s="508"/>
    </row>
    <row r="33" spans="1:17" ht="15.75" x14ac:dyDescent="0.25">
      <c r="A33" s="516" t="s">
        <v>458</v>
      </c>
      <c r="B33" s="516"/>
      <c r="C33" s="516"/>
      <c r="D33" s="516"/>
      <c r="E33" s="516"/>
      <c r="F33" s="516"/>
      <c r="G33" s="516"/>
      <c r="H33" s="516"/>
      <c r="I33" s="516"/>
      <c r="J33" s="516"/>
      <c r="K33" s="516"/>
      <c r="L33" s="516"/>
      <c r="M33" s="516"/>
      <c r="N33" s="516"/>
      <c r="O33" s="516"/>
      <c r="P33" s="516"/>
      <c r="Q33" s="516"/>
    </row>
    <row r="34" spans="1:17" ht="15.75" x14ac:dyDescent="0.25">
      <c r="A34" s="517" t="s">
        <v>459</v>
      </c>
      <c r="B34" s="517"/>
      <c r="C34" s="517" t="s">
        <v>460</v>
      </c>
      <c r="D34" s="517"/>
      <c r="E34" s="517" t="s">
        <v>461</v>
      </c>
      <c r="F34" s="517"/>
      <c r="G34" s="517"/>
      <c r="H34" s="517"/>
      <c r="I34" s="517"/>
      <c r="J34" s="517"/>
      <c r="K34" s="517"/>
      <c r="L34" s="517" t="s">
        <v>750</v>
      </c>
      <c r="M34" s="517"/>
      <c r="N34" s="517"/>
      <c r="O34" s="517"/>
      <c r="P34" s="517"/>
      <c r="Q34" s="517"/>
    </row>
    <row r="35" spans="1:17" x14ac:dyDescent="0.25">
      <c r="A35" s="59" t="s">
        <v>462</v>
      </c>
      <c r="B35" s="513" t="s">
        <v>463</v>
      </c>
      <c r="C35" s="510" t="s">
        <v>464</v>
      </c>
      <c r="D35" s="510"/>
      <c r="E35" s="514">
        <f>'CUSTOMER DETAIL'!E18</f>
        <v>0</v>
      </c>
      <c r="F35" s="514"/>
      <c r="G35" s="514"/>
      <c r="H35" s="514"/>
      <c r="I35" s="514"/>
      <c r="J35" s="514"/>
      <c r="K35" s="514"/>
      <c r="L35" s="512" t="str">
        <f>IF(E35&lt;700,"CIBIL Score Norms Not Met","CIBIL Norms Met")</f>
        <v>CIBIL Score Norms Not Met</v>
      </c>
      <c r="M35" s="512"/>
      <c r="N35" s="512"/>
      <c r="O35" s="512"/>
      <c r="P35" s="512"/>
      <c r="Q35" s="512"/>
    </row>
    <row r="36" spans="1:17" x14ac:dyDescent="0.25">
      <c r="A36" s="68">
        <f>A27</f>
        <v>44194</v>
      </c>
      <c r="B36" s="513"/>
      <c r="C36" s="510" t="s">
        <v>465</v>
      </c>
      <c r="D36" s="510"/>
      <c r="E36" s="511">
        <f>'CUSTOMER DETAIL'!E19</f>
        <v>0</v>
      </c>
      <c r="F36" s="511"/>
      <c r="G36" s="511"/>
      <c r="H36" s="511"/>
      <c r="I36" s="511"/>
      <c r="J36" s="511"/>
      <c r="K36" s="511"/>
      <c r="L36" s="512"/>
      <c r="M36" s="512"/>
      <c r="N36" s="512"/>
      <c r="O36" s="512"/>
      <c r="P36" s="512"/>
      <c r="Q36" s="512"/>
    </row>
    <row r="37" spans="1:17" ht="24" x14ac:dyDescent="0.25">
      <c r="A37" s="16" t="str">
        <f ca="1">IF((TODAY()-A36)&gt;45,"CIBIL EXPIRED","CIBIL VALID")</f>
        <v>CIBIL EXPIRED</v>
      </c>
      <c r="B37" s="17" t="s">
        <v>466</v>
      </c>
      <c r="C37" s="510" t="s">
        <v>467</v>
      </c>
      <c r="D37" s="510"/>
      <c r="E37" s="511">
        <f>'CUSTOMER DETAIL'!E20</f>
        <v>0</v>
      </c>
      <c r="F37" s="511"/>
      <c r="G37" s="511"/>
      <c r="H37" s="511"/>
      <c r="I37" s="511"/>
      <c r="J37" s="511"/>
      <c r="K37" s="511"/>
      <c r="L37" s="512" t="str">
        <f>IF(E37&lt;5,"No Deviation required",IF(E37&lt;=7,"Need ZCM Deviation for enquiries",IF(E37&lt;=10,"Need NRM Deviation for enquiries","Deviation not allowed")))</f>
        <v>No Deviation required</v>
      </c>
      <c r="M37" s="512"/>
      <c r="N37" s="512"/>
      <c r="O37" s="512"/>
      <c r="P37" s="512"/>
      <c r="Q37" s="512"/>
    </row>
    <row r="38" spans="1:17" ht="20.25" x14ac:dyDescent="0.25">
      <c r="A38" s="509" t="s">
        <v>469</v>
      </c>
      <c r="B38" s="509"/>
      <c r="C38" s="509"/>
      <c r="D38" s="509"/>
      <c r="E38" s="509"/>
      <c r="F38" s="509"/>
      <c r="G38" s="509"/>
      <c r="H38" s="509"/>
      <c r="I38" s="509"/>
      <c r="J38" s="509"/>
      <c r="K38" s="509"/>
      <c r="L38" s="509"/>
      <c r="M38" s="509"/>
      <c r="N38" s="509"/>
      <c r="O38" s="509"/>
      <c r="P38" s="509"/>
      <c r="Q38" s="509"/>
    </row>
    <row r="39" spans="1:17" ht="15.75" x14ac:dyDescent="0.25">
      <c r="A39" s="506" t="s">
        <v>452</v>
      </c>
      <c r="B39" s="506"/>
      <c r="C39" s="507"/>
      <c r="D39" s="507"/>
      <c r="E39" s="507"/>
      <c r="F39" s="507"/>
      <c r="G39" s="507"/>
      <c r="H39" s="507"/>
      <c r="I39" s="506" t="s">
        <v>436</v>
      </c>
      <c r="J39" s="506"/>
      <c r="K39" s="521" t="s">
        <v>453</v>
      </c>
      <c r="L39" s="521"/>
      <c r="M39" s="521"/>
      <c r="N39" s="521"/>
      <c r="O39" s="521"/>
      <c r="P39" s="521"/>
      <c r="Q39" s="521"/>
    </row>
    <row r="40" spans="1:17" ht="15.75" x14ac:dyDescent="0.25">
      <c r="A40" s="506" t="s">
        <v>454</v>
      </c>
      <c r="B40" s="506"/>
      <c r="C40" s="518"/>
      <c r="D40" s="518"/>
      <c r="E40" s="518"/>
      <c r="F40" s="518"/>
      <c r="G40" s="518"/>
      <c r="H40" s="518"/>
      <c r="I40" s="506" t="s">
        <v>455</v>
      </c>
      <c r="J40" s="506"/>
      <c r="K40" s="515">
        <f>-(C40-C41)/365</f>
        <v>0</v>
      </c>
      <c r="L40" s="515"/>
      <c r="M40" s="515"/>
      <c r="N40" s="508" t="str">
        <f>IF(OR(AND(K40&gt;65,K39="SENP"),AND(K40&gt;70,K39="SEP"),AND(K40&gt;70,K39="Doctor")),"Age is more than Eligible Norm, need ACM approval",IF(OR(AND(K40&gt;=25,K39="SENP"),AND(K40&gt;=27,K39="SEP"),AND(K40&gt;=27,K39="Doctor")),"Customer Age is Eligible","Age is less than Eligible Norm, need ACM approval"))</f>
        <v>Age is less than Eligible Norm, need ACM approval</v>
      </c>
      <c r="O40" s="508"/>
      <c r="P40" s="508"/>
      <c r="Q40" s="508"/>
    </row>
    <row r="41" spans="1:17" ht="15.75" x14ac:dyDescent="0.25">
      <c r="A41" s="506" t="s">
        <v>456</v>
      </c>
      <c r="B41" s="506"/>
      <c r="C41" s="519"/>
      <c r="D41" s="519"/>
      <c r="E41" s="506" t="s">
        <v>253</v>
      </c>
      <c r="F41" s="506"/>
      <c r="G41" s="520"/>
      <c r="H41" s="520"/>
      <c r="I41" s="506" t="s">
        <v>457</v>
      </c>
      <c r="J41" s="506"/>
      <c r="K41" s="515">
        <f>-(C40-(C41+(G41*30)))/365</f>
        <v>0</v>
      </c>
      <c r="L41" s="515"/>
      <c r="M41" s="515"/>
      <c r="N41" s="508" t="str">
        <f>IF(OR(AND(K41&gt;65,K39="SENP"),AND(K41&gt;70,K39="SEP"),AND(K41&gt;70,K39="Doctor")),"Age is more than Eligible Norm, need ACM approval",IF(OR(AND(K41&gt;=25,K39="SENP"),AND(K41&gt;=27,K39="SEP"),AND(K41&gt;=27,K39="Doctor")),"Customer Age is Eligible","Age is less than Eligible Norm, need ACM approval"))</f>
        <v>Age is less than Eligible Norm, need ACM approval</v>
      </c>
      <c r="O41" s="508"/>
      <c r="P41" s="508"/>
      <c r="Q41" s="508"/>
    </row>
    <row r="42" spans="1:17" ht="15.75" x14ac:dyDescent="0.25">
      <c r="A42" s="516" t="s">
        <v>458</v>
      </c>
      <c r="B42" s="516"/>
      <c r="C42" s="516"/>
      <c r="D42" s="516"/>
      <c r="E42" s="516"/>
      <c r="F42" s="516"/>
      <c r="G42" s="516"/>
      <c r="H42" s="516"/>
      <c r="I42" s="516"/>
      <c r="J42" s="516"/>
      <c r="K42" s="516"/>
      <c r="L42" s="516"/>
      <c r="M42" s="516"/>
      <c r="N42" s="516"/>
      <c r="O42" s="516"/>
      <c r="P42" s="516"/>
      <c r="Q42" s="516"/>
    </row>
    <row r="43" spans="1:17" ht="15.75" x14ac:dyDescent="0.25">
      <c r="A43" s="517" t="s">
        <v>459</v>
      </c>
      <c r="B43" s="517"/>
      <c r="C43" s="517" t="s">
        <v>460</v>
      </c>
      <c r="D43" s="517"/>
      <c r="E43" s="517" t="s">
        <v>461</v>
      </c>
      <c r="F43" s="517"/>
      <c r="G43" s="517"/>
      <c r="H43" s="517"/>
      <c r="I43" s="517"/>
      <c r="J43" s="517"/>
      <c r="K43" s="517"/>
      <c r="L43" s="517" t="s">
        <v>750</v>
      </c>
      <c r="M43" s="517"/>
      <c r="N43" s="517"/>
      <c r="O43" s="517"/>
      <c r="P43" s="517"/>
      <c r="Q43" s="517"/>
    </row>
    <row r="44" spans="1:17" x14ac:dyDescent="0.25">
      <c r="A44" s="59" t="s">
        <v>462</v>
      </c>
      <c r="B44" s="513" t="s">
        <v>463</v>
      </c>
      <c r="C44" s="510" t="s">
        <v>464</v>
      </c>
      <c r="D44" s="510"/>
      <c r="E44" s="514">
        <v>0</v>
      </c>
      <c r="F44" s="514"/>
      <c r="G44" s="514"/>
      <c r="H44" s="514"/>
      <c r="I44" s="514"/>
      <c r="J44" s="514"/>
      <c r="K44" s="514"/>
      <c r="L44" s="512" t="str">
        <f>IF(E44&lt;700,"CIBIL Score Norms Not Met","CIBIL Norms Met")</f>
        <v>CIBIL Score Norms Not Met</v>
      </c>
      <c r="M44" s="512"/>
      <c r="N44" s="512"/>
      <c r="O44" s="512"/>
      <c r="P44" s="512"/>
      <c r="Q44" s="512"/>
    </row>
    <row r="45" spans="1:17" x14ac:dyDescent="0.25">
      <c r="A45" s="68">
        <f>A36</f>
        <v>44194</v>
      </c>
      <c r="B45" s="513"/>
      <c r="C45" s="510" t="s">
        <v>465</v>
      </c>
      <c r="D45" s="510"/>
      <c r="E45" s="511"/>
      <c r="F45" s="511"/>
      <c r="G45" s="511"/>
      <c r="H45" s="511"/>
      <c r="I45" s="511"/>
      <c r="J45" s="511"/>
      <c r="K45" s="511"/>
      <c r="L45" s="512"/>
      <c r="M45" s="512"/>
      <c r="N45" s="512"/>
      <c r="O45" s="512"/>
      <c r="P45" s="512"/>
      <c r="Q45" s="512"/>
    </row>
    <row r="46" spans="1:17" ht="24" x14ac:dyDescent="0.25">
      <c r="A46" s="16" t="str">
        <f ca="1">IF((TODAY()-A45)&gt;45,"CIBIL EXPIRED","CIBIL VALID")</f>
        <v>CIBIL EXPIRED</v>
      </c>
      <c r="B46" s="17" t="s">
        <v>466</v>
      </c>
      <c r="C46" s="510" t="s">
        <v>467</v>
      </c>
      <c r="D46" s="510"/>
      <c r="E46" s="511">
        <v>0</v>
      </c>
      <c r="F46" s="511"/>
      <c r="G46" s="511"/>
      <c r="H46" s="511"/>
      <c r="I46" s="511"/>
      <c r="J46" s="511"/>
      <c r="K46" s="511"/>
      <c r="L46" s="512" t="str">
        <f>IF(E46&lt;5,"No Deviation required",IF(E46&lt;=7,"Need ZCM Deviation for enquiries",IF(E46&lt;=10,"Need NRM Deviation for enquiries","Deviation not allowed")))</f>
        <v>No Deviation required</v>
      </c>
      <c r="M46" s="512"/>
      <c r="N46" s="512"/>
      <c r="O46" s="512"/>
      <c r="P46" s="512"/>
      <c r="Q46" s="512"/>
    </row>
    <row r="47" spans="1:17" ht="20.25" x14ac:dyDescent="0.25">
      <c r="A47" s="509" t="s">
        <v>470</v>
      </c>
      <c r="B47" s="509"/>
      <c r="C47" s="509"/>
      <c r="D47" s="509"/>
      <c r="E47" s="509"/>
      <c r="F47" s="509"/>
      <c r="G47" s="509"/>
      <c r="H47" s="509"/>
      <c r="I47" s="509"/>
      <c r="J47" s="509"/>
      <c r="K47" s="509"/>
      <c r="L47" s="509"/>
      <c r="M47" s="509"/>
      <c r="N47" s="509"/>
      <c r="O47" s="509"/>
      <c r="P47" s="509"/>
      <c r="Q47" s="509"/>
    </row>
    <row r="48" spans="1:17" ht="15.75" x14ac:dyDescent="0.25">
      <c r="A48" s="506" t="s">
        <v>452</v>
      </c>
      <c r="B48" s="506"/>
      <c r="C48" s="507"/>
      <c r="D48" s="507"/>
      <c r="E48" s="507"/>
      <c r="F48" s="507"/>
      <c r="G48" s="507"/>
      <c r="H48" s="507"/>
      <c r="I48" s="506" t="s">
        <v>436</v>
      </c>
      <c r="J48" s="506"/>
      <c r="K48" s="521" t="s">
        <v>453</v>
      </c>
      <c r="L48" s="521"/>
      <c r="M48" s="521"/>
      <c r="N48" s="521"/>
      <c r="O48" s="521"/>
      <c r="P48" s="521"/>
      <c r="Q48" s="521"/>
    </row>
    <row r="49" spans="1:17" ht="15.75" x14ac:dyDescent="0.25">
      <c r="A49" s="506" t="s">
        <v>454</v>
      </c>
      <c r="B49" s="506"/>
      <c r="C49" s="518"/>
      <c r="D49" s="518"/>
      <c r="E49" s="518"/>
      <c r="F49" s="518"/>
      <c r="G49" s="518"/>
      <c r="H49" s="518"/>
      <c r="I49" s="506" t="s">
        <v>455</v>
      </c>
      <c r="J49" s="506"/>
      <c r="K49" s="515">
        <f>-(C49-C50)/365</f>
        <v>0</v>
      </c>
      <c r="L49" s="515"/>
      <c r="M49" s="515"/>
      <c r="N49" s="508" t="str">
        <f>IF(OR(AND(K49&gt;65,K48="SENP"),AND(K49&gt;70,K48="SEP"),AND(K49&gt;70,K48="Doctor")),"Age is more than Eligible Norm, need ACM approval",IF(OR(AND(K49&gt;=25,K48="SENP"),AND(K49&gt;=27,K48="SEP"),AND(K49&gt;=27,K48="Doctor")),"Customer Age is Eligible","Age is less than Eligible Norm, need ACM approval"))</f>
        <v>Age is less than Eligible Norm, need ACM approval</v>
      </c>
      <c r="O49" s="508"/>
      <c r="P49" s="508"/>
      <c r="Q49" s="508"/>
    </row>
    <row r="50" spans="1:17" ht="15.75" x14ac:dyDescent="0.25">
      <c r="A50" s="506" t="s">
        <v>456</v>
      </c>
      <c r="B50" s="506"/>
      <c r="C50" s="519"/>
      <c r="D50" s="519"/>
      <c r="E50" s="506" t="s">
        <v>253</v>
      </c>
      <c r="F50" s="506"/>
      <c r="G50" s="520"/>
      <c r="H50" s="520"/>
      <c r="I50" s="506" t="s">
        <v>457</v>
      </c>
      <c r="J50" s="506"/>
      <c r="K50" s="515">
        <f>-(C49-(C50+(G50*30)))/365</f>
        <v>0</v>
      </c>
      <c r="L50" s="515"/>
      <c r="M50" s="515"/>
      <c r="N50" s="508" t="str">
        <f>IF(OR(AND(K50&gt;65,K48="SENP"),AND(K50&gt;70,K48="SEP"),AND(K50&gt;70,K48="Doctor")),"Age is more than Eligible Norm, need ACM approval",IF(OR(AND(K50&gt;=25,K48="SENP"),AND(K50&gt;=27,K48="SEP"),AND(K50&gt;=27,K48="Doctor")),"Customer Age is Eligible","Age is less than Eligible Norm, need ACM approval"))</f>
        <v>Age is less than Eligible Norm, need ACM approval</v>
      </c>
      <c r="O50" s="508"/>
      <c r="P50" s="508"/>
      <c r="Q50" s="508"/>
    </row>
    <row r="51" spans="1:17" ht="15.75" x14ac:dyDescent="0.25">
      <c r="A51" s="516" t="s">
        <v>458</v>
      </c>
      <c r="B51" s="516"/>
      <c r="C51" s="516"/>
      <c r="D51" s="516"/>
      <c r="E51" s="516"/>
      <c r="F51" s="516"/>
      <c r="G51" s="516"/>
      <c r="H51" s="516"/>
      <c r="I51" s="516"/>
      <c r="J51" s="516"/>
      <c r="K51" s="516"/>
      <c r="L51" s="516"/>
      <c r="M51" s="516"/>
      <c r="N51" s="516"/>
      <c r="O51" s="516"/>
      <c r="P51" s="516"/>
      <c r="Q51" s="516"/>
    </row>
    <row r="52" spans="1:17" ht="15.75" x14ac:dyDescent="0.25">
      <c r="A52" s="517" t="s">
        <v>459</v>
      </c>
      <c r="B52" s="517"/>
      <c r="C52" s="517" t="s">
        <v>460</v>
      </c>
      <c r="D52" s="517"/>
      <c r="E52" s="517" t="s">
        <v>461</v>
      </c>
      <c r="F52" s="517"/>
      <c r="G52" s="517"/>
      <c r="H52" s="517"/>
      <c r="I52" s="517"/>
      <c r="J52" s="517"/>
      <c r="K52" s="517"/>
      <c r="L52" s="517" t="s">
        <v>750</v>
      </c>
      <c r="M52" s="517"/>
      <c r="N52" s="517"/>
      <c r="O52" s="517"/>
      <c r="P52" s="517"/>
      <c r="Q52" s="517"/>
    </row>
    <row r="53" spans="1:17" x14ac:dyDescent="0.25">
      <c r="A53" s="59" t="s">
        <v>462</v>
      </c>
      <c r="B53" s="513" t="s">
        <v>463</v>
      </c>
      <c r="C53" s="510" t="s">
        <v>464</v>
      </c>
      <c r="D53" s="510"/>
      <c r="E53" s="514">
        <v>0</v>
      </c>
      <c r="F53" s="514"/>
      <c r="G53" s="514"/>
      <c r="H53" s="514"/>
      <c r="I53" s="514"/>
      <c r="J53" s="514"/>
      <c r="K53" s="514"/>
      <c r="L53" s="512" t="str">
        <f>IF(E53&lt;700,"CIBIL Score Norms Not Met",IF(AND(E53&gt;=700,E53&lt;750,'DSCR Method'!B68&gt;=1.1),"CIBIL Norms Met",IF(E53&gt;=750,"CIBIL Norms Met","CIBIL Norms Not Met")))</f>
        <v>CIBIL Score Norms Not Met</v>
      </c>
      <c r="M53" s="512"/>
      <c r="N53" s="512"/>
      <c r="O53" s="512"/>
      <c r="P53" s="512"/>
      <c r="Q53" s="512"/>
    </row>
    <row r="54" spans="1:17" x14ac:dyDescent="0.25">
      <c r="A54" s="68">
        <f>A45</f>
        <v>44194</v>
      </c>
      <c r="B54" s="513"/>
      <c r="C54" s="510" t="s">
        <v>465</v>
      </c>
      <c r="D54" s="510"/>
      <c r="E54" s="511"/>
      <c r="F54" s="511"/>
      <c r="G54" s="511"/>
      <c r="H54" s="511"/>
      <c r="I54" s="511"/>
      <c r="J54" s="511"/>
      <c r="K54" s="511"/>
      <c r="L54" s="512"/>
      <c r="M54" s="512"/>
      <c r="N54" s="512"/>
      <c r="O54" s="512"/>
      <c r="P54" s="512"/>
      <c r="Q54" s="512"/>
    </row>
    <row r="55" spans="1:17" ht="24" x14ac:dyDescent="0.25">
      <c r="A55" s="16" t="str">
        <f ca="1">IF((TODAY()-A54)&gt;45,"CIBIL EXPIRED","CIBIL VALID")</f>
        <v>CIBIL EXPIRED</v>
      </c>
      <c r="B55" s="17" t="s">
        <v>466</v>
      </c>
      <c r="C55" s="510" t="s">
        <v>467</v>
      </c>
      <c r="D55" s="510"/>
      <c r="E55" s="511">
        <v>0</v>
      </c>
      <c r="F55" s="511"/>
      <c r="G55" s="511"/>
      <c r="H55" s="511"/>
      <c r="I55" s="511"/>
      <c r="J55" s="511"/>
      <c r="K55" s="511"/>
      <c r="L55" s="512" t="str">
        <f>IF(E55&lt;5,"No Deviation required",IF(E55&lt;=7,"Need ZCM Deviation for enquiries",IF(E55&lt;=10,"Need NRM Deviation for enquiries","Deviation not allowed")))</f>
        <v>No Deviation required</v>
      </c>
      <c r="M55" s="512"/>
      <c r="N55" s="512"/>
      <c r="O55" s="512"/>
      <c r="P55" s="512"/>
      <c r="Q55" s="512"/>
    </row>
    <row r="56" spans="1:17" ht="20.25" x14ac:dyDescent="0.25">
      <c r="A56" s="509" t="s">
        <v>771</v>
      </c>
      <c r="B56" s="509"/>
      <c r="C56" s="509"/>
      <c r="D56" s="509"/>
      <c r="E56" s="509"/>
      <c r="F56" s="509"/>
      <c r="G56" s="509"/>
      <c r="H56" s="509"/>
      <c r="I56" s="509"/>
      <c r="J56" s="509"/>
      <c r="K56" s="509"/>
      <c r="L56" s="509"/>
      <c r="M56" s="509"/>
      <c r="N56" s="509"/>
      <c r="O56" s="509"/>
      <c r="P56" s="509"/>
      <c r="Q56" s="509"/>
    </row>
    <row r="57" spans="1:17" ht="15.75" x14ac:dyDescent="0.25">
      <c r="A57" s="506" t="s">
        <v>452</v>
      </c>
      <c r="B57" s="506"/>
      <c r="C57" s="507"/>
      <c r="D57" s="507"/>
      <c r="E57" s="507"/>
      <c r="F57" s="507"/>
      <c r="G57" s="507"/>
      <c r="H57" s="507"/>
      <c r="I57" s="506" t="s">
        <v>436</v>
      </c>
      <c r="J57" s="506"/>
      <c r="K57" s="521" t="s">
        <v>453</v>
      </c>
      <c r="L57" s="521"/>
      <c r="M57" s="521"/>
      <c r="N57" s="521"/>
      <c r="O57" s="521"/>
      <c r="P57" s="521"/>
      <c r="Q57" s="521"/>
    </row>
    <row r="58" spans="1:17" ht="15.75" x14ac:dyDescent="0.25">
      <c r="A58" s="506" t="s">
        <v>454</v>
      </c>
      <c r="B58" s="506"/>
      <c r="C58" s="518"/>
      <c r="D58" s="518"/>
      <c r="E58" s="518"/>
      <c r="F58" s="518"/>
      <c r="G58" s="518"/>
      <c r="H58" s="518"/>
      <c r="I58" s="506" t="s">
        <v>455</v>
      </c>
      <c r="J58" s="506"/>
      <c r="K58" s="515">
        <f>-(C58-C59)/365</f>
        <v>0</v>
      </c>
      <c r="L58" s="515"/>
      <c r="M58" s="515"/>
      <c r="N58" s="508" t="str">
        <f>IF(OR(AND(K58&gt;65,K57="SENP"),AND(K58&gt;70,K57="SEP"),AND(K58&gt;70,K57="Doctor")),"Age is more than Eligible Norm, need ACM approval",IF(OR(AND(K58&gt;=25,K57="SENP"),AND(K58&gt;=27,K57="SEP"),AND(K58&gt;=27,K57="Doctor")),"Customer Age is Eligible","Age is less than Eligible Norm, need ACM approval"))</f>
        <v>Age is less than Eligible Norm, need ACM approval</v>
      </c>
      <c r="O58" s="508"/>
      <c r="P58" s="508"/>
      <c r="Q58" s="508"/>
    </row>
    <row r="59" spans="1:17" ht="15.75" x14ac:dyDescent="0.25">
      <c r="A59" s="506" t="s">
        <v>456</v>
      </c>
      <c r="B59" s="506"/>
      <c r="C59" s="519"/>
      <c r="D59" s="519"/>
      <c r="E59" s="506" t="s">
        <v>253</v>
      </c>
      <c r="F59" s="506"/>
      <c r="G59" s="520"/>
      <c r="H59" s="520"/>
      <c r="I59" s="506" t="s">
        <v>457</v>
      </c>
      <c r="J59" s="506"/>
      <c r="K59" s="515">
        <f>-(C58-(C59+(G59*30)))/365</f>
        <v>0</v>
      </c>
      <c r="L59" s="515"/>
      <c r="M59" s="515"/>
      <c r="N59" s="508" t="str">
        <f>IF(OR(AND(K59&gt;65,K57="SENP"),AND(K59&gt;70,K57="SEP"),AND(K59&gt;70,K57="Doctor")),"Age is more than Eligible Norm, need ACM approval",IF(OR(AND(K59&gt;=25,K57="SENP"),AND(K59&gt;=27,K57="SEP"),AND(K59&gt;=27,K57="Doctor")),"Customer Age is Eligible","Age is less than Eligible Norm, need ACM approval"))</f>
        <v>Age is less than Eligible Norm, need ACM approval</v>
      </c>
      <c r="O59" s="508"/>
      <c r="P59" s="508"/>
      <c r="Q59" s="508"/>
    </row>
    <row r="60" spans="1:17" ht="15.75" x14ac:dyDescent="0.25">
      <c r="A60" s="516" t="s">
        <v>458</v>
      </c>
      <c r="B60" s="516"/>
      <c r="C60" s="516"/>
      <c r="D60" s="516"/>
      <c r="E60" s="516"/>
      <c r="F60" s="516"/>
      <c r="G60" s="516"/>
      <c r="H60" s="516"/>
      <c r="I60" s="516"/>
      <c r="J60" s="516"/>
      <c r="K60" s="516"/>
      <c r="L60" s="516"/>
      <c r="M60" s="516"/>
      <c r="N60" s="516"/>
      <c r="O60" s="516"/>
      <c r="P60" s="516"/>
      <c r="Q60" s="516"/>
    </row>
    <row r="61" spans="1:17" ht="15.75" x14ac:dyDescent="0.25">
      <c r="A61" s="517" t="s">
        <v>459</v>
      </c>
      <c r="B61" s="517"/>
      <c r="C61" s="517" t="s">
        <v>460</v>
      </c>
      <c r="D61" s="517"/>
      <c r="E61" s="517" t="s">
        <v>461</v>
      </c>
      <c r="F61" s="517"/>
      <c r="G61" s="517"/>
      <c r="H61" s="517"/>
      <c r="I61" s="517"/>
      <c r="J61" s="517"/>
      <c r="K61" s="517"/>
      <c r="L61" s="517" t="s">
        <v>750</v>
      </c>
      <c r="M61" s="517"/>
      <c r="N61" s="517"/>
      <c r="O61" s="517"/>
      <c r="P61" s="517"/>
      <c r="Q61" s="517"/>
    </row>
    <row r="62" spans="1:17" x14ac:dyDescent="0.25">
      <c r="A62" s="59" t="s">
        <v>462</v>
      </c>
      <c r="B62" s="513" t="s">
        <v>463</v>
      </c>
      <c r="C62" s="510" t="s">
        <v>464</v>
      </c>
      <c r="D62" s="510"/>
      <c r="E62" s="514">
        <v>0</v>
      </c>
      <c r="F62" s="514"/>
      <c r="G62" s="514"/>
      <c r="H62" s="514"/>
      <c r="I62" s="514"/>
      <c r="J62" s="514"/>
      <c r="K62" s="514"/>
      <c r="L62" s="512" t="str">
        <f>IF(E62&lt;700,"CIBIL Score Norms Not Met","CIBIL Norms Met")</f>
        <v>CIBIL Score Norms Not Met</v>
      </c>
      <c r="M62" s="512"/>
      <c r="N62" s="512"/>
      <c r="O62" s="512"/>
      <c r="P62" s="512"/>
      <c r="Q62" s="512"/>
    </row>
    <row r="63" spans="1:17" x14ac:dyDescent="0.25">
      <c r="A63" s="68">
        <f>A54</f>
        <v>44194</v>
      </c>
      <c r="B63" s="513"/>
      <c r="C63" s="510" t="s">
        <v>465</v>
      </c>
      <c r="D63" s="510"/>
      <c r="E63" s="511"/>
      <c r="F63" s="511"/>
      <c r="G63" s="511"/>
      <c r="H63" s="511"/>
      <c r="I63" s="511"/>
      <c r="J63" s="511"/>
      <c r="K63" s="511"/>
      <c r="L63" s="512"/>
      <c r="M63" s="512"/>
      <c r="N63" s="512"/>
      <c r="O63" s="512"/>
      <c r="P63" s="512"/>
      <c r="Q63" s="512"/>
    </row>
    <row r="64" spans="1:17" ht="24" x14ac:dyDescent="0.25">
      <c r="A64" s="16" t="str">
        <f ca="1">IF((TODAY()-A63)&gt;45,"CIBIL EXPIRED","CIBIL VALID")</f>
        <v>CIBIL EXPIRED</v>
      </c>
      <c r="B64" s="17" t="s">
        <v>466</v>
      </c>
      <c r="C64" s="510" t="s">
        <v>467</v>
      </c>
      <c r="D64" s="510"/>
      <c r="E64" s="511">
        <v>0</v>
      </c>
      <c r="F64" s="511"/>
      <c r="G64" s="511"/>
      <c r="H64" s="511"/>
      <c r="I64" s="511"/>
      <c r="J64" s="511"/>
      <c r="K64" s="511"/>
      <c r="L64" s="512" t="str">
        <f>IF(E64&lt;5,"No Deviation required",IF(E64&lt;=7,"Need ZCM Deviation for enquiries",IF(E64&lt;=10,"Need NRM Deviation for enquiries","Deviation not allowed")))</f>
        <v>No Deviation required</v>
      </c>
      <c r="M64" s="512"/>
      <c r="N64" s="512"/>
      <c r="O64" s="512"/>
      <c r="P64" s="512"/>
      <c r="Q64" s="512"/>
    </row>
    <row r="65" spans="1:17" ht="20.25" x14ac:dyDescent="0.25">
      <c r="A65" s="526" t="s">
        <v>772</v>
      </c>
      <c r="B65" s="527"/>
      <c r="C65" s="527"/>
      <c r="D65" s="527"/>
      <c r="E65" s="527"/>
      <c r="F65" s="527"/>
      <c r="G65" s="527"/>
      <c r="H65" s="527"/>
      <c r="I65" s="527"/>
      <c r="J65" s="527"/>
      <c r="K65" s="527"/>
      <c r="L65" s="527"/>
      <c r="M65" s="527"/>
      <c r="N65" s="527"/>
      <c r="O65" s="527"/>
      <c r="P65" s="527"/>
      <c r="Q65" s="528"/>
    </row>
    <row r="66" spans="1:17" ht="15.75" x14ac:dyDescent="0.25">
      <c r="A66" s="506" t="s">
        <v>452</v>
      </c>
      <c r="B66" s="506"/>
      <c r="C66" s="507"/>
      <c r="D66" s="507"/>
      <c r="E66" s="507"/>
      <c r="F66" s="507"/>
      <c r="G66" s="507"/>
      <c r="H66" s="507"/>
      <c r="I66" s="506" t="s">
        <v>436</v>
      </c>
      <c r="J66" s="506"/>
      <c r="K66" s="521" t="s">
        <v>453</v>
      </c>
      <c r="L66" s="521"/>
      <c r="M66" s="521"/>
      <c r="N66" s="521"/>
      <c r="O66" s="521"/>
      <c r="P66" s="521"/>
      <c r="Q66" s="521"/>
    </row>
    <row r="67" spans="1:17" ht="15.75" x14ac:dyDescent="0.25">
      <c r="A67" s="506" t="s">
        <v>454</v>
      </c>
      <c r="B67" s="506"/>
      <c r="C67" s="518"/>
      <c r="D67" s="518"/>
      <c r="E67" s="518"/>
      <c r="F67" s="518"/>
      <c r="G67" s="518"/>
      <c r="H67" s="518"/>
      <c r="I67" s="506" t="s">
        <v>455</v>
      </c>
      <c r="J67" s="506"/>
      <c r="K67" s="515">
        <f>-(C67-C68)/365</f>
        <v>0</v>
      </c>
      <c r="L67" s="515"/>
      <c r="M67" s="515"/>
      <c r="N67" s="508" t="str">
        <f>IF(OR(AND(K67&gt;65,K66="SENP"),AND(K67&gt;70,K66="SEP"),AND(K67&gt;70,K66="Doctor")),"Age is more than Eligible Norm, need ACM approval",IF(OR(AND(K67&gt;=25,K66="SENP"),AND(K67&gt;=27,K66="SEP"),AND(K67&gt;=27,K66="Doctor")),"Customer Age is Eligible","Age is less than Eligible Norm, need ACM approval"))</f>
        <v>Age is less than Eligible Norm, need ACM approval</v>
      </c>
      <c r="O67" s="508"/>
      <c r="P67" s="508"/>
      <c r="Q67" s="508"/>
    </row>
    <row r="68" spans="1:17" ht="15.75" x14ac:dyDescent="0.25">
      <c r="A68" s="506" t="s">
        <v>456</v>
      </c>
      <c r="B68" s="506"/>
      <c r="C68" s="519"/>
      <c r="D68" s="519"/>
      <c r="E68" s="506" t="s">
        <v>253</v>
      </c>
      <c r="F68" s="506"/>
      <c r="G68" s="520"/>
      <c r="H68" s="520"/>
      <c r="I68" s="506" t="s">
        <v>457</v>
      </c>
      <c r="J68" s="506"/>
      <c r="K68" s="515">
        <f>-(C67-(C68+(G68*30)))/365</f>
        <v>0</v>
      </c>
      <c r="L68" s="515"/>
      <c r="M68" s="515"/>
      <c r="N68" s="508" t="str">
        <f>IF(OR(AND(K68&gt;65,K66="SENP"),AND(K68&gt;70,K66="SEP"),AND(K68&gt;70,K66="Doctor")),"Age is more than Eligible Norm, need ACM approval",IF(OR(AND(K68&gt;=25,K66="SENP"),AND(K68&gt;=27,K66="SEP"),AND(K68&gt;=27,K66="Doctor")),"Customer Age is Eligible","Age is less than Eligible Norm, need ACM approval"))</f>
        <v>Age is less than Eligible Norm, need ACM approval</v>
      </c>
      <c r="O68" s="508"/>
      <c r="P68" s="508"/>
      <c r="Q68" s="508"/>
    </row>
    <row r="69" spans="1:17" ht="15.75" x14ac:dyDescent="0.25">
      <c r="A69" s="516" t="s">
        <v>458</v>
      </c>
      <c r="B69" s="516"/>
      <c r="C69" s="516"/>
      <c r="D69" s="516"/>
      <c r="E69" s="516"/>
      <c r="F69" s="516"/>
      <c r="G69" s="516"/>
      <c r="H69" s="516"/>
      <c r="I69" s="516"/>
      <c r="J69" s="516"/>
      <c r="K69" s="516"/>
      <c r="L69" s="516"/>
      <c r="M69" s="516"/>
      <c r="N69" s="516"/>
      <c r="O69" s="516"/>
      <c r="P69" s="516"/>
      <c r="Q69" s="516"/>
    </row>
    <row r="70" spans="1:17" ht="15.75" x14ac:dyDescent="0.25">
      <c r="A70" s="517" t="s">
        <v>459</v>
      </c>
      <c r="B70" s="517"/>
      <c r="C70" s="517" t="s">
        <v>460</v>
      </c>
      <c r="D70" s="517"/>
      <c r="E70" s="517" t="s">
        <v>461</v>
      </c>
      <c r="F70" s="517"/>
      <c r="G70" s="517"/>
      <c r="H70" s="517"/>
      <c r="I70" s="517"/>
      <c r="J70" s="517"/>
      <c r="K70" s="517"/>
      <c r="L70" s="517" t="s">
        <v>750</v>
      </c>
      <c r="M70" s="517"/>
      <c r="N70" s="517"/>
      <c r="O70" s="517"/>
      <c r="P70" s="517"/>
      <c r="Q70" s="517"/>
    </row>
    <row r="71" spans="1:17" x14ac:dyDescent="0.25">
      <c r="A71" s="59" t="s">
        <v>462</v>
      </c>
      <c r="B71" s="513" t="s">
        <v>463</v>
      </c>
      <c r="C71" s="510" t="s">
        <v>464</v>
      </c>
      <c r="D71" s="510"/>
      <c r="E71" s="511">
        <v>0</v>
      </c>
      <c r="F71" s="511"/>
      <c r="G71" s="511"/>
      <c r="H71" s="511"/>
      <c r="I71" s="511"/>
      <c r="J71" s="511"/>
      <c r="K71" s="511"/>
      <c r="L71" s="512" t="str">
        <f>IF(E71&lt;700,"CIBIL Score Norms Not Met","CIBIL Norms Met")</f>
        <v>CIBIL Score Norms Not Met</v>
      </c>
      <c r="M71" s="512"/>
      <c r="N71" s="512"/>
      <c r="O71" s="512"/>
      <c r="P71" s="512"/>
      <c r="Q71" s="512"/>
    </row>
    <row r="72" spans="1:17" x14ac:dyDescent="0.25">
      <c r="A72" s="68">
        <f>A63</f>
        <v>44194</v>
      </c>
      <c r="B72" s="513"/>
      <c r="C72" s="510" t="s">
        <v>465</v>
      </c>
      <c r="D72" s="510"/>
      <c r="E72" s="511"/>
      <c r="F72" s="511"/>
      <c r="G72" s="511"/>
      <c r="H72" s="511"/>
      <c r="I72" s="511"/>
      <c r="J72" s="511"/>
      <c r="K72" s="511"/>
      <c r="L72" s="512"/>
      <c r="M72" s="512"/>
      <c r="N72" s="512"/>
      <c r="O72" s="512"/>
      <c r="P72" s="512"/>
      <c r="Q72" s="512"/>
    </row>
    <row r="73" spans="1:17" ht="24" x14ac:dyDescent="0.25">
      <c r="A73" s="16" t="str">
        <f ca="1">IF((TODAY()-A72)&gt;45,"CIBIL EXPIRED","CIBIL VALID")</f>
        <v>CIBIL EXPIRED</v>
      </c>
      <c r="B73" s="17" t="s">
        <v>466</v>
      </c>
      <c r="C73" s="510" t="s">
        <v>467</v>
      </c>
      <c r="D73" s="510"/>
      <c r="E73" s="511">
        <v>0</v>
      </c>
      <c r="F73" s="511"/>
      <c r="G73" s="511"/>
      <c r="H73" s="511"/>
      <c r="I73" s="511"/>
      <c r="J73" s="511"/>
      <c r="K73" s="511"/>
      <c r="L73" s="512" t="str">
        <f>IF(E73&lt;5,"No Deviation required",IF(E73&lt;=7,"Need ZCM Deviation for enquiries",IF(E73&lt;=10,"Need NRM Deviation for enquiries","Deviation not allowed")))</f>
        <v>No Deviation required</v>
      </c>
      <c r="M73" s="512"/>
      <c r="N73" s="512"/>
      <c r="O73" s="512"/>
      <c r="P73" s="512"/>
      <c r="Q73" s="512"/>
    </row>
    <row r="74" spans="1:17" ht="20.25" x14ac:dyDescent="0.25">
      <c r="A74" s="509" t="s">
        <v>773</v>
      </c>
      <c r="B74" s="509"/>
      <c r="C74" s="509"/>
      <c r="D74" s="509"/>
      <c r="E74" s="509"/>
      <c r="F74" s="509"/>
      <c r="G74" s="509"/>
      <c r="H74" s="509"/>
      <c r="I74" s="509"/>
      <c r="J74" s="509"/>
      <c r="K74" s="509"/>
      <c r="L74" s="509"/>
      <c r="M74" s="509"/>
      <c r="N74" s="509"/>
      <c r="O74" s="509"/>
      <c r="P74" s="509"/>
      <c r="Q74" s="509"/>
    </row>
    <row r="75" spans="1:17" ht="15.75" x14ac:dyDescent="0.25">
      <c r="A75" s="506" t="s">
        <v>452</v>
      </c>
      <c r="B75" s="506"/>
      <c r="C75" s="507"/>
      <c r="D75" s="507"/>
      <c r="E75" s="507"/>
      <c r="F75" s="507"/>
      <c r="G75" s="507"/>
      <c r="H75" s="507"/>
      <c r="I75" s="506" t="s">
        <v>436</v>
      </c>
      <c r="J75" s="506"/>
      <c r="K75" s="521" t="s">
        <v>453</v>
      </c>
      <c r="L75" s="521"/>
      <c r="M75" s="521"/>
      <c r="N75" s="521"/>
      <c r="O75" s="521"/>
      <c r="P75" s="521"/>
      <c r="Q75" s="521"/>
    </row>
    <row r="76" spans="1:17" ht="15.75" x14ac:dyDescent="0.25">
      <c r="A76" s="506" t="s">
        <v>454</v>
      </c>
      <c r="B76" s="506"/>
      <c r="C76" s="518"/>
      <c r="D76" s="518"/>
      <c r="E76" s="518"/>
      <c r="F76" s="518"/>
      <c r="G76" s="518"/>
      <c r="H76" s="518"/>
      <c r="I76" s="506" t="s">
        <v>455</v>
      </c>
      <c r="J76" s="506"/>
      <c r="K76" s="515">
        <f>-(C76-C77)/365</f>
        <v>0</v>
      </c>
      <c r="L76" s="515"/>
      <c r="M76" s="515"/>
      <c r="N76" s="508" t="str">
        <f>IF(OR(AND(K76&gt;65,K75="SENP"),AND(K76&gt;70,K75="SEP"),AND(K76&gt;70,K75="Doctor")),"Age is more than Eligible Norm, need ACM approval",IF(OR(AND(K76&gt;=25,K75="SENP"),AND(K76&gt;=27,K75="SEP"),AND(K76&gt;=27,K75="Doctor")),"Customer Age is Eligible","Age is less than Eligible Norm, need ACM approval"))</f>
        <v>Age is less than Eligible Norm, need ACM approval</v>
      </c>
      <c r="O76" s="508"/>
      <c r="P76" s="508"/>
      <c r="Q76" s="508"/>
    </row>
    <row r="77" spans="1:17" ht="15.75" x14ac:dyDescent="0.25">
      <c r="A77" s="506" t="s">
        <v>456</v>
      </c>
      <c r="B77" s="506"/>
      <c r="C77" s="519"/>
      <c r="D77" s="519"/>
      <c r="E77" s="506" t="s">
        <v>253</v>
      </c>
      <c r="F77" s="506"/>
      <c r="G77" s="520"/>
      <c r="H77" s="520"/>
      <c r="I77" s="506" t="s">
        <v>457</v>
      </c>
      <c r="J77" s="506"/>
      <c r="K77" s="515">
        <f>-(C76-(C77+(G77*30)))/365</f>
        <v>0</v>
      </c>
      <c r="L77" s="515"/>
      <c r="M77" s="515"/>
      <c r="N77" s="508" t="str">
        <f>IF(OR(AND(K77&gt;65,K75="SENP"),AND(K77&gt;70,K75="SEP"),AND(K77&gt;70,K75="Doctor")),"Age is more than Eligible Norm, need ACM approval",IF(OR(AND(K77&gt;=25,K75="SENP"),AND(K77&gt;=27,K75="SEP"),AND(K77&gt;=27,K75="Doctor")),"Customer Age is Eligible","Age is less than Eligible Norm, need ACM approval"))</f>
        <v>Age is less than Eligible Norm, need ACM approval</v>
      </c>
      <c r="O77" s="508"/>
      <c r="P77" s="508"/>
      <c r="Q77" s="508"/>
    </row>
    <row r="78" spans="1:17" ht="15.75" x14ac:dyDescent="0.25">
      <c r="A78" s="516" t="s">
        <v>458</v>
      </c>
      <c r="B78" s="516"/>
      <c r="C78" s="516"/>
      <c r="D78" s="516"/>
      <c r="E78" s="516"/>
      <c r="F78" s="516"/>
      <c r="G78" s="516"/>
      <c r="H78" s="516"/>
      <c r="I78" s="516"/>
      <c r="J78" s="516"/>
      <c r="K78" s="516"/>
      <c r="L78" s="516"/>
      <c r="M78" s="516"/>
      <c r="N78" s="516"/>
      <c r="O78" s="516"/>
      <c r="P78" s="516"/>
      <c r="Q78" s="516"/>
    </row>
    <row r="79" spans="1:17" ht="15.75" x14ac:dyDescent="0.25">
      <c r="A79" s="517" t="s">
        <v>459</v>
      </c>
      <c r="B79" s="517"/>
      <c r="C79" s="517" t="s">
        <v>460</v>
      </c>
      <c r="D79" s="517"/>
      <c r="E79" s="517" t="s">
        <v>461</v>
      </c>
      <c r="F79" s="517"/>
      <c r="G79" s="517"/>
      <c r="H79" s="517"/>
      <c r="I79" s="517"/>
      <c r="J79" s="517"/>
      <c r="K79" s="517"/>
      <c r="L79" s="517" t="s">
        <v>750</v>
      </c>
      <c r="M79" s="517"/>
      <c r="N79" s="517"/>
      <c r="O79" s="517"/>
      <c r="P79" s="517"/>
      <c r="Q79" s="517"/>
    </row>
    <row r="80" spans="1:17" x14ac:dyDescent="0.25">
      <c r="A80" s="59" t="s">
        <v>462</v>
      </c>
      <c r="B80" s="513" t="s">
        <v>463</v>
      </c>
      <c r="C80" s="510" t="s">
        <v>464</v>
      </c>
      <c r="D80" s="510"/>
      <c r="E80" s="511">
        <v>0</v>
      </c>
      <c r="F80" s="511"/>
      <c r="G80" s="511"/>
      <c r="H80" s="511"/>
      <c r="I80" s="511"/>
      <c r="J80" s="511"/>
      <c r="K80" s="511"/>
      <c r="L80" s="512" t="str">
        <f>IF(E80&lt;700,"CIBIL Score Norms Not Met","CIBIL Norms Met")</f>
        <v>CIBIL Score Norms Not Met</v>
      </c>
      <c r="M80" s="512"/>
      <c r="N80" s="512"/>
      <c r="O80" s="512"/>
      <c r="P80" s="512"/>
      <c r="Q80" s="512"/>
    </row>
    <row r="81" spans="1:17" x14ac:dyDescent="0.25">
      <c r="A81" s="68">
        <f>A72</f>
        <v>44194</v>
      </c>
      <c r="B81" s="513"/>
      <c r="C81" s="510" t="s">
        <v>465</v>
      </c>
      <c r="D81" s="510"/>
      <c r="E81" s="511"/>
      <c r="F81" s="511"/>
      <c r="G81" s="511"/>
      <c r="H81" s="511"/>
      <c r="I81" s="511"/>
      <c r="J81" s="511"/>
      <c r="K81" s="511"/>
      <c r="L81" s="512"/>
      <c r="M81" s="512"/>
      <c r="N81" s="512"/>
      <c r="O81" s="512"/>
      <c r="P81" s="512"/>
      <c r="Q81" s="512"/>
    </row>
    <row r="82" spans="1:17" ht="24" x14ac:dyDescent="0.25">
      <c r="A82" s="16" t="str">
        <f ca="1">IF((TODAY()-A81)&gt;45,"CIBIL EXPIRED","CIBIL VALID")</f>
        <v>CIBIL EXPIRED</v>
      </c>
      <c r="B82" s="17" t="s">
        <v>466</v>
      </c>
      <c r="C82" s="510" t="s">
        <v>467</v>
      </c>
      <c r="D82" s="510"/>
      <c r="E82" s="511">
        <v>0</v>
      </c>
      <c r="F82" s="511"/>
      <c r="G82" s="511"/>
      <c r="H82" s="511"/>
      <c r="I82" s="511"/>
      <c r="J82" s="511"/>
      <c r="K82" s="511"/>
      <c r="L82" s="512" t="str">
        <f>IF(E82&lt;5,"No Deviation required",IF(E82&lt;=7,"Need ZCM Deviation for enquiries",IF(E82&lt;=10,"Need NRM Deviation for enquiries","Deviation not allowed")))</f>
        <v>No Deviation required</v>
      </c>
      <c r="M82" s="512"/>
      <c r="N82" s="512"/>
      <c r="O82" s="512"/>
      <c r="P82" s="512"/>
      <c r="Q82" s="512"/>
    </row>
    <row r="83" spans="1:17" ht="20.25" x14ac:dyDescent="0.25">
      <c r="A83" s="509" t="s">
        <v>774</v>
      </c>
      <c r="B83" s="509"/>
      <c r="C83" s="509"/>
      <c r="D83" s="509"/>
      <c r="E83" s="509"/>
      <c r="F83" s="509"/>
      <c r="G83" s="509"/>
      <c r="H83" s="509"/>
      <c r="I83" s="509"/>
      <c r="J83" s="509"/>
      <c r="K83" s="509"/>
      <c r="L83" s="509"/>
      <c r="M83" s="509"/>
      <c r="N83" s="509"/>
      <c r="O83" s="509"/>
      <c r="P83" s="509"/>
      <c r="Q83" s="509"/>
    </row>
    <row r="84" spans="1:17" ht="15.75" x14ac:dyDescent="0.25">
      <c r="A84" s="506" t="s">
        <v>452</v>
      </c>
      <c r="B84" s="506"/>
      <c r="C84" s="507"/>
      <c r="D84" s="507"/>
      <c r="E84" s="507"/>
      <c r="F84" s="507"/>
      <c r="G84" s="507"/>
      <c r="H84" s="507"/>
      <c r="I84" s="506" t="s">
        <v>436</v>
      </c>
      <c r="J84" s="506"/>
      <c r="K84" s="521" t="s">
        <v>453</v>
      </c>
      <c r="L84" s="521"/>
      <c r="M84" s="521"/>
      <c r="N84" s="521"/>
      <c r="O84" s="521"/>
      <c r="P84" s="521"/>
      <c r="Q84" s="521"/>
    </row>
    <row r="85" spans="1:17" ht="15.75" x14ac:dyDescent="0.25">
      <c r="A85" s="506" t="s">
        <v>454</v>
      </c>
      <c r="B85" s="506"/>
      <c r="C85" s="518"/>
      <c r="D85" s="518"/>
      <c r="E85" s="518"/>
      <c r="F85" s="518"/>
      <c r="G85" s="518"/>
      <c r="H85" s="518"/>
      <c r="I85" s="506" t="s">
        <v>455</v>
      </c>
      <c r="J85" s="506"/>
      <c r="K85" s="515">
        <f>-(C85-C86)/365</f>
        <v>0</v>
      </c>
      <c r="L85" s="515"/>
      <c r="M85" s="515"/>
      <c r="N85" s="508" t="str">
        <f>IF(OR(AND(K85&gt;65,K84="SENP"),AND(K85&gt;70,K84="SEP"),AND(K85&gt;70,K84="Doctor")),"Age is more than Eligible Norm, need ACM approval",IF(OR(AND(K85&gt;=25,K84="SENP"),AND(K85&gt;=27,K84="SEP"),AND(K85&gt;=27,K84="Doctor")),"Customer Age is Eligible","Age is less than Eligible Norm, need ACM approval"))</f>
        <v>Age is less than Eligible Norm, need ACM approval</v>
      </c>
      <c r="O85" s="508"/>
      <c r="P85" s="508"/>
      <c r="Q85" s="508"/>
    </row>
    <row r="86" spans="1:17" ht="15.75" x14ac:dyDescent="0.25">
      <c r="A86" s="506" t="s">
        <v>456</v>
      </c>
      <c r="B86" s="506"/>
      <c r="C86" s="519"/>
      <c r="D86" s="519"/>
      <c r="E86" s="506" t="s">
        <v>253</v>
      </c>
      <c r="F86" s="506"/>
      <c r="G86" s="520"/>
      <c r="H86" s="520"/>
      <c r="I86" s="506" t="s">
        <v>457</v>
      </c>
      <c r="J86" s="506"/>
      <c r="K86" s="515">
        <f>-(C85-(C86+(G86*30)))/365</f>
        <v>0</v>
      </c>
      <c r="L86" s="515"/>
      <c r="M86" s="515"/>
      <c r="N86" s="508" t="str">
        <f>IF(OR(AND(K86&gt;65,K84="SENP"),AND(K86&gt;70,K84="SEP"),AND(K86&gt;70,K84="Doctor")),"Age is more than Eligible Norm, need ACM approval",IF(OR(AND(K86&gt;=25,K84="SENP"),AND(K86&gt;=27,K84="SEP"),AND(K86&gt;=27,K84="Doctor")),"Customer Age is Eligible","Age is less than Eligible Norm, need ACM approval"))</f>
        <v>Age is less than Eligible Norm, need ACM approval</v>
      </c>
      <c r="O86" s="508"/>
      <c r="P86" s="508"/>
      <c r="Q86" s="508"/>
    </row>
    <row r="87" spans="1:17" ht="15.75" x14ac:dyDescent="0.25">
      <c r="A87" s="516" t="s">
        <v>458</v>
      </c>
      <c r="B87" s="516"/>
      <c r="C87" s="516"/>
      <c r="D87" s="516"/>
      <c r="E87" s="516"/>
      <c r="F87" s="516"/>
      <c r="G87" s="516"/>
      <c r="H87" s="516"/>
      <c r="I87" s="516"/>
      <c r="J87" s="516"/>
      <c r="K87" s="516"/>
      <c r="L87" s="516"/>
      <c r="M87" s="516"/>
      <c r="N87" s="516"/>
      <c r="O87" s="516"/>
      <c r="P87" s="516"/>
      <c r="Q87" s="516"/>
    </row>
    <row r="88" spans="1:17" ht="15.75" x14ac:dyDescent="0.25">
      <c r="A88" s="517" t="s">
        <v>459</v>
      </c>
      <c r="B88" s="517"/>
      <c r="C88" s="517" t="s">
        <v>460</v>
      </c>
      <c r="D88" s="517"/>
      <c r="E88" s="517" t="s">
        <v>461</v>
      </c>
      <c r="F88" s="517"/>
      <c r="G88" s="517"/>
      <c r="H88" s="517"/>
      <c r="I88" s="517"/>
      <c r="J88" s="517"/>
      <c r="K88" s="517"/>
      <c r="L88" s="517" t="s">
        <v>750</v>
      </c>
      <c r="M88" s="517"/>
      <c r="N88" s="517"/>
      <c r="O88" s="517"/>
      <c r="P88" s="517"/>
      <c r="Q88" s="517"/>
    </row>
    <row r="89" spans="1:17" x14ac:dyDescent="0.25">
      <c r="A89" s="59" t="s">
        <v>462</v>
      </c>
      <c r="B89" s="513" t="s">
        <v>463</v>
      </c>
      <c r="C89" s="510" t="s">
        <v>464</v>
      </c>
      <c r="D89" s="510"/>
      <c r="E89" s="511">
        <v>0</v>
      </c>
      <c r="F89" s="511"/>
      <c r="G89" s="511"/>
      <c r="H89" s="511"/>
      <c r="I89" s="511"/>
      <c r="J89" s="511"/>
      <c r="K89" s="511"/>
      <c r="L89" s="512" t="str">
        <f>IF(E89&lt;700,"CIBIL Score Norms Not Met","CIBIL Norms Met")</f>
        <v>CIBIL Score Norms Not Met</v>
      </c>
      <c r="M89" s="512"/>
      <c r="N89" s="512"/>
      <c r="O89" s="512"/>
      <c r="P89" s="512"/>
      <c r="Q89" s="512"/>
    </row>
    <row r="90" spans="1:17" x14ac:dyDescent="0.25">
      <c r="A90" s="68">
        <f>A81</f>
        <v>44194</v>
      </c>
      <c r="B90" s="513"/>
      <c r="C90" s="510" t="s">
        <v>465</v>
      </c>
      <c r="D90" s="510"/>
      <c r="E90" s="511"/>
      <c r="F90" s="511"/>
      <c r="G90" s="511"/>
      <c r="H90" s="511"/>
      <c r="I90" s="511"/>
      <c r="J90" s="511"/>
      <c r="K90" s="511"/>
      <c r="L90" s="512"/>
      <c r="M90" s="512"/>
      <c r="N90" s="512"/>
      <c r="O90" s="512"/>
      <c r="P90" s="512"/>
      <c r="Q90" s="512"/>
    </row>
    <row r="91" spans="1:17" ht="24" x14ac:dyDescent="0.25">
      <c r="A91" s="16" t="str">
        <f ca="1">IF((TODAY()-A90)&gt;45,"CIBIL EXPIRED","CIBIL VALID")</f>
        <v>CIBIL EXPIRED</v>
      </c>
      <c r="B91" s="17" t="s">
        <v>466</v>
      </c>
      <c r="C91" s="510" t="s">
        <v>467</v>
      </c>
      <c r="D91" s="510"/>
      <c r="E91" s="511">
        <v>0</v>
      </c>
      <c r="F91" s="511"/>
      <c r="G91" s="511"/>
      <c r="H91" s="511"/>
      <c r="I91" s="511"/>
      <c r="J91" s="511"/>
      <c r="K91" s="511"/>
      <c r="L91" s="512" t="str">
        <f>IF(E91&lt;5,"No Deviation required",IF(E91&lt;=7,"Need ZCM Deviation for enquiries",IF(E91&lt;=10,"Need NRM Deviation for enquiries","Deviation not allowed")))</f>
        <v>No Deviation required</v>
      </c>
      <c r="M91" s="512"/>
      <c r="N91" s="512"/>
      <c r="O91" s="512"/>
      <c r="P91" s="512"/>
      <c r="Q91" s="512"/>
    </row>
    <row r="92" spans="1:17" ht="8.25" customHeight="1" x14ac:dyDescent="0.25"/>
  </sheetData>
  <sheetProtection algorithmName="SHA-512" hashValue="7rldfYcdQoqAQ5gXJYrJSTC6lTixhs3/JqqQl2tzshL7nhH5e1q/QpC8TlopuJjSx8pDXmyAboeGfyN9D6PYZg==" saltValue="8IcBPplwudm8Lt8kfcHtVQ==" spinCount="100000" sheet="1" objects="1" scenarios="1"/>
  <mergeCells count="318">
    <mergeCell ref="A6:B6"/>
    <mergeCell ref="C6:H6"/>
    <mergeCell ref="I6:Q6"/>
    <mergeCell ref="A2:B2"/>
    <mergeCell ref="C2:H2"/>
    <mergeCell ref="I2:Q2"/>
    <mergeCell ref="A3:B3"/>
    <mergeCell ref="C3:H3"/>
    <mergeCell ref="I3:Q3"/>
    <mergeCell ref="A4:B5"/>
    <mergeCell ref="C4:E4"/>
    <mergeCell ref="F4:H4"/>
    <mergeCell ref="C5:E5"/>
    <mergeCell ref="F5:H5"/>
    <mergeCell ref="I4:Q5"/>
    <mergeCell ref="B89:B90"/>
    <mergeCell ref="C89:D89"/>
    <mergeCell ref="E89:K89"/>
    <mergeCell ref="L89:Q89"/>
    <mergeCell ref="C90:D90"/>
    <mergeCell ref="E90:K90"/>
    <mergeCell ref="L90:Q90"/>
    <mergeCell ref="C91:D91"/>
    <mergeCell ref="E91:K91"/>
    <mergeCell ref="L91:Q91"/>
    <mergeCell ref="A86:B86"/>
    <mergeCell ref="C86:D86"/>
    <mergeCell ref="E86:F86"/>
    <mergeCell ref="G86:H86"/>
    <mergeCell ref="I86:J86"/>
    <mergeCell ref="K86:M86"/>
    <mergeCell ref="N86:Q86"/>
    <mergeCell ref="A87:Q87"/>
    <mergeCell ref="A88:B88"/>
    <mergeCell ref="C88:D88"/>
    <mergeCell ref="E88:K88"/>
    <mergeCell ref="L88:Q88"/>
    <mergeCell ref="A83:Q83"/>
    <mergeCell ref="A84:B84"/>
    <mergeCell ref="C84:H84"/>
    <mergeCell ref="I84:J84"/>
    <mergeCell ref="K84:Q84"/>
    <mergeCell ref="A85:B85"/>
    <mergeCell ref="C85:H85"/>
    <mergeCell ref="I85:J85"/>
    <mergeCell ref="K85:M85"/>
    <mergeCell ref="N85:Q85"/>
    <mergeCell ref="B80:B81"/>
    <mergeCell ref="C80:D80"/>
    <mergeCell ref="E80:K80"/>
    <mergeCell ref="L80:Q80"/>
    <mergeCell ref="C81:D81"/>
    <mergeCell ref="E81:K81"/>
    <mergeCell ref="L81:Q81"/>
    <mergeCell ref="C82:D82"/>
    <mergeCell ref="E82:K82"/>
    <mergeCell ref="L82:Q82"/>
    <mergeCell ref="A77:B77"/>
    <mergeCell ref="C77:D77"/>
    <mergeCell ref="E77:F77"/>
    <mergeCell ref="G77:H77"/>
    <mergeCell ref="I77:J77"/>
    <mergeCell ref="K77:M77"/>
    <mergeCell ref="N77:Q77"/>
    <mergeCell ref="A78:Q78"/>
    <mergeCell ref="A79:B79"/>
    <mergeCell ref="C79:D79"/>
    <mergeCell ref="E79:K79"/>
    <mergeCell ref="L79:Q79"/>
    <mergeCell ref="A74:Q74"/>
    <mergeCell ref="A75:B75"/>
    <mergeCell ref="C75:H75"/>
    <mergeCell ref="I75:J75"/>
    <mergeCell ref="K75:Q75"/>
    <mergeCell ref="A76:B76"/>
    <mergeCell ref="C76:H76"/>
    <mergeCell ref="I76:J76"/>
    <mergeCell ref="K76:M76"/>
    <mergeCell ref="N76:Q76"/>
    <mergeCell ref="B71:B72"/>
    <mergeCell ref="C71:D71"/>
    <mergeCell ref="E71:K71"/>
    <mergeCell ref="L71:Q71"/>
    <mergeCell ref="C72:D72"/>
    <mergeCell ref="E72:K72"/>
    <mergeCell ref="L72:Q72"/>
    <mergeCell ref="C73:D73"/>
    <mergeCell ref="E73:K73"/>
    <mergeCell ref="L73:Q73"/>
    <mergeCell ref="A68:B68"/>
    <mergeCell ref="C68:D68"/>
    <mergeCell ref="E68:F68"/>
    <mergeCell ref="G68:H68"/>
    <mergeCell ref="I68:J68"/>
    <mergeCell ref="K68:M68"/>
    <mergeCell ref="N68:Q68"/>
    <mergeCell ref="A69:Q69"/>
    <mergeCell ref="A70:B70"/>
    <mergeCell ref="C70:D70"/>
    <mergeCell ref="E70:K70"/>
    <mergeCell ref="L70:Q70"/>
    <mergeCell ref="A65:Q65"/>
    <mergeCell ref="A66:B66"/>
    <mergeCell ref="C66:H66"/>
    <mergeCell ref="I66:J66"/>
    <mergeCell ref="K66:Q66"/>
    <mergeCell ref="A67:B67"/>
    <mergeCell ref="C67:H67"/>
    <mergeCell ref="I67:J67"/>
    <mergeCell ref="K67:M67"/>
    <mergeCell ref="N67:Q67"/>
    <mergeCell ref="B62:B63"/>
    <mergeCell ref="C62:D62"/>
    <mergeCell ref="E62:K62"/>
    <mergeCell ref="L62:Q62"/>
    <mergeCell ref="C63:D63"/>
    <mergeCell ref="E63:K63"/>
    <mergeCell ref="L63:Q63"/>
    <mergeCell ref="C64:D64"/>
    <mergeCell ref="E64:K64"/>
    <mergeCell ref="L64:Q64"/>
    <mergeCell ref="A59:B59"/>
    <mergeCell ref="C59:D59"/>
    <mergeCell ref="E59:F59"/>
    <mergeCell ref="G59:H59"/>
    <mergeCell ref="I59:J59"/>
    <mergeCell ref="K59:M59"/>
    <mergeCell ref="N59:Q59"/>
    <mergeCell ref="A60:Q60"/>
    <mergeCell ref="A61:B61"/>
    <mergeCell ref="C61:D61"/>
    <mergeCell ref="E61:K61"/>
    <mergeCell ref="L61:Q61"/>
    <mergeCell ref="A56:Q56"/>
    <mergeCell ref="A57:B57"/>
    <mergeCell ref="C57:H57"/>
    <mergeCell ref="I57:J57"/>
    <mergeCell ref="K57:Q57"/>
    <mergeCell ref="A58:B58"/>
    <mergeCell ref="C58:H58"/>
    <mergeCell ref="I58:J58"/>
    <mergeCell ref="K58:M58"/>
    <mergeCell ref="N58:Q58"/>
    <mergeCell ref="B53:B54"/>
    <mergeCell ref="C53:D53"/>
    <mergeCell ref="E53:K53"/>
    <mergeCell ref="L53:Q53"/>
    <mergeCell ref="C54:D54"/>
    <mergeCell ref="E54:K54"/>
    <mergeCell ref="L54:Q54"/>
    <mergeCell ref="C55:D55"/>
    <mergeCell ref="E55:K55"/>
    <mergeCell ref="L55:Q55"/>
    <mergeCell ref="A50:B50"/>
    <mergeCell ref="C50:D50"/>
    <mergeCell ref="E50:F50"/>
    <mergeCell ref="G50:H50"/>
    <mergeCell ref="I50:J50"/>
    <mergeCell ref="K50:M50"/>
    <mergeCell ref="N50:Q50"/>
    <mergeCell ref="A51:Q51"/>
    <mergeCell ref="A52:B52"/>
    <mergeCell ref="C52:D52"/>
    <mergeCell ref="E52:K52"/>
    <mergeCell ref="L52:Q52"/>
    <mergeCell ref="A47:Q47"/>
    <mergeCell ref="A48:B48"/>
    <mergeCell ref="C48:H48"/>
    <mergeCell ref="I48:J48"/>
    <mergeCell ref="K48:Q48"/>
    <mergeCell ref="A49:B49"/>
    <mergeCell ref="C49:H49"/>
    <mergeCell ref="I49:J49"/>
    <mergeCell ref="K49:M49"/>
    <mergeCell ref="N49:Q49"/>
    <mergeCell ref="A8:Q8"/>
    <mergeCell ref="A9:B9"/>
    <mergeCell ref="C9:H9"/>
    <mergeCell ref="I9:J9"/>
    <mergeCell ref="A10:B10"/>
    <mergeCell ref="C10:H10"/>
    <mergeCell ref="I10:J10"/>
    <mergeCell ref="K10:M10"/>
    <mergeCell ref="N10:Q10"/>
    <mergeCell ref="N9:Q9"/>
    <mergeCell ref="K9:M9"/>
    <mergeCell ref="A11:Q11"/>
    <mergeCell ref="A12:B12"/>
    <mergeCell ref="C12:H12"/>
    <mergeCell ref="I12:J12"/>
    <mergeCell ref="K12:Q12"/>
    <mergeCell ref="K14:M14"/>
    <mergeCell ref="N14:Q14"/>
    <mergeCell ref="A15:Q15"/>
    <mergeCell ref="A16:B16"/>
    <mergeCell ref="C16:D16"/>
    <mergeCell ref="E16:K16"/>
    <mergeCell ref="L16:Q16"/>
    <mergeCell ref="A13:B13"/>
    <mergeCell ref="C13:H13"/>
    <mergeCell ref="I13:J13"/>
    <mergeCell ref="K13:M13"/>
    <mergeCell ref="N13:Q13"/>
    <mergeCell ref="A14:B14"/>
    <mergeCell ref="C14:D14"/>
    <mergeCell ref="E14:F14"/>
    <mergeCell ref="G14:H14"/>
    <mergeCell ref="I14:J14"/>
    <mergeCell ref="C19:D19"/>
    <mergeCell ref="E19:K19"/>
    <mergeCell ref="L19:Q19"/>
    <mergeCell ref="A20:Q20"/>
    <mergeCell ref="A21:B21"/>
    <mergeCell ref="C21:H21"/>
    <mergeCell ref="I21:J21"/>
    <mergeCell ref="K21:Q21"/>
    <mergeCell ref="B17:B18"/>
    <mergeCell ref="C17:D17"/>
    <mergeCell ref="E17:K17"/>
    <mergeCell ref="L17:Q17"/>
    <mergeCell ref="C18:D18"/>
    <mergeCell ref="E18:K18"/>
    <mergeCell ref="L18:Q18"/>
    <mergeCell ref="K23:M23"/>
    <mergeCell ref="N23:Q23"/>
    <mergeCell ref="A24:Q24"/>
    <mergeCell ref="A25:B25"/>
    <mergeCell ref="C25:D25"/>
    <mergeCell ref="E25:K25"/>
    <mergeCell ref="L25:Q25"/>
    <mergeCell ref="A22:B22"/>
    <mergeCell ref="C22:H22"/>
    <mergeCell ref="I22:J22"/>
    <mergeCell ref="K22:M22"/>
    <mergeCell ref="N22:Q22"/>
    <mergeCell ref="A23:B23"/>
    <mergeCell ref="C23:D23"/>
    <mergeCell ref="E23:F23"/>
    <mergeCell ref="G23:H23"/>
    <mergeCell ref="I23:J23"/>
    <mergeCell ref="C28:D28"/>
    <mergeCell ref="E28:K28"/>
    <mergeCell ref="L28:Q28"/>
    <mergeCell ref="A29:Q29"/>
    <mergeCell ref="A30:B30"/>
    <mergeCell ref="C30:H30"/>
    <mergeCell ref="I30:J30"/>
    <mergeCell ref="K30:Q30"/>
    <mergeCell ref="B26:B27"/>
    <mergeCell ref="C26:D26"/>
    <mergeCell ref="E26:K26"/>
    <mergeCell ref="L26:Q26"/>
    <mergeCell ref="C27:D27"/>
    <mergeCell ref="E27:K27"/>
    <mergeCell ref="L27:Q27"/>
    <mergeCell ref="A31:B31"/>
    <mergeCell ref="C31:H31"/>
    <mergeCell ref="I31:J31"/>
    <mergeCell ref="K31:M31"/>
    <mergeCell ref="N31:Q31"/>
    <mergeCell ref="A32:B32"/>
    <mergeCell ref="C32:D32"/>
    <mergeCell ref="E32:F32"/>
    <mergeCell ref="G32:H32"/>
    <mergeCell ref="I32:J32"/>
    <mergeCell ref="B35:B36"/>
    <mergeCell ref="C35:D35"/>
    <mergeCell ref="E35:K35"/>
    <mergeCell ref="L35:Q35"/>
    <mergeCell ref="C36:D36"/>
    <mergeCell ref="E36:K36"/>
    <mergeCell ref="L36:Q36"/>
    <mergeCell ref="K32:M32"/>
    <mergeCell ref="N32:Q32"/>
    <mergeCell ref="A33:Q33"/>
    <mergeCell ref="A34:B34"/>
    <mergeCell ref="C34:D34"/>
    <mergeCell ref="E34:K34"/>
    <mergeCell ref="L34:Q34"/>
    <mergeCell ref="K40:M40"/>
    <mergeCell ref="N40:Q40"/>
    <mergeCell ref="A41:B41"/>
    <mergeCell ref="C41:D41"/>
    <mergeCell ref="E41:F41"/>
    <mergeCell ref="G41:H41"/>
    <mergeCell ref="I41:J41"/>
    <mergeCell ref="C37:D37"/>
    <mergeCell ref="E37:K37"/>
    <mergeCell ref="L37:Q37"/>
    <mergeCell ref="A38:Q38"/>
    <mergeCell ref="A39:B39"/>
    <mergeCell ref="C39:H39"/>
    <mergeCell ref="I39:J39"/>
    <mergeCell ref="K39:Q39"/>
    <mergeCell ref="A7:B7"/>
    <mergeCell ref="C7:H7"/>
    <mergeCell ref="I7:Q7"/>
    <mergeCell ref="A1:Q1"/>
    <mergeCell ref="C46:D46"/>
    <mergeCell ref="E46:K46"/>
    <mergeCell ref="L46:Q46"/>
    <mergeCell ref="B44:B45"/>
    <mergeCell ref="C44:D44"/>
    <mergeCell ref="E44:K44"/>
    <mergeCell ref="L44:Q44"/>
    <mergeCell ref="C45:D45"/>
    <mergeCell ref="E45:K45"/>
    <mergeCell ref="L45:Q45"/>
    <mergeCell ref="K41:M41"/>
    <mergeCell ref="N41:Q41"/>
    <mergeCell ref="A42:Q42"/>
    <mergeCell ref="A43:B43"/>
    <mergeCell ref="C43:D43"/>
    <mergeCell ref="E43:K43"/>
    <mergeCell ref="L43:Q43"/>
    <mergeCell ref="A40:B40"/>
    <mergeCell ref="C40:H40"/>
    <mergeCell ref="I40:J40"/>
  </mergeCells>
  <dataValidations count="6">
    <dataValidation type="list" showInputMessage="1" showErrorMessage="1" sqref="K39:Q39 K12:Q12 K21:Q21 K30:Q30 K48:Q48 K57:Q57 K66:Q66 K75:Q75 K84:Q84" xr:uid="{00000000-0002-0000-0A00-000000000000}">
      <formula1>"SENP,SEP,Doctor"</formula1>
    </dataValidation>
    <dataValidation type="list" showInputMessage="1" showErrorMessage="1" sqref="K9" xr:uid="{00000000-0002-0000-0A00-000001000000}">
      <formula1>"Proprietary,Partnership,Private Limited,Limited"</formula1>
    </dataValidation>
    <dataValidation type="list" allowBlank="1" showInputMessage="1" showErrorMessage="1" sqref="C3:H3" xr:uid="{00000000-0002-0000-0A00-000002000000}">
      <formula1>"Residence,Office,Both,None"</formula1>
    </dataValidation>
    <dataValidation type="list" allowBlank="1" showInputMessage="1" showErrorMessage="1" sqref="C2:H2" xr:uid="{00000000-0002-0000-0A00-000003000000}">
      <formula1>"Owned,Rented"</formula1>
    </dataValidation>
    <dataValidation type="list" allowBlank="1" showInputMessage="1" showErrorMessage="1" sqref="C7:H7" xr:uid="{00000000-0002-0000-0A00-000004000000}">
      <formula1>"Landline,Mobile Postpaid,Other"</formula1>
    </dataValidation>
    <dataValidation type="list" allowBlank="1" showInputMessage="1" showErrorMessage="1" sqref="C6:H6" xr:uid="{00000000-0002-0000-0A00-000005000000}">
      <formula1>"Landline,Other"</formula1>
    </dataValidation>
  </dataValidations>
  <pageMargins left="0.7" right="0.7" top="0.75" bottom="0.75" header="0.3" footer="0.3"/>
  <pageSetup paperSize="9"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1:T319"/>
  <sheetViews>
    <sheetView zoomScale="90" zoomScaleNormal="90" workbookViewId="0">
      <selection activeCell="N266" sqref="N266:P266"/>
    </sheetView>
  </sheetViews>
  <sheetFormatPr defaultColWidth="0" defaultRowHeight="15" zeroHeight="1" x14ac:dyDescent="0.25"/>
  <cols>
    <col min="1" max="1" width="9.140625" style="13" customWidth="1"/>
    <col min="2" max="5" width="8.85546875" style="13" customWidth="1"/>
    <col min="6" max="6" width="11.28515625" style="13" customWidth="1"/>
    <col min="7" max="7" width="9.140625" style="13" customWidth="1"/>
    <col min="8" max="12" width="18" style="13" customWidth="1"/>
    <col min="13" max="14" width="11.7109375" style="13" customWidth="1"/>
    <col min="15" max="15" width="11.140625" style="13" customWidth="1"/>
    <col min="16" max="16" width="9.140625" style="13" customWidth="1"/>
    <col min="17" max="17" width="0.85546875" style="13" customWidth="1"/>
    <col min="18" max="19" width="9.140625" style="13" hidden="1" customWidth="1"/>
    <col min="20" max="20" width="10.7109375" style="13" hidden="1" customWidth="1"/>
    <col min="21" max="16384" width="9.140625" style="13" hidden="1"/>
  </cols>
  <sheetData>
    <row r="1" spans="1:20" ht="20.25" x14ac:dyDescent="0.3">
      <c r="A1" s="481" t="s">
        <v>526</v>
      </c>
      <c r="B1" s="481"/>
      <c r="C1" s="481"/>
      <c r="D1" s="481"/>
      <c r="E1" s="481"/>
      <c r="F1" s="481"/>
      <c r="G1" s="481"/>
      <c r="H1" s="481"/>
      <c r="I1" s="481"/>
      <c r="J1" s="481"/>
      <c r="K1" s="481"/>
      <c r="L1" s="481"/>
      <c r="M1" s="481"/>
      <c r="N1" s="481"/>
      <c r="O1" s="481"/>
      <c r="P1" s="481"/>
    </row>
    <row r="2" spans="1:20" ht="15" customHeight="1" x14ac:dyDescent="0.25">
      <c r="A2" s="451" t="s">
        <v>554</v>
      </c>
      <c r="B2" s="452"/>
      <c r="C2" s="452"/>
      <c r="D2" s="452"/>
      <c r="E2" s="452"/>
      <c r="F2" s="453"/>
      <c r="G2" s="496">
        <f>SUM(J22,J38,J54,J70,J86,J102,J118,J134,J150,J166,J182,J198,J214,J230,J246,J262)</f>
        <v>0</v>
      </c>
      <c r="H2" s="497"/>
      <c r="I2" s="497"/>
      <c r="J2" s="497"/>
      <c r="K2" s="497"/>
      <c r="L2" s="497"/>
      <c r="M2" s="497"/>
      <c r="N2" s="497"/>
      <c r="O2" s="497"/>
      <c r="P2" s="544"/>
      <c r="S2" s="13" t="s">
        <v>537</v>
      </c>
      <c r="T2" s="13" t="s">
        <v>569</v>
      </c>
    </row>
    <row r="3" spans="1:20" x14ac:dyDescent="0.25">
      <c r="A3" s="451" t="s">
        <v>555</v>
      </c>
      <c r="B3" s="452"/>
      <c r="C3" s="452"/>
      <c r="D3" s="452"/>
      <c r="E3" s="452"/>
      <c r="F3" s="453"/>
      <c r="G3" s="545">
        <f>Financial!B6</f>
        <v>0</v>
      </c>
      <c r="H3" s="546"/>
      <c r="I3" s="546"/>
      <c r="J3" s="546"/>
      <c r="K3" s="546"/>
      <c r="L3" s="546"/>
      <c r="M3" s="546"/>
      <c r="N3" s="546"/>
      <c r="O3" s="546"/>
      <c r="P3" s="547"/>
      <c r="S3" s="13" t="s">
        <v>539</v>
      </c>
      <c r="T3" s="13" t="s">
        <v>570</v>
      </c>
    </row>
    <row r="4" spans="1:20" x14ac:dyDescent="0.25">
      <c r="A4" s="451" t="s">
        <v>487</v>
      </c>
      <c r="B4" s="452"/>
      <c r="C4" s="452"/>
      <c r="D4" s="452"/>
      <c r="E4" s="452"/>
      <c r="F4" s="453"/>
      <c r="G4" s="540" t="e">
        <f>((G2/9)*12)/G3</f>
        <v>#DIV/0!</v>
      </c>
      <c r="H4" s="541"/>
      <c r="I4" s="541"/>
      <c r="J4" s="541"/>
      <c r="K4" s="541"/>
      <c r="L4" s="541"/>
      <c r="M4" s="541"/>
      <c r="N4" s="541"/>
      <c r="O4" s="541"/>
      <c r="P4" s="542"/>
      <c r="S4" s="13" t="s">
        <v>515</v>
      </c>
      <c r="T4" s="13" t="s">
        <v>518</v>
      </c>
    </row>
    <row r="5" spans="1:20" x14ac:dyDescent="0.25">
      <c r="A5" s="451" t="s">
        <v>556</v>
      </c>
      <c r="B5" s="452"/>
      <c r="C5" s="452"/>
      <c r="D5" s="452"/>
      <c r="E5" s="452"/>
      <c r="F5" s="453"/>
      <c r="G5" s="454" t="s">
        <v>558</v>
      </c>
      <c r="H5" s="454"/>
      <c r="I5" s="454"/>
      <c r="J5" s="454"/>
      <c r="K5" s="454" t="s">
        <v>687</v>
      </c>
      <c r="L5" s="454"/>
      <c r="M5" s="454"/>
      <c r="N5" s="454" t="s">
        <v>559</v>
      </c>
      <c r="O5" s="454"/>
      <c r="P5" s="454"/>
      <c r="S5" s="13" t="s">
        <v>516</v>
      </c>
      <c r="T5" s="13" t="s">
        <v>571</v>
      </c>
    </row>
    <row r="6" spans="1:20" x14ac:dyDescent="0.25">
      <c r="A6" s="440" t="s">
        <v>557</v>
      </c>
      <c r="B6" s="441"/>
      <c r="C6" s="441"/>
      <c r="D6" s="441"/>
      <c r="E6" s="441"/>
      <c r="F6" s="442"/>
      <c r="G6" s="443">
        <f>SUM(M22,M38,M54,M70,M86,M102,M118,M134,M150,M166,M182,M198,M214,M230,M246,M262,M278,M291,M304,M317)</f>
        <v>0</v>
      </c>
      <c r="H6" s="443"/>
      <c r="I6" s="443"/>
      <c r="J6" s="443"/>
      <c r="K6" s="444">
        <f>SUM(P22,P38,P54,P70,P86,P102,P118,P134,P150,P166,P182,P198,P214,P230,P246,P262,P278,P291,P304,P317)</f>
        <v>0</v>
      </c>
      <c r="L6" s="443"/>
      <c r="M6" s="443"/>
      <c r="N6" s="543" t="e">
        <f>G6/K6</f>
        <v>#DIV/0!</v>
      </c>
      <c r="O6" s="543"/>
      <c r="P6" s="543"/>
      <c r="S6" s="13" t="s">
        <v>517</v>
      </c>
      <c r="T6" s="13" t="s">
        <v>572</v>
      </c>
    </row>
    <row r="7" spans="1:20" x14ac:dyDescent="0.25">
      <c r="A7" s="440" t="s">
        <v>560</v>
      </c>
      <c r="B7" s="441"/>
      <c r="C7" s="441"/>
      <c r="D7" s="441"/>
      <c r="E7" s="441"/>
      <c r="F7" s="442"/>
      <c r="G7" s="443">
        <f>SUM(N22,N38,N54,N70,N86,N102,N118,N134,N150,N166,N182,N198,N214,N230,N246,N262,N278,N291,N304,N317)</f>
        <v>0</v>
      </c>
      <c r="H7" s="443"/>
      <c r="I7" s="443"/>
      <c r="J7" s="443"/>
      <c r="K7" s="444">
        <f>SUM(O22,O38,O54,O70,O86,O102,O118,O134,O150,O166,O182,O198,O214,O230,O246,O262,O278,O291,O304,O317)</f>
        <v>0</v>
      </c>
      <c r="L7" s="443"/>
      <c r="M7" s="443"/>
      <c r="N7" s="543" t="e">
        <f>G7/K7</f>
        <v>#DIV/0!</v>
      </c>
      <c r="O7" s="543"/>
      <c r="P7" s="543"/>
      <c r="S7" s="13" t="s">
        <v>504</v>
      </c>
      <c r="T7" s="13" t="s">
        <v>573</v>
      </c>
    </row>
    <row r="8" spans="1:20" x14ac:dyDescent="0.25">
      <c r="A8" s="440" t="s">
        <v>248</v>
      </c>
      <c r="B8" s="441"/>
      <c r="C8" s="441"/>
      <c r="D8" s="441"/>
      <c r="E8" s="441"/>
      <c r="F8" s="442"/>
      <c r="G8" s="443">
        <f>G7+G6</f>
        <v>0</v>
      </c>
      <c r="H8" s="443"/>
      <c r="I8" s="443"/>
      <c r="J8" s="443"/>
      <c r="K8" s="443">
        <f>K7+K6</f>
        <v>0</v>
      </c>
      <c r="L8" s="443"/>
      <c r="M8" s="443"/>
      <c r="N8" s="543" t="e">
        <f>G8/K8</f>
        <v>#DIV/0!</v>
      </c>
      <c r="O8" s="543"/>
      <c r="P8" s="543"/>
      <c r="S8" s="13" t="s">
        <v>505</v>
      </c>
      <c r="T8" s="13" t="s">
        <v>574</v>
      </c>
    </row>
    <row r="9" spans="1:20" ht="18.75" x14ac:dyDescent="0.25">
      <c r="A9" s="466" t="s">
        <v>491</v>
      </c>
      <c r="B9" s="466"/>
      <c r="C9" s="466"/>
      <c r="D9" s="466"/>
      <c r="E9" s="466"/>
      <c r="F9" s="466"/>
      <c r="G9" s="466"/>
      <c r="H9" s="466"/>
      <c r="I9" s="466"/>
      <c r="J9" s="466"/>
      <c r="K9" s="466"/>
      <c r="L9" s="466"/>
      <c r="M9" s="466"/>
      <c r="N9" s="466"/>
      <c r="O9" s="466"/>
      <c r="P9" s="466"/>
      <c r="S9" s="13" t="s">
        <v>506</v>
      </c>
      <c r="T9" s="13" t="s">
        <v>575</v>
      </c>
    </row>
    <row r="10" spans="1:20" ht="25.5" x14ac:dyDescent="0.25">
      <c r="A10" s="467" t="s">
        <v>694</v>
      </c>
      <c r="B10" s="468"/>
      <c r="C10" s="469"/>
      <c r="D10" s="470"/>
      <c r="E10" s="471"/>
      <c r="F10" s="472"/>
      <c r="G10" s="4" t="s">
        <v>693</v>
      </c>
      <c r="H10" s="66"/>
      <c r="I10" s="47" t="s">
        <v>695</v>
      </c>
      <c r="J10" s="470"/>
      <c r="K10" s="471"/>
      <c r="L10" s="472"/>
      <c r="M10" s="46" t="s">
        <v>492</v>
      </c>
      <c r="N10" s="531"/>
      <c r="O10" s="532"/>
      <c r="P10" s="533"/>
      <c r="S10" s="13" t="s">
        <v>546</v>
      </c>
      <c r="T10" s="13" t="s">
        <v>576</v>
      </c>
    </row>
    <row r="11" spans="1:20" x14ac:dyDescent="0.25">
      <c r="A11" s="486" t="s">
        <v>494</v>
      </c>
      <c r="B11" s="486" t="s">
        <v>495</v>
      </c>
      <c r="C11" s="486"/>
      <c r="D11" s="486"/>
      <c r="E11" s="486"/>
      <c r="F11" s="486"/>
      <c r="G11" s="486"/>
      <c r="H11" s="461" t="s">
        <v>496</v>
      </c>
      <c r="I11" s="529" t="s">
        <v>685</v>
      </c>
      <c r="J11" s="461" t="s">
        <v>497</v>
      </c>
      <c r="K11" s="461" t="s">
        <v>498</v>
      </c>
      <c r="L11" s="461" t="s">
        <v>499</v>
      </c>
      <c r="M11" s="461" t="s">
        <v>500</v>
      </c>
      <c r="N11" s="461" t="s">
        <v>501</v>
      </c>
      <c r="O11" s="461" t="s">
        <v>502</v>
      </c>
      <c r="P11" s="461" t="s">
        <v>503</v>
      </c>
      <c r="S11" s="13" t="s">
        <v>548</v>
      </c>
      <c r="T11" s="13" t="s">
        <v>577</v>
      </c>
    </row>
    <row r="12" spans="1:20" x14ac:dyDescent="0.25">
      <c r="A12" s="486"/>
      <c r="B12" s="538">
        <v>5</v>
      </c>
      <c r="C12" s="539"/>
      <c r="D12" s="538">
        <v>15</v>
      </c>
      <c r="E12" s="539"/>
      <c r="F12" s="538">
        <v>25</v>
      </c>
      <c r="G12" s="539"/>
      <c r="H12" s="461"/>
      <c r="I12" s="530"/>
      <c r="J12" s="461"/>
      <c r="K12" s="461"/>
      <c r="L12" s="461"/>
      <c r="M12" s="461"/>
      <c r="N12" s="461"/>
      <c r="O12" s="461"/>
      <c r="P12" s="461"/>
      <c r="S12" s="13" t="s">
        <v>550</v>
      </c>
      <c r="T12" s="13" t="s">
        <v>578</v>
      </c>
    </row>
    <row r="13" spans="1:20" x14ac:dyDescent="0.25">
      <c r="A13" s="5" t="s">
        <v>539</v>
      </c>
      <c r="B13" s="536">
        <v>0</v>
      </c>
      <c r="C13" s="537"/>
      <c r="D13" s="536">
        <v>0</v>
      </c>
      <c r="E13" s="537"/>
      <c r="F13" s="536">
        <v>0</v>
      </c>
      <c r="G13" s="537"/>
      <c r="H13" s="42">
        <f t="shared" ref="H13:H21" si="0">AVERAGE(B13:G13)</f>
        <v>0</v>
      </c>
      <c r="I13" s="43">
        <v>0</v>
      </c>
      <c r="J13" s="43">
        <v>0</v>
      </c>
      <c r="K13" s="44">
        <v>0</v>
      </c>
      <c r="L13" s="45">
        <f t="shared" ref="L13:L21" si="1">J13-K13</f>
        <v>0</v>
      </c>
      <c r="M13" s="7">
        <v>0</v>
      </c>
      <c r="N13" s="7">
        <v>0</v>
      </c>
      <c r="O13" s="7">
        <v>0</v>
      </c>
      <c r="P13" s="7">
        <v>0</v>
      </c>
      <c r="S13" s="13" t="s">
        <v>552</v>
      </c>
      <c r="T13" s="13" t="s">
        <v>579</v>
      </c>
    </row>
    <row r="14" spans="1:20" x14ac:dyDescent="0.25">
      <c r="A14" s="5" t="s">
        <v>517</v>
      </c>
      <c r="B14" s="536">
        <v>0</v>
      </c>
      <c r="C14" s="537"/>
      <c r="D14" s="536">
        <v>0</v>
      </c>
      <c r="E14" s="537"/>
      <c r="F14" s="536">
        <v>0</v>
      </c>
      <c r="G14" s="537"/>
      <c r="H14" s="42">
        <f t="shared" si="0"/>
        <v>0</v>
      </c>
      <c r="I14" s="43">
        <v>0</v>
      </c>
      <c r="J14" s="43">
        <v>0</v>
      </c>
      <c r="K14" s="44">
        <v>0</v>
      </c>
      <c r="L14" s="45">
        <f t="shared" si="1"/>
        <v>0</v>
      </c>
      <c r="M14" s="7">
        <v>0</v>
      </c>
      <c r="N14" s="7">
        <v>0</v>
      </c>
      <c r="O14" s="7">
        <v>0</v>
      </c>
      <c r="P14" s="7">
        <v>0</v>
      </c>
    </row>
    <row r="15" spans="1:20" x14ac:dyDescent="0.25">
      <c r="A15" s="5" t="s">
        <v>504</v>
      </c>
      <c r="B15" s="536">
        <v>0</v>
      </c>
      <c r="C15" s="537"/>
      <c r="D15" s="536">
        <v>0</v>
      </c>
      <c r="E15" s="537"/>
      <c r="F15" s="536">
        <v>0</v>
      </c>
      <c r="G15" s="537"/>
      <c r="H15" s="42">
        <f t="shared" si="0"/>
        <v>0</v>
      </c>
      <c r="I15" s="43">
        <v>0</v>
      </c>
      <c r="J15" s="43">
        <v>0</v>
      </c>
      <c r="K15" s="44">
        <v>0</v>
      </c>
      <c r="L15" s="45">
        <f t="shared" si="1"/>
        <v>0</v>
      </c>
      <c r="M15" s="7">
        <v>0</v>
      </c>
      <c r="N15" s="7">
        <v>0</v>
      </c>
      <c r="O15" s="7">
        <v>0</v>
      </c>
      <c r="P15" s="7">
        <v>0</v>
      </c>
    </row>
    <row r="16" spans="1:20" x14ac:dyDescent="0.25">
      <c r="A16" s="5" t="s">
        <v>505</v>
      </c>
      <c r="B16" s="536">
        <v>0</v>
      </c>
      <c r="C16" s="537"/>
      <c r="D16" s="536">
        <v>0</v>
      </c>
      <c r="E16" s="537"/>
      <c r="F16" s="536">
        <v>0</v>
      </c>
      <c r="G16" s="537"/>
      <c r="H16" s="42">
        <f t="shared" si="0"/>
        <v>0</v>
      </c>
      <c r="I16" s="43">
        <v>0</v>
      </c>
      <c r="J16" s="43">
        <v>0</v>
      </c>
      <c r="K16" s="44">
        <v>0</v>
      </c>
      <c r="L16" s="45">
        <f t="shared" si="1"/>
        <v>0</v>
      </c>
      <c r="M16" s="7">
        <v>0</v>
      </c>
      <c r="N16" s="7">
        <v>0</v>
      </c>
      <c r="O16" s="7">
        <v>0</v>
      </c>
      <c r="P16" s="7">
        <v>0</v>
      </c>
    </row>
    <row r="17" spans="1:16" x14ac:dyDescent="0.25">
      <c r="A17" s="5" t="s">
        <v>506</v>
      </c>
      <c r="B17" s="536">
        <v>0</v>
      </c>
      <c r="C17" s="537"/>
      <c r="D17" s="536">
        <v>0</v>
      </c>
      <c r="E17" s="537"/>
      <c r="F17" s="536">
        <v>0</v>
      </c>
      <c r="G17" s="537"/>
      <c r="H17" s="42">
        <f t="shared" ref="H17:H19" si="2">AVERAGE(B17:G17)</f>
        <v>0</v>
      </c>
      <c r="I17" s="43">
        <v>0</v>
      </c>
      <c r="J17" s="43">
        <v>0</v>
      </c>
      <c r="K17" s="44">
        <v>0</v>
      </c>
      <c r="L17" s="45">
        <f t="shared" ref="L17:L19" si="3">J17-K17</f>
        <v>0</v>
      </c>
      <c r="M17" s="7">
        <v>0</v>
      </c>
      <c r="N17" s="7">
        <v>0</v>
      </c>
      <c r="O17" s="7">
        <v>0</v>
      </c>
      <c r="P17" s="7">
        <v>0</v>
      </c>
    </row>
    <row r="18" spans="1:16" x14ac:dyDescent="0.25">
      <c r="A18" s="5" t="s">
        <v>546</v>
      </c>
      <c r="B18" s="536">
        <v>0</v>
      </c>
      <c r="C18" s="537"/>
      <c r="D18" s="536">
        <v>0</v>
      </c>
      <c r="E18" s="537"/>
      <c r="F18" s="536">
        <v>0</v>
      </c>
      <c r="G18" s="537"/>
      <c r="H18" s="42">
        <f t="shared" si="2"/>
        <v>0</v>
      </c>
      <c r="I18" s="43">
        <v>0</v>
      </c>
      <c r="J18" s="43">
        <v>0</v>
      </c>
      <c r="K18" s="44">
        <v>0</v>
      </c>
      <c r="L18" s="45">
        <f t="shared" si="3"/>
        <v>0</v>
      </c>
      <c r="M18" s="7">
        <v>0</v>
      </c>
      <c r="N18" s="7">
        <v>0</v>
      </c>
      <c r="O18" s="7">
        <v>0</v>
      </c>
      <c r="P18" s="7">
        <v>0</v>
      </c>
    </row>
    <row r="19" spans="1:16" x14ac:dyDescent="0.25">
      <c r="A19" s="5" t="s">
        <v>548</v>
      </c>
      <c r="B19" s="536">
        <v>0</v>
      </c>
      <c r="C19" s="537"/>
      <c r="D19" s="536">
        <v>0</v>
      </c>
      <c r="E19" s="537"/>
      <c r="F19" s="536">
        <v>0</v>
      </c>
      <c r="G19" s="537"/>
      <c r="H19" s="42">
        <f t="shared" si="2"/>
        <v>0</v>
      </c>
      <c r="I19" s="43">
        <v>0</v>
      </c>
      <c r="J19" s="43">
        <v>0</v>
      </c>
      <c r="K19" s="44">
        <v>0</v>
      </c>
      <c r="L19" s="45">
        <f t="shared" si="3"/>
        <v>0</v>
      </c>
      <c r="M19" s="7">
        <v>0</v>
      </c>
      <c r="N19" s="7">
        <v>0</v>
      </c>
      <c r="O19" s="7">
        <v>0</v>
      </c>
      <c r="P19" s="7">
        <v>0</v>
      </c>
    </row>
    <row r="20" spans="1:16" x14ac:dyDescent="0.25">
      <c r="A20" s="5" t="s">
        <v>550</v>
      </c>
      <c r="B20" s="536">
        <v>0</v>
      </c>
      <c r="C20" s="537"/>
      <c r="D20" s="536">
        <v>0</v>
      </c>
      <c r="E20" s="537"/>
      <c r="F20" s="536">
        <v>0</v>
      </c>
      <c r="G20" s="537"/>
      <c r="H20" s="42">
        <f t="shared" si="0"/>
        <v>0</v>
      </c>
      <c r="I20" s="43">
        <v>0</v>
      </c>
      <c r="J20" s="43">
        <v>0</v>
      </c>
      <c r="K20" s="44">
        <v>0</v>
      </c>
      <c r="L20" s="45">
        <f t="shared" si="1"/>
        <v>0</v>
      </c>
      <c r="M20" s="7">
        <v>0</v>
      </c>
      <c r="N20" s="7">
        <v>0</v>
      </c>
      <c r="O20" s="7">
        <v>0</v>
      </c>
      <c r="P20" s="7">
        <v>0</v>
      </c>
    </row>
    <row r="21" spans="1:16" x14ac:dyDescent="0.25">
      <c r="A21" s="5" t="s">
        <v>552</v>
      </c>
      <c r="B21" s="536">
        <v>0</v>
      </c>
      <c r="C21" s="537"/>
      <c r="D21" s="536">
        <v>0</v>
      </c>
      <c r="E21" s="537"/>
      <c r="F21" s="536">
        <v>0</v>
      </c>
      <c r="G21" s="537"/>
      <c r="H21" s="42">
        <f t="shared" si="0"/>
        <v>0</v>
      </c>
      <c r="I21" s="43">
        <v>0</v>
      </c>
      <c r="J21" s="43">
        <v>0</v>
      </c>
      <c r="K21" s="44">
        <v>0</v>
      </c>
      <c r="L21" s="45">
        <f t="shared" si="1"/>
        <v>0</v>
      </c>
      <c r="M21" s="7">
        <v>0</v>
      </c>
      <c r="N21" s="7">
        <v>0</v>
      </c>
      <c r="O21" s="7">
        <v>0</v>
      </c>
      <c r="P21" s="7">
        <v>0</v>
      </c>
    </row>
    <row r="22" spans="1:16" x14ac:dyDescent="0.25">
      <c r="A22" s="11" t="s">
        <v>507</v>
      </c>
      <c r="B22" s="534">
        <f>SUM(B13:C21)</f>
        <v>0</v>
      </c>
      <c r="C22" s="535"/>
      <c r="D22" s="534">
        <f>SUM(D13:E21)</f>
        <v>0</v>
      </c>
      <c r="E22" s="535"/>
      <c r="F22" s="534">
        <f>SUM(F13:G21)</f>
        <v>0</v>
      </c>
      <c r="G22" s="535"/>
      <c r="H22" s="42">
        <f t="shared" ref="H22:P22" si="4">SUM(H13:H21)</f>
        <v>0</v>
      </c>
      <c r="I22" s="42">
        <f t="shared" si="4"/>
        <v>0</v>
      </c>
      <c r="J22" s="42">
        <f t="shared" si="4"/>
        <v>0</v>
      </c>
      <c r="K22" s="42">
        <f t="shared" si="4"/>
        <v>0</v>
      </c>
      <c r="L22" s="42">
        <f t="shared" si="4"/>
        <v>0</v>
      </c>
      <c r="M22" s="10">
        <f t="shared" si="4"/>
        <v>0</v>
      </c>
      <c r="N22" s="10">
        <f t="shared" si="4"/>
        <v>0</v>
      </c>
      <c r="O22" s="8">
        <f t="shared" si="4"/>
        <v>0</v>
      </c>
      <c r="P22" s="8">
        <f t="shared" si="4"/>
        <v>0</v>
      </c>
    </row>
    <row r="23" spans="1:16" x14ac:dyDescent="0.25">
      <c r="A23" s="11" t="s">
        <v>496</v>
      </c>
      <c r="B23" s="534">
        <f>AVERAGE(B13:B21)</f>
        <v>0</v>
      </c>
      <c r="C23" s="535"/>
      <c r="D23" s="534">
        <f>AVERAGE(D13:D21)</f>
        <v>0</v>
      </c>
      <c r="E23" s="535"/>
      <c r="F23" s="534">
        <f>AVERAGE(F13:F21)</f>
        <v>0</v>
      </c>
      <c r="G23" s="535"/>
      <c r="H23" s="42">
        <f t="shared" ref="H23:N23" si="5">AVERAGE(H13:H21)</f>
        <v>0</v>
      </c>
      <c r="I23" s="42">
        <f t="shared" si="5"/>
        <v>0</v>
      </c>
      <c r="J23" s="42">
        <f t="shared" si="5"/>
        <v>0</v>
      </c>
      <c r="K23" s="42">
        <f t="shared" si="5"/>
        <v>0</v>
      </c>
      <c r="L23" s="42">
        <f t="shared" si="5"/>
        <v>0</v>
      </c>
      <c r="M23" s="10">
        <f t="shared" si="5"/>
        <v>0</v>
      </c>
      <c r="N23" s="10">
        <f t="shared" si="5"/>
        <v>0</v>
      </c>
      <c r="O23" s="52" t="e">
        <f>N22/O22</f>
        <v>#DIV/0!</v>
      </c>
      <c r="P23" s="52" t="e">
        <f>M22/P22</f>
        <v>#DIV/0!</v>
      </c>
    </row>
    <row r="24" spans="1:16" ht="38.25" x14ac:dyDescent="0.25">
      <c r="A24" s="11" t="s">
        <v>508</v>
      </c>
      <c r="B24" s="534">
        <f>B23+I23</f>
        <v>0</v>
      </c>
      <c r="C24" s="535"/>
      <c r="D24" s="534">
        <f>D23+I23</f>
        <v>0</v>
      </c>
      <c r="E24" s="535"/>
      <c r="F24" s="534">
        <f>F23+I23</f>
        <v>0</v>
      </c>
      <c r="G24" s="535"/>
      <c r="H24" s="42">
        <f>H23+I23</f>
        <v>0</v>
      </c>
      <c r="I24" s="462"/>
      <c r="J24" s="463"/>
      <c r="K24" s="463"/>
      <c r="L24" s="463"/>
      <c r="M24" s="463"/>
      <c r="N24" s="464"/>
      <c r="O24" s="6" t="s">
        <v>509</v>
      </c>
      <c r="P24" s="6" t="s">
        <v>510</v>
      </c>
    </row>
    <row r="25" spans="1:16" ht="18.75" x14ac:dyDescent="0.25">
      <c r="A25" s="466" t="s">
        <v>511</v>
      </c>
      <c r="B25" s="466"/>
      <c r="C25" s="466"/>
      <c r="D25" s="466"/>
      <c r="E25" s="466"/>
      <c r="F25" s="466"/>
      <c r="G25" s="466"/>
      <c r="H25" s="466"/>
      <c r="I25" s="466"/>
      <c r="J25" s="466"/>
      <c r="K25" s="466"/>
      <c r="L25" s="466"/>
      <c r="M25" s="466"/>
      <c r="N25" s="466"/>
      <c r="O25" s="466"/>
      <c r="P25" s="466"/>
    </row>
    <row r="26" spans="1:16" ht="25.5" x14ac:dyDescent="0.25">
      <c r="A26" s="467" t="s">
        <v>694</v>
      </c>
      <c r="B26" s="468"/>
      <c r="C26" s="469"/>
      <c r="D26" s="470"/>
      <c r="E26" s="471"/>
      <c r="F26" s="472"/>
      <c r="G26" s="4" t="s">
        <v>693</v>
      </c>
      <c r="H26" s="66"/>
      <c r="I26" s="47" t="s">
        <v>695</v>
      </c>
      <c r="J26" s="470"/>
      <c r="K26" s="471"/>
      <c r="L26" s="472"/>
      <c r="M26" s="46" t="s">
        <v>492</v>
      </c>
      <c r="N26" s="458"/>
      <c r="O26" s="459"/>
      <c r="P26" s="460"/>
    </row>
    <row r="27" spans="1:16" ht="15" customHeight="1" x14ac:dyDescent="0.25">
      <c r="A27" s="486" t="s">
        <v>494</v>
      </c>
      <c r="B27" s="486" t="s">
        <v>495</v>
      </c>
      <c r="C27" s="486"/>
      <c r="D27" s="486"/>
      <c r="E27" s="486"/>
      <c r="F27" s="486"/>
      <c r="G27" s="486"/>
      <c r="H27" s="461" t="s">
        <v>496</v>
      </c>
      <c r="I27" s="529" t="s">
        <v>685</v>
      </c>
      <c r="J27" s="461" t="s">
        <v>497</v>
      </c>
      <c r="K27" s="461" t="s">
        <v>498</v>
      </c>
      <c r="L27" s="461" t="s">
        <v>499</v>
      </c>
      <c r="M27" s="461" t="s">
        <v>500</v>
      </c>
      <c r="N27" s="461" t="s">
        <v>501</v>
      </c>
      <c r="O27" s="461" t="s">
        <v>502</v>
      </c>
      <c r="P27" s="461" t="s">
        <v>503</v>
      </c>
    </row>
    <row r="28" spans="1:16" x14ac:dyDescent="0.25">
      <c r="A28" s="486"/>
      <c r="B28" s="538">
        <v>5</v>
      </c>
      <c r="C28" s="539"/>
      <c r="D28" s="538">
        <v>15</v>
      </c>
      <c r="E28" s="539"/>
      <c r="F28" s="538">
        <v>25</v>
      </c>
      <c r="G28" s="539"/>
      <c r="H28" s="461"/>
      <c r="I28" s="530"/>
      <c r="J28" s="461"/>
      <c r="K28" s="461"/>
      <c r="L28" s="461"/>
      <c r="M28" s="461"/>
      <c r="N28" s="461"/>
      <c r="O28" s="461"/>
      <c r="P28" s="461"/>
    </row>
    <row r="29" spans="1:16" x14ac:dyDescent="0.25">
      <c r="A29" s="5" t="s">
        <v>516</v>
      </c>
      <c r="B29" s="536">
        <v>0</v>
      </c>
      <c r="C29" s="537"/>
      <c r="D29" s="536">
        <v>0</v>
      </c>
      <c r="E29" s="537"/>
      <c r="F29" s="536">
        <v>0</v>
      </c>
      <c r="G29" s="537"/>
      <c r="H29" s="42">
        <f t="shared" ref="H29:H37" si="6">AVERAGE(B29:G29)</f>
        <v>0</v>
      </c>
      <c r="I29" s="43">
        <v>0</v>
      </c>
      <c r="J29" s="43">
        <v>0</v>
      </c>
      <c r="K29" s="44">
        <v>0</v>
      </c>
      <c r="L29" s="45">
        <f t="shared" ref="L29:L37" si="7">J29-K29</f>
        <v>0</v>
      </c>
      <c r="M29" s="7">
        <v>0</v>
      </c>
      <c r="N29" s="7">
        <v>0</v>
      </c>
      <c r="O29" s="7">
        <v>0</v>
      </c>
      <c r="P29" s="7">
        <v>0</v>
      </c>
    </row>
    <row r="30" spans="1:16" x14ac:dyDescent="0.25">
      <c r="A30" s="5" t="s">
        <v>517</v>
      </c>
      <c r="B30" s="536">
        <v>0</v>
      </c>
      <c r="C30" s="537"/>
      <c r="D30" s="536">
        <v>0</v>
      </c>
      <c r="E30" s="537"/>
      <c r="F30" s="536">
        <v>0</v>
      </c>
      <c r="G30" s="537"/>
      <c r="H30" s="42">
        <f t="shared" si="6"/>
        <v>0</v>
      </c>
      <c r="I30" s="43">
        <v>0</v>
      </c>
      <c r="J30" s="43">
        <v>0</v>
      </c>
      <c r="K30" s="44">
        <v>0</v>
      </c>
      <c r="L30" s="45">
        <f t="shared" si="7"/>
        <v>0</v>
      </c>
      <c r="M30" s="7">
        <v>0</v>
      </c>
      <c r="N30" s="7">
        <v>0</v>
      </c>
      <c r="O30" s="7">
        <v>0</v>
      </c>
      <c r="P30" s="7">
        <v>0</v>
      </c>
    </row>
    <row r="31" spans="1:16" x14ac:dyDescent="0.25">
      <c r="A31" s="5" t="s">
        <v>504</v>
      </c>
      <c r="B31" s="536">
        <v>0</v>
      </c>
      <c r="C31" s="537"/>
      <c r="D31" s="536">
        <v>0</v>
      </c>
      <c r="E31" s="537"/>
      <c r="F31" s="536">
        <v>0</v>
      </c>
      <c r="G31" s="537"/>
      <c r="H31" s="42">
        <f t="shared" si="6"/>
        <v>0</v>
      </c>
      <c r="I31" s="43">
        <v>0</v>
      </c>
      <c r="J31" s="43">
        <v>0</v>
      </c>
      <c r="K31" s="44">
        <v>0</v>
      </c>
      <c r="L31" s="45">
        <f t="shared" si="7"/>
        <v>0</v>
      </c>
      <c r="M31" s="7">
        <v>0</v>
      </c>
      <c r="N31" s="7">
        <v>0</v>
      </c>
      <c r="O31" s="7">
        <v>0</v>
      </c>
      <c r="P31" s="7">
        <v>0</v>
      </c>
    </row>
    <row r="32" spans="1:16" x14ac:dyDescent="0.25">
      <c r="A32" s="5" t="s">
        <v>505</v>
      </c>
      <c r="B32" s="536">
        <v>0</v>
      </c>
      <c r="C32" s="537"/>
      <c r="D32" s="536">
        <v>0</v>
      </c>
      <c r="E32" s="537"/>
      <c r="F32" s="536">
        <v>0</v>
      </c>
      <c r="G32" s="537"/>
      <c r="H32" s="42">
        <f t="shared" ref="H32:H34" si="8">AVERAGE(B32:G32)</f>
        <v>0</v>
      </c>
      <c r="I32" s="43">
        <v>0</v>
      </c>
      <c r="J32" s="43">
        <v>0</v>
      </c>
      <c r="K32" s="44">
        <v>0</v>
      </c>
      <c r="L32" s="45">
        <f t="shared" ref="L32:L34" si="9">J32-K32</f>
        <v>0</v>
      </c>
      <c r="M32" s="7">
        <v>0</v>
      </c>
      <c r="N32" s="7">
        <v>0</v>
      </c>
      <c r="O32" s="7">
        <v>0</v>
      </c>
      <c r="P32" s="7">
        <v>0</v>
      </c>
    </row>
    <row r="33" spans="1:16" x14ac:dyDescent="0.25">
      <c r="A33" s="5" t="s">
        <v>506</v>
      </c>
      <c r="B33" s="536">
        <v>0</v>
      </c>
      <c r="C33" s="537"/>
      <c r="D33" s="536">
        <v>0</v>
      </c>
      <c r="E33" s="537"/>
      <c r="F33" s="536">
        <v>0</v>
      </c>
      <c r="G33" s="537"/>
      <c r="H33" s="42">
        <f t="shared" si="8"/>
        <v>0</v>
      </c>
      <c r="I33" s="43">
        <v>0</v>
      </c>
      <c r="J33" s="43">
        <v>0</v>
      </c>
      <c r="K33" s="44">
        <v>0</v>
      </c>
      <c r="L33" s="45">
        <f t="shared" si="9"/>
        <v>0</v>
      </c>
      <c r="M33" s="7">
        <v>0</v>
      </c>
      <c r="N33" s="7">
        <v>0</v>
      </c>
      <c r="O33" s="7">
        <v>0</v>
      </c>
      <c r="P33" s="7">
        <v>0</v>
      </c>
    </row>
    <row r="34" spans="1:16" x14ac:dyDescent="0.25">
      <c r="A34" s="5" t="s">
        <v>546</v>
      </c>
      <c r="B34" s="536">
        <v>0</v>
      </c>
      <c r="C34" s="537"/>
      <c r="D34" s="536">
        <v>0</v>
      </c>
      <c r="E34" s="537"/>
      <c r="F34" s="536">
        <v>0</v>
      </c>
      <c r="G34" s="537"/>
      <c r="H34" s="42">
        <f t="shared" si="8"/>
        <v>0</v>
      </c>
      <c r="I34" s="43">
        <v>0</v>
      </c>
      <c r="J34" s="43">
        <v>0</v>
      </c>
      <c r="K34" s="44">
        <v>0</v>
      </c>
      <c r="L34" s="45">
        <f t="shared" si="9"/>
        <v>0</v>
      </c>
      <c r="M34" s="7">
        <v>0</v>
      </c>
      <c r="N34" s="7">
        <v>0</v>
      </c>
      <c r="O34" s="7">
        <v>0</v>
      </c>
      <c r="P34" s="7">
        <v>0</v>
      </c>
    </row>
    <row r="35" spans="1:16" x14ac:dyDescent="0.25">
      <c r="A35" s="5" t="s">
        <v>548</v>
      </c>
      <c r="B35" s="536">
        <v>0</v>
      </c>
      <c r="C35" s="537"/>
      <c r="D35" s="536">
        <v>0</v>
      </c>
      <c r="E35" s="537"/>
      <c r="F35" s="536">
        <v>0</v>
      </c>
      <c r="G35" s="537"/>
      <c r="H35" s="42">
        <f t="shared" si="6"/>
        <v>0</v>
      </c>
      <c r="I35" s="43">
        <v>0</v>
      </c>
      <c r="J35" s="43">
        <v>0</v>
      </c>
      <c r="K35" s="44">
        <v>0</v>
      </c>
      <c r="L35" s="45">
        <f t="shared" si="7"/>
        <v>0</v>
      </c>
      <c r="M35" s="7">
        <v>0</v>
      </c>
      <c r="N35" s="7">
        <v>0</v>
      </c>
      <c r="O35" s="7">
        <v>0</v>
      </c>
      <c r="P35" s="7">
        <v>0</v>
      </c>
    </row>
    <row r="36" spans="1:16" x14ac:dyDescent="0.25">
      <c r="A36" s="5" t="s">
        <v>550</v>
      </c>
      <c r="B36" s="536">
        <v>0</v>
      </c>
      <c r="C36" s="537"/>
      <c r="D36" s="536">
        <v>0</v>
      </c>
      <c r="E36" s="537"/>
      <c r="F36" s="536">
        <v>0</v>
      </c>
      <c r="G36" s="537"/>
      <c r="H36" s="42">
        <f t="shared" si="6"/>
        <v>0</v>
      </c>
      <c r="I36" s="43">
        <v>0</v>
      </c>
      <c r="J36" s="43">
        <v>0</v>
      </c>
      <c r="K36" s="44">
        <v>0</v>
      </c>
      <c r="L36" s="45">
        <f t="shared" si="7"/>
        <v>0</v>
      </c>
      <c r="M36" s="7">
        <v>0</v>
      </c>
      <c r="N36" s="7">
        <v>0</v>
      </c>
      <c r="O36" s="7">
        <v>0</v>
      </c>
      <c r="P36" s="7">
        <v>0</v>
      </c>
    </row>
    <row r="37" spans="1:16" x14ac:dyDescent="0.25">
      <c r="A37" s="5" t="s">
        <v>552</v>
      </c>
      <c r="B37" s="536">
        <v>0</v>
      </c>
      <c r="C37" s="537"/>
      <c r="D37" s="536">
        <v>0</v>
      </c>
      <c r="E37" s="537"/>
      <c r="F37" s="536">
        <v>0</v>
      </c>
      <c r="G37" s="537"/>
      <c r="H37" s="42">
        <f t="shared" si="6"/>
        <v>0</v>
      </c>
      <c r="I37" s="43">
        <v>0</v>
      </c>
      <c r="J37" s="43">
        <v>0</v>
      </c>
      <c r="K37" s="44">
        <v>0</v>
      </c>
      <c r="L37" s="45">
        <f t="shared" si="7"/>
        <v>0</v>
      </c>
      <c r="M37" s="7">
        <v>0</v>
      </c>
      <c r="N37" s="7">
        <v>0</v>
      </c>
      <c r="O37" s="7">
        <v>0</v>
      </c>
      <c r="P37" s="7">
        <v>0</v>
      </c>
    </row>
    <row r="38" spans="1:16" x14ac:dyDescent="0.25">
      <c r="A38" s="40" t="s">
        <v>507</v>
      </c>
      <c r="B38" s="534">
        <f t="shared" ref="B38" si="10">SUM(B29:B37)</f>
        <v>0</v>
      </c>
      <c r="C38" s="535"/>
      <c r="D38" s="534">
        <f t="shared" ref="D38" si="11">SUM(D29:D37)</f>
        <v>0</v>
      </c>
      <c r="E38" s="535"/>
      <c r="F38" s="534">
        <f t="shared" ref="F38" si="12">SUM(F29:F37)</f>
        <v>0</v>
      </c>
      <c r="G38" s="535"/>
      <c r="H38" s="42">
        <f t="shared" ref="H38:P38" si="13">SUM(H29:H37)</f>
        <v>0</v>
      </c>
      <c r="I38" s="42">
        <f t="shared" si="13"/>
        <v>0</v>
      </c>
      <c r="J38" s="42">
        <f t="shared" si="13"/>
        <v>0</v>
      </c>
      <c r="K38" s="42">
        <f t="shared" si="13"/>
        <v>0</v>
      </c>
      <c r="L38" s="42">
        <f t="shared" si="13"/>
        <v>0</v>
      </c>
      <c r="M38" s="10">
        <f t="shared" si="13"/>
        <v>0</v>
      </c>
      <c r="N38" s="10">
        <f t="shared" si="13"/>
        <v>0</v>
      </c>
      <c r="O38" s="8">
        <f t="shared" si="13"/>
        <v>0</v>
      </c>
      <c r="P38" s="8">
        <f t="shared" si="13"/>
        <v>0</v>
      </c>
    </row>
    <row r="39" spans="1:16" x14ac:dyDescent="0.25">
      <c r="A39" s="40" t="s">
        <v>496</v>
      </c>
      <c r="B39" s="534">
        <f t="shared" ref="B39" si="14">AVERAGE(B29:B37)</f>
        <v>0</v>
      </c>
      <c r="C39" s="535"/>
      <c r="D39" s="534">
        <f t="shared" ref="D39" si="15">AVERAGE(D29:D37)</f>
        <v>0</v>
      </c>
      <c r="E39" s="535"/>
      <c r="F39" s="534">
        <f t="shared" ref="F39" si="16">AVERAGE(F29:F37)</f>
        <v>0</v>
      </c>
      <c r="G39" s="535"/>
      <c r="H39" s="42">
        <f t="shared" ref="H39:N39" si="17">AVERAGE(H29:H37)</f>
        <v>0</v>
      </c>
      <c r="I39" s="42">
        <f t="shared" si="17"/>
        <v>0</v>
      </c>
      <c r="J39" s="42">
        <f t="shared" si="17"/>
        <v>0</v>
      </c>
      <c r="K39" s="42">
        <f t="shared" si="17"/>
        <v>0</v>
      </c>
      <c r="L39" s="42">
        <f t="shared" si="17"/>
        <v>0</v>
      </c>
      <c r="M39" s="10">
        <f t="shared" si="17"/>
        <v>0</v>
      </c>
      <c r="N39" s="10">
        <f t="shared" si="17"/>
        <v>0</v>
      </c>
      <c r="O39" s="52" t="e">
        <f>N38/O38</f>
        <v>#DIV/0!</v>
      </c>
      <c r="P39" s="52" t="e">
        <f>M38/P38</f>
        <v>#DIV/0!</v>
      </c>
    </row>
    <row r="40" spans="1:16" ht="38.25" x14ac:dyDescent="0.25">
      <c r="A40" s="40" t="s">
        <v>508</v>
      </c>
      <c r="B40" s="534">
        <f>B39+I39</f>
        <v>0</v>
      </c>
      <c r="C40" s="535"/>
      <c r="D40" s="534">
        <f>D39+I39</f>
        <v>0</v>
      </c>
      <c r="E40" s="535"/>
      <c r="F40" s="534">
        <f>F39+I39</f>
        <v>0</v>
      </c>
      <c r="G40" s="535"/>
      <c r="H40" s="42">
        <f>H39+I39</f>
        <v>0</v>
      </c>
      <c r="I40" s="462"/>
      <c r="J40" s="463"/>
      <c r="K40" s="463"/>
      <c r="L40" s="463"/>
      <c r="M40" s="463"/>
      <c r="N40" s="464"/>
      <c r="O40" s="6" t="s">
        <v>509</v>
      </c>
      <c r="P40" s="6" t="s">
        <v>510</v>
      </c>
    </row>
    <row r="41" spans="1:16" ht="18.75" x14ac:dyDescent="0.25">
      <c r="A41" s="466" t="s">
        <v>512</v>
      </c>
      <c r="B41" s="466"/>
      <c r="C41" s="466"/>
      <c r="D41" s="466"/>
      <c r="E41" s="466"/>
      <c r="F41" s="466"/>
      <c r="G41" s="466"/>
      <c r="H41" s="466"/>
      <c r="I41" s="466"/>
      <c r="J41" s="466"/>
      <c r="K41" s="466"/>
      <c r="L41" s="466"/>
      <c r="M41" s="466"/>
      <c r="N41" s="466"/>
      <c r="O41" s="466"/>
      <c r="P41" s="466"/>
    </row>
    <row r="42" spans="1:16" ht="25.5" x14ac:dyDescent="0.25">
      <c r="A42" s="467" t="s">
        <v>694</v>
      </c>
      <c r="B42" s="468"/>
      <c r="C42" s="469"/>
      <c r="D42" s="470"/>
      <c r="E42" s="471"/>
      <c r="F42" s="472"/>
      <c r="G42" s="4" t="s">
        <v>693</v>
      </c>
      <c r="H42" s="66" t="s">
        <v>852</v>
      </c>
      <c r="I42" s="47" t="s">
        <v>695</v>
      </c>
      <c r="J42" s="470" t="s">
        <v>852</v>
      </c>
      <c r="K42" s="471"/>
      <c r="L42" s="472"/>
      <c r="M42" s="46" t="s">
        <v>492</v>
      </c>
      <c r="N42" s="458"/>
      <c r="O42" s="459"/>
      <c r="P42" s="460"/>
    </row>
    <row r="43" spans="1:16" ht="15" customHeight="1" x14ac:dyDescent="0.25">
      <c r="A43" s="486" t="s">
        <v>494</v>
      </c>
      <c r="B43" s="486" t="s">
        <v>495</v>
      </c>
      <c r="C43" s="486"/>
      <c r="D43" s="486"/>
      <c r="E43" s="486"/>
      <c r="F43" s="486"/>
      <c r="G43" s="486"/>
      <c r="H43" s="461" t="s">
        <v>496</v>
      </c>
      <c r="I43" s="529" t="s">
        <v>685</v>
      </c>
      <c r="J43" s="461" t="s">
        <v>497</v>
      </c>
      <c r="K43" s="461" t="s">
        <v>498</v>
      </c>
      <c r="L43" s="461" t="s">
        <v>499</v>
      </c>
      <c r="M43" s="461" t="s">
        <v>500</v>
      </c>
      <c r="N43" s="461" t="s">
        <v>501</v>
      </c>
      <c r="O43" s="461" t="s">
        <v>502</v>
      </c>
      <c r="P43" s="461" t="s">
        <v>503</v>
      </c>
    </row>
    <row r="44" spans="1:16" x14ac:dyDescent="0.25">
      <c r="A44" s="486"/>
      <c r="B44" s="538">
        <v>5</v>
      </c>
      <c r="C44" s="539"/>
      <c r="D44" s="538">
        <v>15</v>
      </c>
      <c r="E44" s="539"/>
      <c r="F44" s="538">
        <v>25</v>
      </c>
      <c r="G44" s="539"/>
      <c r="H44" s="461"/>
      <c r="I44" s="530"/>
      <c r="J44" s="461"/>
      <c r="K44" s="461"/>
      <c r="L44" s="461"/>
      <c r="M44" s="461"/>
      <c r="N44" s="461"/>
      <c r="O44" s="461"/>
      <c r="P44" s="461"/>
    </row>
    <row r="45" spans="1:16" x14ac:dyDescent="0.25">
      <c r="A45" s="5" t="s">
        <v>1019</v>
      </c>
      <c r="B45" s="536">
        <v>0</v>
      </c>
      <c r="C45" s="537"/>
      <c r="D45" s="536">
        <v>0</v>
      </c>
      <c r="E45" s="537"/>
      <c r="F45" s="536">
        <v>0</v>
      </c>
      <c r="G45" s="537"/>
      <c r="H45" s="42">
        <f t="shared" ref="H45:H53" si="18">AVERAGE(B45:G45)</f>
        <v>0</v>
      </c>
      <c r="I45" s="43">
        <v>0</v>
      </c>
      <c r="J45" s="43">
        <v>0</v>
      </c>
      <c r="K45" s="44">
        <v>0</v>
      </c>
      <c r="L45" s="45">
        <f t="shared" ref="L45:L53" si="19">J45-K45</f>
        <v>0</v>
      </c>
      <c r="M45" s="7">
        <v>0</v>
      </c>
      <c r="N45" s="7">
        <v>0</v>
      </c>
      <c r="O45" s="7">
        <v>0</v>
      </c>
      <c r="P45" s="7">
        <v>0</v>
      </c>
    </row>
    <row r="46" spans="1:16" x14ac:dyDescent="0.25">
      <c r="A46" s="5" t="s">
        <v>1020</v>
      </c>
      <c r="B46" s="536">
        <v>0</v>
      </c>
      <c r="C46" s="537"/>
      <c r="D46" s="536">
        <v>0</v>
      </c>
      <c r="E46" s="537"/>
      <c r="F46" s="536">
        <v>0</v>
      </c>
      <c r="G46" s="537"/>
      <c r="H46" s="42">
        <f t="shared" si="18"/>
        <v>0</v>
      </c>
      <c r="I46" s="43">
        <v>0</v>
      </c>
      <c r="J46" s="43">
        <v>0</v>
      </c>
      <c r="K46" s="44">
        <v>0</v>
      </c>
      <c r="L46" s="45">
        <f t="shared" si="19"/>
        <v>0</v>
      </c>
      <c r="M46" s="7">
        <v>0</v>
      </c>
      <c r="N46" s="7">
        <v>0</v>
      </c>
      <c r="O46" s="7">
        <v>0</v>
      </c>
      <c r="P46" s="7">
        <v>0</v>
      </c>
    </row>
    <row r="47" spans="1:16" x14ac:dyDescent="0.25">
      <c r="A47" s="5" t="s">
        <v>1021</v>
      </c>
      <c r="B47" s="536">
        <v>0</v>
      </c>
      <c r="C47" s="537"/>
      <c r="D47" s="536">
        <v>0</v>
      </c>
      <c r="E47" s="537"/>
      <c r="F47" s="536">
        <v>0</v>
      </c>
      <c r="G47" s="537"/>
      <c r="H47" s="42">
        <f t="shared" ref="H47:H49" si="20">AVERAGE(B47:G47)</f>
        <v>0</v>
      </c>
      <c r="I47" s="43">
        <v>0</v>
      </c>
      <c r="J47" s="43">
        <v>0</v>
      </c>
      <c r="K47" s="44">
        <v>0</v>
      </c>
      <c r="L47" s="45">
        <f t="shared" ref="L47:L49" si="21">J47-K47</f>
        <v>0</v>
      </c>
      <c r="M47" s="7">
        <v>0</v>
      </c>
      <c r="N47" s="7">
        <v>0</v>
      </c>
      <c r="O47" s="7">
        <v>0</v>
      </c>
      <c r="P47" s="7">
        <v>0</v>
      </c>
    </row>
    <row r="48" spans="1:16" x14ac:dyDescent="0.25">
      <c r="A48" s="5" t="s">
        <v>1022</v>
      </c>
      <c r="B48" s="536">
        <v>0</v>
      </c>
      <c r="C48" s="537"/>
      <c r="D48" s="536">
        <v>0</v>
      </c>
      <c r="E48" s="537"/>
      <c r="F48" s="536">
        <v>0</v>
      </c>
      <c r="G48" s="537"/>
      <c r="H48" s="42">
        <f t="shared" si="20"/>
        <v>0</v>
      </c>
      <c r="I48" s="43">
        <v>0</v>
      </c>
      <c r="J48" s="43">
        <v>0</v>
      </c>
      <c r="K48" s="44">
        <v>0</v>
      </c>
      <c r="L48" s="45">
        <f t="shared" si="21"/>
        <v>0</v>
      </c>
      <c r="M48" s="7">
        <v>0</v>
      </c>
      <c r="N48" s="7">
        <v>0</v>
      </c>
      <c r="O48" s="7">
        <v>0</v>
      </c>
      <c r="P48" s="7">
        <v>0</v>
      </c>
    </row>
    <row r="49" spans="1:16" x14ac:dyDescent="0.25">
      <c r="A49" s="5" t="s">
        <v>1023</v>
      </c>
      <c r="B49" s="536">
        <v>0</v>
      </c>
      <c r="C49" s="537"/>
      <c r="D49" s="536">
        <v>0</v>
      </c>
      <c r="E49" s="537"/>
      <c r="F49" s="536">
        <v>0</v>
      </c>
      <c r="G49" s="537"/>
      <c r="H49" s="42">
        <f t="shared" si="20"/>
        <v>0</v>
      </c>
      <c r="I49" s="43">
        <v>0</v>
      </c>
      <c r="J49" s="43">
        <v>0</v>
      </c>
      <c r="K49" s="44">
        <v>0</v>
      </c>
      <c r="L49" s="45">
        <f t="shared" si="21"/>
        <v>0</v>
      </c>
      <c r="M49" s="7">
        <v>0</v>
      </c>
      <c r="N49" s="7">
        <v>0</v>
      </c>
      <c r="O49" s="7">
        <v>0</v>
      </c>
      <c r="P49" s="7">
        <v>0</v>
      </c>
    </row>
    <row r="50" spans="1:16" x14ac:dyDescent="0.25">
      <c r="A50" s="5" t="s">
        <v>1024</v>
      </c>
      <c r="B50" s="536">
        <v>0</v>
      </c>
      <c r="C50" s="537"/>
      <c r="D50" s="536">
        <v>0</v>
      </c>
      <c r="E50" s="537"/>
      <c r="F50" s="536">
        <v>0</v>
      </c>
      <c r="G50" s="537"/>
      <c r="H50" s="42">
        <f t="shared" si="18"/>
        <v>0</v>
      </c>
      <c r="I50" s="43">
        <v>0</v>
      </c>
      <c r="J50" s="43">
        <v>0</v>
      </c>
      <c r="K50" s="44">
        <v>0</v>
      </c>
      <c r="L50" s="45">
        <f t="shared" si="19"/>
        <v>0</v>
      </c>
      <c r="M50" s="7">
        <v>0</v>
      </c>
      <c r="N50" s="7">
        <v>0</v>
      </c>
      <c r="O50" s="7">
        <v>0</v>
      </c>
      <c r="P50" s="7">
        <v>0</v>
      </c>
    </row>
    <row r="51" spans="1:16" x14ac:dyDescent="0.25">
      <c r="A51" s="5" t="s">
        <v>1025</v>
      </c>
      <c r="B51" s="536">
        <v>0</v>
      </c>
      <c r="C51" s="537"/>
      <c r="D51" s="536">
        <v>0</v>
      </c>
      <c r="E51" s="537"/>
      <c r="F51" s="536">
        <v>0</v>
      </c>
      <c r="G51" s="537"/>
      <c r="H51" s="42">
        <f t="shared" si="18"/>
        <v>0</v>
      </c>
      <c r="I51" s="43">
        <v>0</v>
      </c>
      <c r="J51" s="43">
        <v>0</v>
      </c>
      <c r="K51" s="44">
        <v>0</v>
      </c>
      <c r="L51" s="45">
        <f t="shared" si="19"/>
        <v>0</v>
      </c>
      <c r="M51" s="7">
        <v>0</v>
      </c>
      <c r="N51" s="7">
        <v>0</v>
      </c>
      <c r="O51" s="7">
        <v>0</v>
      </c>
      <c r="P51" s="7">
        <v>0</v>
      </c>
    </row>
    <row r="52" spans="1:16" x14ac:dyDescent="0.25">
      <c r="A52" s="5" t="s">
        <v>1026</v>
      </c>
      <c r="B52" s="536">
        <v>0</v>
      </c>
      <c r="C52" s="537"/>
      <c r="D52" s="536">
        <v>0</v>
      </c>
      <c r="E52" s="537"/>
      <c r="F52" s="536">
        <v>0</v>
      </c>
      <c r="G52" s="537"/>
      <c r="H52" s="42">
        <f t="shared" si="18"/>
        <v>0</v>
      </c>
      <c r="I52" s="43">
        <v>0</v>
      </c>
      <c r="J52" s="43">
        <v>0</v>
      </c>
      <c r="K52" s="44">
        <v>0</v>
      </c>
      <c r="L52" s="45">
        <f t="shared" si="19"/>
        <v>0</v>
      </c>
      <c r="M52" s="7">
        <v>0</v>
      </c>
      <c r="N52" s="7">
        <v>0</v>
      </c>
      <c r="O52" s="7">
        <v>0</v>
      </c>
      <c r="P52" s="7">
        <v>0</v>
      </c>
    </row>
    <row r="53" spans="1:16" x14ac:dyDescent="0.25">
      <c r="A53" s="5" t="s">
        <v>1027</v>
      </c>
      <c r="B53" s="536">
        <v>0</v>
      </c>
      <c r="C53" s="537"/>
      <c r="D53" s="536">
        <v>0</v>
      </c>
      <c r="E53" s="537"/>
      <c r="F53" s="536">
        <v>0</v>
      </c>
      <c r="G53" s="537"/>
      <c r="H53" s="42">
        <f t="shared" si="18"/>
        <v>0</v>
      </c>
      <c r="I53" s="43">
        <v>0</v>
      </c>
      <c r="J53" s="43">
        <v>0</v>
      </c>
      <c r="K53" s="44">
        <v>0</v>
      </c>
      <c r="L53" s="45">
        <f t="shared" si="19"/>
        <v>0</v>
      </c>
      <c r="M53" s="7">
        <v>0</v>
      </c>
      <c r="N53" s="7">
        <v>0</v>
      </c>
      <c r="O53" s="7">
        <v>0</v>
      </c>
      <c r="P53" s="7">
        <v>0</v>
      </c>
    </row>
    <row r="54" spans="1:16" x14ac:dyDescent="0.25">
      <c r="A54" s="40" t="s">
        <v>507</v>
      </c>
      <c r="B54" s="534">
        <f>SUM(B45:B53)</f>
        <v>0</v>
      </c>
      <c r="C54" s="535"/>
      <c r="D54" s="534">
        <f>SUM(D45:D53)</f>
        <v>0</v>
      </c>
      <c r="E54" s="535"/>
      <c r="F54" s="534">
        <f>SUM(F45:F53)</f>
        <v>0</v>
      </c>
      <c r="G54" s="535"/>
      <c r="H54" s="42">
        <f t="shared" ref="H54:P54" si="22">SUM(H45:H53)</f>
        <v>0</v>
      </c>
      <c r="I54" s="42">
        <f t="shared" si="22"/>
        <v>0</v>
      </c>
      <c r="J54" s="42">
        <f t="shared" si="22"/>
        <v>0</v>
      </c>
      <c r="K54" s="42">
        <f t="shared" si="22"/>
        <v>0</v>
      </c>
      <c r="L54" s="42">
        <f t="shared" si="22"/>
        <v>0</v>
      </c>
      <c r="M54" s="10">
        <f t="shared" si="22"/>
        <v>0</v>
      </c>
      <c r="N54" s="10">
        <f t="shared" si="22"/>
        <v>0</v>
      </c>
      <c r="O54" s="8">
        <f t="shared" si="22"/>
        <v>0</v>
      </c>
      <c r="P54" s="8">
        <f t="shared" si="22"/>
        <v>0</v>
      </c>
    </row>
    <row r="55" spans="1:16" x14ac:dyDescent="0.25">
      <c r="A55" s="40" t="s">
        <v>496</v>
      </c>
      <c r="B55" s="534">
        <f>AVERAGE(B45:B53)</f>
        <v>0</v>
      </c>
      <c r="C55" s="535"/>
      <c r="D55" s="534">
        <f>AVERAGE(D45:D53)</f>
        <v>0</v>
      </c>
      <c r="E55" s="535"/>
      <c r="F55" s="534">
        <f>AVERAGE(F45:F53)</f>
        <v>0</v>
      </c>
      <c r="G55" s="535"/>
      <c r="H55" s="42">
        <f t="shared" ref="H55:N55" si="23">AVERAGE(H45:H53)</f>
        <v>0</v>
      </c>
      <c r="I55" s="42">
        <f t="shared" si="23"/>
        <v>0</v>
      </c>
      <c r="J55" s="42">
        <f t="shared" si="23"/>
        <v>0</v>
      </c>
      <c r="K55" s="42">
        <f t="shared" si="23"/>
        <v>0</v>
      </c>
      <c r="L55" s="42">
        <f t="shared" si="23"/>
        <v>0</v>
      </c>
      <c r="M55" s="10">
        <f t="shared" si="23"/>
        <v>0</v>
      </c>
      <c r="N55" s="10">
        <f t="shared" si="23"/>
        <v>0</v>
      </c>
      <c r="O55" s="52" t="e">
        <f>N54/O54</f>
        <v>#DIV/0!</v>
      </c>
      <c r="P55" s="52" t="e">
        <f>M54/P54</f>
        <v>#DIV/0!</v>
      </c>
    </row>
    <row r="56" spans="1:16" ht="38.25" x14ac:dyDescent="0.25">
      <c r="A56" s="40" t="s">
        <v>508</v>
      </c>
      <c r="B56" s="534">
        <f>B55+I55</f>
        <v>0</v>
      </c>
      <c r="C56" s="535"/>
      <c r="D56" s="534">
        <f>D55+I55</f>
        <v>0</v>
      </c>
      <c r="E56" s="535"/>
      <c r="F56" s="534">
        <f>F55+I55</f>
        <v>0</v>
      </c>
      <c r="G56" s="535"/>
      <c r="H56" s="42">
        <f>H55+I55</f>
        <v>0</v>
      </c>
      <c r="I56" s="462"/>
      <c r="J56" s="463"/>
      <c r="K56" s="463"/>
      <c r="L56" s="463"/>
      <c r="M56" s="463"/>
      <c r="N56" s="464"/>
      <c r="O56" s="6" t="s">
        <v>509</v>
      </c>
      <c r="P56" s="6" t="s">
        <v>510</v>
      </c>
    </row>
    <row r="57" spans="1:16" ht="18.75" x14ac:dyDescent="0.25">
      <c r="A57" s="466" t="s">
        <v>513</v>
      </c>
      <c r="B57" s="466"/>
      <c r="C57" s="466"/>
      <c r="D57" s="466"/>
      <c r="E57" s="466"/>
      <c r="F57" s="466"/>
      <c r="G57" s="466"/>
      <c r="H57" s="466"/>
      <c r="I57" s="466"/>
      <c r="J57" s="466"/>
      <c r="K57" s="466"/>
      <c r="L57" s="466"/>
      <c r="M57" s="466"/>
      <c r="N57" s="466"/>
      <c r="O57" s="466"/>
      <c r="P57" s="466"/>
    </row>
    <row r="58" spans="1:16" ht="25.5" x14ac:dyDescent="0.25">
      <c r="A58" s="467" t="s">
        <v>694</v>
      </c>
      <c r="B58" s="468"/>
      <c r="C58" s="469"/>
      <c r="D58" s="470"/>
      <c r="E58" s="471"/>
      <c r="F58" s="472"/>
      <c r="G58" s="4" t="s">
        <v>693</v>
      </c>
      <c r="H58" s="66" t="s">
        <v>852</v>
      </c>
      <c r="I58" s="47" t="s">
        <v>695</v>
      </c>
      <c r="J58" s="470" t="s">
        <v>852</v>
      </c>
      <c r="K58" s="471"/>
      <c r="L58" s="472"/>
      <c r="M58" s="46" t="s">
        <v>492</v>
      </c>
      <c r="N58" s="458"/>
      <c r="O58" s="459"/>
      <c r="P58" s="460"/>
    </row>
    <row r="59" spans="1:16" x14ac:dyDescent="0.25">
      <c r="A59" s="486" t="s">
        <v>494</v>
      </c>
      <c r="B59" s="486" t="s">
        <v>495</v>
      </c>
      <c r="C59" s="486"/>
      <c r="D59" s="486"/>
      <c r="E59" s="486"/>
      <c r="F59" s="486"/>
      <c r="G59" s="486"/>
      <c r="H59" s="461" t="s">
        <v>496</v>
      </c>
      <c r="I59" s="529" t="s">
        <v>685</v>
      </c>
      <c r="J59" s="461" t="s">
        <v>497</v>
      </c>
      <c r="K59" s="461" t="s">
        <v>498</v>
      </c>
      <c r="L59" s="461" t="s">
        <v>499</v>
      </c>
      <c r="M59" s="461" t="s">
        <v>500</v>
      </c>
      <c r="N59" s="461" t="s">
        <v>501</v>
      </c>
      <c r="O59" s="461" t="s">
        <v>502</v>
      </c>
      <c r="P59" s="461" t="s">
        <v>503</v>
      </c>
    </row>
    <row r="60" spans="1:16" x14ac:dyDescent="0.25">
      <c r="A60" s="486"/>
      <c r="B60" s="538">
        <v>5</v>
      </c>
      <c r="C60" s="539"/>
      <c r="D60" s="538">
        <v>15</v>
      </c>
      <c r="E60" s="539"/>
      <c r="F60" s="538">
        <v>25</v>
      </c>
      <c r="G60" s="539"/>
      <c r="H60" s="461"/>
      <c r="I60" s="530"/>
      <c r="J60" s="461"/>
      <c r="K60" s="461"/>
      <c r="L60" s="461"/>
      <c r="M60" s="461"/>
      <c r="N60" s="461"/>
      <c r="O60" s="461"/>
      <c r="P60" s="461"/>
    </row>
    <row r="61" spans="1:16" x14ac:dyDescent="0.25">
      <c r="A61" s="5" t="s">
        <v>1019</v>
      </c>
      <c r="B61" s="536">
        <v>0</v>
      </c>
      <c r="C61" s="537"/>
      <c r="D61" s="536">
        <v>0</v>
      </c>
      <c r="E61" s="537"/>
      <c r="F61" s="536">
        <v>0</v>
      </c>
      <c r="G61" s="537"/>
      <c r="H61" s="42">
        <f t="shared" ref="H61:H69" si="24">AVERAGE(B61:G61)</f>
        <v>0</v>
      </c>
      <c r="I61" s="43">
        <v>0</v>
      </c>
      <c r="J61" s="43">
        <v>0</v>
      </c>
      <c r="K61" s="44">
        <v>0</v>
      </c>
      <c r="L61" s="45">
        <f t="shared" ref="L61:L69" si="25">J61-K61</f>
        <v>0</v>
      </c>
      <c r="M61" s="7">
        <v>0</v>
      </c>
      <c r="N61" s="7">
        <v>0</v>
      </c>
      <c r="O61" s="7">
        <v>0</v>
      </c>
      <c r="P61" s="7">
        <v>0</v>
      </c>
    </row>
    <row r="62" spans="1:16" x14ac:dyDescent="0.25">
      <c r="A62" s="5" t="s">
        <v>1020</v>
      </c>
      <c r="B62" s="536">
        <v>0</v>
      </c>
      <c r="C62" s="537"/>
      <c r="D62" s="536">
        <v>0</v>
      </c>
      <c r="E62" s="537"/>
      <c r="F62" s="536">
        <v>0</v>
      </c>
      <c r="G62" s="537"/>
      <c r="H62" s="42">
        <f t="shared" ref="H62:H64" si="26">AVERAGE(B62:G62)</f>
        <v>0</v>
      </c>
      <c r="I62" s="43">
        <v>0</v>
      </c>
      <c r="J62" s="43">
        <v>0</v>
      </c>
      <c r="K62" s="44">
        <v>0</v>
      </c>
      <c r="L62" s="45">
        <f t="shared" ref="L62:L64" si="27">J62-K62</f>
        <v>0</v>
      </c>
      <c r="M62" s="7">
        <v>0</v>
      </c>
      <c r="N62" s="7">
        <v>0</v>
      </c>
      <c r="O62" s="7">
        <v>0</v>
      </c>
      <c r="P62" s="7">
        <v>0</v>
      </c>
    </row>
    <row r="63" spans="1:16" x14ac:dyDescent="0.25">
      <c r="A63" s="5" t="s">
        <v>1021</v>
      </c>
      <c r="B63" s="536">
        <v>0</v>
      </c>
      <c r="C63" s="537"/>
      <c r="D63" s="536">
        <v>0</v>
      </c>
      <c r="E63" s="537"/>
      <c r="F63" s="536">
        <v>0</v>
      </c>
      <c r="G63" s="537"/>
      <c r="H63" s="42">
        <f t="shared" si="26"/>
        <v>0</v>
      </c>
      <c r="I63" s="43">
        <v>0</v>
      </c>
      <c r="J63" s="43">
        <v>0</v>
      </c>
      <c r="K63" s="44">
        <v>0</v>
      </c>
      <c r="L63" s="45">
        <f t="shared" si="27"/>
        <v>0</v>
      </c>
      <c r="M63" s="7">
        <v>0</v>
      </c>
      <c r="N63" s="7">
        <v>0</v>
      </c>
      <c r="O63" s="7">
        <v>0</v>
      </c>
      <c r="P63" s="7">
        <v>0</v>
      </c>
    </row>
    <row r="64" spans="1:16" x14ac:dyDescent="0.25">
      <c r="A64" s="5" t="s">
        <v>1022</v>
      </c>
      <c r="B64" s="536">
        <v>0</v>
      </c>
      <c r="C64" s="537"/>
      <c r="D64" s="536">
        <v>0</v>
      </c>
      <c r="E64" s="537"/>
      <c r="F64" s="536">
        <v>0</v>
      </c>
      <c r="G64" s="537"/>
      <c r="H64" s="42">
        <f t="shared" si="26"/>
        <v>0</v>
      </c>
      <c r="I64" s="43">
        <v>0</v>
      </c>
      <c r="J64" s="43">
        <v>0</v>
      </c>
      <c r="K64" s="44">
        <v>0</v>
      </c>
      <c r="L64" s="45">
        <f t="shared" si="27"/>
        <v>0</v>
      </c>
      <c r="M64" s="7">
        <v>0</v>
      </c>
      <c r="N64" s="7">
        <v>0</v>
      </c>
      <c r="O64" s="7">
        <v>0</v>
      </c>
      <c r="P64" s="7">
        <v>0</v>
      </c>
    </row>
    <row r="65" spans="1:16" x14ac:dyDescent="0.25">
      <c r="A65" s="5" t="s">
        <v>1023</v>
      </c>
      <c r="B65" s="536">
        <v>0</v>
      </c>
      <c r="C65" s="537"/>
      <c r="D65" s="536">
        <v>0</v>
      </c>
      <c r="E65" s="537"/>
      <c r="F65" s="536">
        <v>0</v>
      </c>
      <c r="G65" s="537"/>
      <c r="H65" s="42">
        <f t="shared" si="24"/>
        <v>0</v>
      </c>
      <c r="I65" s="43">
        <v>0</v>
      </c>
      <c r="J65" s="43">
        <v>0</v>
      </c>
      <c r="K65" s="44">
        <v>0</v>
      </c>
      <c r="L65" s="45">
        <f t="shared" si="25"/>
        <v>0</v>
      </c>
      <c r="M65" s="7">
        <v>0</v>
      </c>
      <c r="N65" s="7">
        <v>0</v>
      </c>
      <c r="O65" s="7">
        <v>0</v>
      </c>
      <c r="P65" s="7">
        <v>0</v>
      </c>
    </row>
    <row r="66" spans="1:16" x14ac:dyDescent="0.25">
      <c r="A66" s="5" t="s">
        <v>1024</v>
      </c>
      <c r="B66" s="536">
        <v>0</v>
      </c>
      <c r="C66" s="537"/>
      <c r="D66" s="536">
        <v>0</v>
      </c>
      <c r="E66" s="537"/>
      <c r="F66" s="536">
        <v>0</v>
      </c>
      <c r="G66" s="537"/>
      <c r="H66" s="42">
        <f t="shared" si="24"/>
        <v>0</v>
      </c>
      <c r="I66" s="43">
        <v>0</v>
      </c>
      <c r="J66" s="43">
        <v>0</v>
      </c>
      <c r="K66" s="44">
        <v>0</v>
      </c>
      <c r="L66" s="45">
        <f t="shared" si="25"/>
        <v>0</v>
      </c>
      <c r="M66" s="7">
        <v>0</v>
      </c>
      <c r="N66" s="7">
        <v>0</v>
      </c>
      <c r="O66" s="7">
        <v>0</v>
      </c>
      <c r="P66" s="7">
        <v>0</v>
      </c>
    </row>
    <row r="67" spans="1:16" x14ac:dyDescent="0.25">
      <c r="A67" s="5" t="s">
        <v>1025</v>
      </c>
      <c r="B67" s="536">
        <v>0</v>
      </c>
      <c r="C67" s="537"/>
      <c r="D67" s="536">
        <v>0</v>
      </c>
      <c r="E67" s="537"/>
      <c r="F67" s="536">
        <v>0</v>
      </c>
      <c r="G67" s="537"/>
      <c r="H67" s="42">
        <f t="shared" si="24"/>
        <v>0</v>
      </c>
      <c r="I67" s="43">
        <v>0</v>
      </c>
      <c r="J67" s="43">
        <v>0</v>
      </c>
      <c r="K67" s="44">
        <v>0</v>
      </c>
      <c r="L67" s="45">
        <f t="shared" si="25"/>
        <v>0</v>
      </c>
      <c r="M67" s="7">
        <v>0</v>
      </c>
      <c r="N67" s="7">
        <v>0</v>
      </c>
      <c r="O67" s="7">
        <v>0</v>
      </c>
      <c r="P67" s="7">
        <v>0</v>
      </c>
    </row>
    <row r="68" spans="1:16" x14ac:dyDescent="0.25">
      <c r="A68" s="5" t="s">
        <v>1026</v>
      </c>
      <c r="B68" s="536">
        <v>0</v>
      </c>
      <c r="C68" s="537"/>
      <c r="D68" s="536">
        <v>0</v>
      </c>
      <c r="E68" s="537"/>
      <c r="F68" s="536">
        <v>0</v>
      </c>
      <c r="G68" s="537"/>
      <c r="H68" s="42">
        <f t="shared" si="24"/>
        <v>0</v>
      </c>
      <c r="I68" s="43">
        <v>0</v>
      </c>
      <c r="J68" s="43">
        <v>0</v>
      </c>
      <c r="K68" s="44">
        <v>0</v>
      </c>
      <c r="L68" s="45">
        <f t="shared" si="25"/>
        <v>0</v>
      </c>
      <c r="M68" s="7">
        <v>0</v>
      </c>
      <c r="N68" s="7">
        <v>0</v>
      </c>
      <c r="O68" s="7">
        <v>0</v>
      </c>
      <c r="P68" s="7">
        <v>0</v>
      </c>
    </row>
    <row r="69" spans="1:16" ht="15" customHeight="1" x14ac:dyDescent="0.25">
      <c r="A69" s="5" t="s">
        <v>1027</v>
      </c>
      <c r="B69" s="536">
        <v>0</v>
      </c>
      <c r="C69" s="537"/>
      <c r="D69" s="536">
        <v>0</v>
      </c>
      <c r="E69" s="537"/>
      <c r="F69" s="536">
        <v>0</v>
      </c>
      <c r="G69" s="537"/>
      <c r="H69" s="42">
        <f t="shared" si="24"/>
        <v>0</v>
      </c>
      <c r="I69" s="43">
        <v>0</v>
      </c>
      <c r="J69" s="43">
        <v>0</v>
      </c>
      <c r="K69" s="44">
        <v>0</v>
      </c>
      <c r="L69" s="45">
        <f t="shared" si="25"/>
        <v>0</v>
      </c>
      <c r="M69" s="7">
        <v>0</v>
      </c>
      <c r="N69" s="7">
        <v>0</v>
      </c>
      <c r="O69" s="7">
        <v>0</v>
      </c>
      <c r="P69" s="7">
        <v>0</v>
      </c>
    </row>
    <row r="70" spans="1:16" ht="15" customHeight="1" x14ac:dyDescent="0.25">
      <c r="A70" s="40" t="s">
        <v>507</v>
      </c>
      <c r="B70" s="534">
        <f>SUM(B61:B69)</f>
        <v>0</v>
      </c>
      <c r="C70" s="535"/>
      <c r="D70" s="534">
        <f>SUM(D61:D69)</f>
        <v>0</v>
      </c>
      <c r="E70" s="535"/>
      <c r="F70" s="534">
        <f>SUM(F61:F69)</f>
        <v>0</v>
      </c>
      <c r="G70" s="535"/>
      <c r="H70" s="42">
        <f t="shared" ref="H70:P70" si="28">SUM(H61:H69)</f>
        <v>0</v>
      </c>
      <c r="I70" s="42">
        <f t="shared" si="28"/>
        <v>0</v>
      </c>
      <c r="J70" s="42">
        <f t="shared" si="28"/>
        <v>0</v>
      </c>
      <c r="K70" s="42">
        <f t="shared" si="28"/>
        <v>0</v>
      </c>
      <c r="L70" s="42">
        <f t="shared" si="28"/>
        <v>0</v>
      </c>
      <c r="M70" s="10">
        <f t="shared" si="28"/>
        <v>0</v>
      </c>
      <c r="N70" s="10">
        <f t="shared" si="28"/>
        <v>0</v>
      </c>
      <c r="O70" s="8">
        <f t="shared" si="28"/>
        <v>0</v>
      </c>
      <c r="P70" s="8">
        <f t="shared" si="28"/>
        <v>0</v>
      </c>
    </row>
    <row r="71" spans="1:16" x14ac:dyDescent="0.25">
      <c r="A71" s="40" t="s">
        <v>496</v>
      </c>
      <c r="B71" s="534">
        <f>AVERAGE(B61:B69)</f>
        <v>0</v>
      </c>
      <c r="C71" s="535"/>
      <c r="D71" s="534">
        <f>AVERAGE(D61:D69)</f>
        <v>0</v>
      </c>
      <c r="E71" s="535"/>
      <c r="F71" s="534">
        <f>AVERAGE(F61:F69)</f>
        <v>0</v>
      </c>
      <c r="G71" s="535"/>
      <c r="H71" s="42">
        <f t="shared" ref="H71:N71" si="29">AVERAGE(H61:H69)</f>
        <v>0</v>
      </c>
      <c r="I71" s="42">
        <f t="shared" si="29"/>
        <v>0</v>
      </c>
      <c r="J71" s="42">
        <f t="shared" si="29"/>
        <v>0</v>
      </c>
      <c r="K71" s="42">
        <f t="shared" si="29"/>
        <v>0</v>
      </c>
      <c r="L71" s="42">
        <f t="shared" si="29"/>
        <v>0</v>
      </c>
      <c r="M71" s="10">
        <f t="shared" si="29"/>
        <v>0</v>
      </c>
      <c r="N71" s="10">
        <f t="shared" si="29"/>
        <v>0</v>
      </c>
      <c r="O71" s="52" t="e">
        <f>N70/O70</f>
        <v>#DIV/0!</v>
      </c>
      <c r="P71" s="52" t="e">
        <f>M70/P70</f>
        <v>#DIV/0!</v>
      </c>
    </row>
    <row r="72" spans="1:16" ht="38.25" x14ac:dyDescent="0.25">
      <c r="A72" s="40" t="s">
        <v>508</v>
      </c>
      <c r="B72" s="534">
        <f>B71+I71</f>
        <v>0</v>
      </c>
      <c r="C72" s="535"/>
      <c r="D72" s="534">
        <f>D71+I71</f>
        <v>0</v>
      </c>
      <c r="E72" s="535"/>
      <c r="F72" s="534">
        <f>F71+I71</f>
        <v>0</v>
      </c>
      <c r="G72" s="535"/>
      <c r="H72" s="42">
        <f>H71+I71</f>
        <v>0</v>
      </c>
      <c r="I72" s="462"/>
      <c r="J72" s="463"/>
      <c r="K72" s="463"/>
      <c r="L72" s="463"/>
      <c r="M72" s="463"/>
      <c r="N72" s="464"/>
      <c r="O72" s="6" t="s">
        <v>509</v>
      </c>
      <c r="P72" s="6" t="s">
        <v>510</v>
      </c>
    </row>
    <row r="73" spans="1:16" ht="18.75" x14ac:dyDescent="0.25">
      <c r="A73" s="466" t="s">
        <v>514</v>
      </c>
      <c r="B73" s="466"/>
      <c r="C73" s="466"/>
      <c r="D73" s="466"/>
      <c r="E73" s="466"/>
      <c r="F73" s="466"/>
      <c r="G73" s="466"/>
      <c r="H73" s="466"/>
      <c r="I73" s="466"/>
      <c r="J73" s="466"/>
      <c r="K73" s="466"/>
      <c r="L73" s="466"/>
      <c r="M73" s="466"/>
      <c r="N73" s="466"/>
      <c r="O73" s="466"/>
      <c r="P73" s="466"/>
    </row>
    <row r="74" spans="1:16" ht="25.5" x14ac:dyDescent="0.25">
      <c r="A74" s="467" t="s">
        <v>694</v>
      </c>
      <c r="B74" s="468"/>
      <c r="C74" s="469"/>
      <c r="D74" s="470"/>
      <c r="E74" s="471"/>
      <c r="F74" s="472"/>
      <c r="G74" s="4" t="s">
        <v>693</v>
      </c>
      <c r="H74" s="66" t="s">
        <v>852</v>
      </c>
      <c r="I74" s="47" t="s">
        <v>695</v>
      </c>
      <c r="J74" s="470" t="s">
        <v>852</v>
      </c>
      <c r="K74" s="471"/>
      <c r="L74" s="472"/>
      <c r="M74" s="46" t="s">
        <v>492</v>
      </c>
      <c r="N74" s="458"/>
      <c r="O74" s="459"/>
      <c r="P74" s="460"/>
    </row>
    <row r="75" spans="1:16" x14ac:dyDescent="0.25">
      <c r="A75" s="486" t="s">
        <v>494</v>
      </c>
      <c r="B75" s="486" t="s">
        <v>495</v>
      </c>
      <c r="C75" s="486"/>
      <c r="D75" s="486"/>
      <c r="E75" s="486"/>
      <c r="F75" s="486"/>
      <c r="G75" s="486"/>
      <c r="H75" s="461" t="s">
        <v>496</v>
      </c>
      <c r="I75" s="529" t="s">
        <v>685</v>
      </c>
      <c r="J75" s="461" t="s">
        <v>497</v>
      </c>
      <c r="K75" s="461" t="s">
        <v>498</v>
      </c>
      <c r="L75" s="461" t="s">
        <v>499</v>
      </c>
      <c r="M75" s="461" t="s">
        <v>500</v>
      </c>
      <c r="N75" s="461" t="s">
        <v>501</v>
      </c>
      <c r="O75" s="461" t="s">
        <v>502</v>
      </c>
      <c r="P75" s="461" t="s">
        <v>503</v>
      </c>
    </row>
    <row r="76" spans="1:16" x14ac:dyDescent="0.25">
      <c r="A76" s="486"/>
      <c r="B76" s="538">
        <v>5</v>
      </c>
      <c r="C76" s="539"/>
      <c r="D76" s="538">
        <v>15</v>
      </c>
      <c r="E76" s="539"/>
      <c r="F76" s="538">
        <v>25</v>
      </c>
      <c r="G76" s="539"/>
      <c r="H76" s="461"/>
      <c r="I76" s="530"/>
      <c r="J76" s="461"/>
      <c r="K76" s="461"/>
      <c r="L76" s="461"/>
      <c r="M76" s="461"/>
      <c r="N76" s="461"/>
      <c r="O76" s="461"/>
      <c r="P76" s="461"/>
    </row>
    <row r="77" spans="1:16" x14ac:dyDescent="0.25">
      <c r="A77" s="5" t="s">
        <v>515</v>
      </c>
      <c r="B77" s="536">
        <v>0</v>
      </c>
      <c r="C77" s="537"/>
      <c r="D77" s="536">
        <v>0</v>
      </c>
      <c r="E77" s="537"/>
      <c r="F77" s="536">
        <v>0</v>
      </c>
      <c r="G77" s="537"/>
      <c r="H77" s="42">
        <f t="shared" ref="H77:H85" si="30">AVERAGE(B77:G77)</f>
        <v>0</v>
      </c>
      <c r="I77" s="43">
        <v>0</v>
      </c>
      <c r="J77" s="43">
        <v>0</v>
      </c>
      <c r="K77" s="44">
        <v>0</v>
      </c>
      <c r="L77" s="45">
        <f t="shared" ref="L77:L85" si="31">J77-K77</f>
        <v>0</v>
      </c>
      <c r="M77" s="7">
        <v>0</v>
      </c>
      <c r="N77" s="7">
        <v>0</v>
      </c>
      <c r="O77" s="7">
        <v>0</v>
      </c>
      <c r="P77" s="7">
        <v>0</v>
      </c>
    </row>
    <row r="78" spans="1:16" x14ac:dyDescent="0.25">
      <c r="A78" s="5" t="s">
        <v>516</v>
      </c>
      <c r="B78" s="536">
        <v>0</v>
      </c>
      <c r="C78" s="537"/>
      <c r="D78" s="536">
        <v>0</v>
      </c>
      <c r="E78" s="537"/>
      <c r="F78" s="536">
        <v>0</v>
      </c>
      <c r="G78" s="537"/>
      <c r="H78" s="42">
        <f t="shared" ref="H78:H80" si="32">AVERAGE(B78:G78)</f>
        <v>0</v>
      </c>
      <c r="I78" s="43">
        <v>0</v>
      </c>
      <c r="J78" s="43">
        <v>0</v>
      </c>
      <c r="K78" s="44">
        <v>0</v>
      </c>
      <c r="L78" s="45">
        <f t="shared" ref="L78:L80" si="33">J78-K78</f>
        <v>0</v>
      </c>
      <c r="M78" s="7">
        <v>0</v>
      </c>
      <c r="N78" s="7">
        <v>0</v>
      </c>
      <c r="O78" s="7">
        <v>0</v>
      </c>
      <c r="P78" s="7">
        <v>0</v>
      </c>
    </row>
    <row r="79" spans="1:16" x14ac:dyDescent="0.25">
      <c r="A79" s="5" t="s">
        <v>517</v>
      </c>
      <c r="B79" s="536">
        <v>0</v>
      </c>
      <c r="C79" s="537"/>
      <c r="D79" s="536">
        <v>0</v>
      </c>
      <c r="E79" s="537"/>
      <c r="F79" s="536">
        <v>0</v>
      </c>
      <c r="G79" s="537"/>
      <c r="H79" s="42">
        <f t="shared" si="32"/>
        <v>0</v>
      </c>
      <c r="I79" s="43">
        <v>0</v>
      </c>
      <c r="J79" s="43">
        <v>0</v>
      </c>
      <c r="K79" s="44">
        <v>0</v>
      </c>
      <c r="L79" s="45">
        <f t="shared" si="33"/>
        <v>0</v>
      </c>
      <c r="M79" s="7">
        <v>0</v>
      </c>
      <c r="N79" s="7">
        <v>0</v>
      </c>
      <c r="O79" s="7">
        <v>0</v>
      </c>
      <c r="P79" s="7">
        <v>0</v>
      </c>
    </row>
    <row r="80" spans="1:16" x14ac:dyDescent="0.25">
      <c r="A80" s="5" t="s">
        <v>504</v>
      </c>
      <c r="B80" s="536">
        <v>0</v>
      </c>
      <c r="C80" s="537"/>
      <c r="D80" s="536">
        <v>0</v>
      </c>
      <c r="E80" s="537"/>
      <c r="F80" s="536">
        <v>0</v>
      </c>
      <c r="G80" s="537"/>
      <c r="H80" s="42">
        <f t="shared" si="32"/>
        <v>0</v>
      </c>
      <c r="I80" s="43">
        <v>0</v>
      </c>
      <c r="J80" s="43">
        <v>0</v>
      </c>
      <c r="K80" s="44">
        <v>0</v>
      </c>
      <c r="L80" s="45">
        <f t="shared" si="33"/>
        <v>0</v>
      </c>
      <c r="M80" s="7">
        <v>0</v>
      </c>
      <c r="N80" s="7">
        <v>0</v>
      </c>
      <c r="O80" s="7">
        <v>0</v>
      </c>
      <c r="P80" s="7">
        <v>0</v>
      </c>
    </row>
    <row r="81" spans="1:16" x14ac:dyDescent="0.25">
      <c r="A81" s="5" t="s">
        <v>505</v>
      </c>
      <c r="B81" s="536">
        <v>0</v>
      </c>
      <c r="C81" s="537"/>
      <c r="D81" s="536">
        <v>0</v>
      </c>
      <c r="E81" s="537"/>
      <c r="F81" s="536">
        <v>0</v>
      </c>
      <c r="G81" s="537"/>
      <c r="H81" s="42">
        <f t="shared" si="30"/>
        <v>0</v>
      </c>
      <c r="I81" s="43">
        <v>0</v>
      </c>
      <c r="J81" s="43">
        <v>0</v>
      </c>
      <c r="K81" s="44">
        <v>0</v>
      </c>
      <c r="L81" s="45">
        <f t="shared" si="31"/>
        <v>0</v>
      </c>
      <c r="M81" s="7">
        <v>0</v>
      </c>
      <c r="N81" s="7">
        <v>0</v>
      </c>
      <c r="O81" s="7">
        <v>0</v>
      </c>
      <c r="P81" s="7">
        <v>0</v>
      </c>
    </row>
    <row r="82" spans="1:16" ht="15" customHeight="1" x14ac:dyDescent="0.25">
      <c r="A82" s="5" t="s">
        <v>506</v>
      </c>
      <c r="B82" s="536">
        <v>0</v>
      </c>
      <c r="C82" s="537"/>
      <c r="D82" s="536">
        <v>0</v>
      </c>
      <c r="E82" s="537"/>
      <c r="F82" s="536">
        <v>0</v>
      </c>
      <c r="G82" s="537"/>
      <c r="H82" s="42">
        <f t="shared" si="30"/>
        <v>0</v>
      </c>
      <c r="I82" s="43">
        <v>0</v>
      </c>
      <c r="J82" s="43">
        <v>0</v>
      </c>
      <c r="K82" s="44">
        <v>0</v>
      </c>
      <c r="L82" s="45">
        <f t="shared" si="31"/>
        <v>0</v>
      </c>
      <c r="M82" s="7">
        <v>0</v>
      </c>
      <c r="N82" s="7">
        <v>0</v>
      </c>
      <c r="O82" s="7">
        <v>0</v>
      </c>
      <c r="P82" s="7">
        <v>0</v>
      </c>
    </row>
    <row r="83" spans="1:16" ht="15" customHeight="1" x14ac:dyDescent="0.25">
      <c r="A83" s="5" t="s">
        <v>546</v>
      </c>
      <c r="B83" s="536">
        <v>0</v>
      </c>
      <c r="C83" s="537"/>
      <c r="D83" s="536">
        <v>0</v>
      </c>
      <c r="E83" s="537"/>
      <c r="F83" s="536">
        <v>0</v>
      </c>
      <c r="G83" s="537"/>
      <c r="H83" s="42">
        <f t="shared" si="30"/>
        <v>0</v>
      </c>
      <c r="I83" s="43">
        <v>0</v>
      </c>
      <c r="J83" s="43">
        <v>0</v>
      </c>
      <c r="K83" s="44">
        <v>0</v>
      </c>
      <c r="L83" s="45">
        <f t="shared" si="31"/>
        <v>0</v>
      </c>
      <c r="M83" s="7">
        <v>0</v>
      </c>
      <c r="N83" s="7">
        <v>0</v>
      </c>
      <c r="O83" s="7">
        <v>0</v>
      </c>
      <c r="P83" s="7">
        <v>0</v>
      </c>
    </row>
    <row r="84" spans="1:16" x14ac:dyDescent="0.25">
      <c r="A84" s="5" t="s">
        <v>548</v>
      </c>
      <c r="B84" s="536">
        <v>0</v>
      </c>
      <c r="C84" s="537"/>
      <c r="D84" s="536">
        <v>0</v>
      </c>
      <c r="E84" s="537"/>
      <c r="F84" s="536">
        <v>0</v>
      </c>
      <c r="G84" s="537"/>
      <c r="H84" s="42">
        <f t="shared" si="30"/>
        <v>0</v>
      </c>
      <c r="I84" s="43">
        <v>0</v>
      </c>
      <c r="J84" s="43">
        <v>0</v>
      </c>
      <c r="K84" s="44">
        <v>0</v>
      </c>
      <c r="L84" s="45">
        <f t="shared" si="31"/>
        <v>0</v>
      </c>
      <c r="M84" s="7">
        <v>0</v>
      </c>
      <c r="N84" s="7">
        <v>0</v>
      </c>
      <c r="O84" s="7">
        <v>0</v>
      </c>
      <c r="P84" s="7">
        <v>0</v>
      </c>
    </row>
    <row r="85" spans="1:16" x14ac:dyDescent="0.25">
      <c r="A85" s="5" t="s">
        <v>550</v>
      </c>
      <c r="B85" s="536">
        <v>0</v>
      </c>
      <c r="C85" s="537"/>
      <c r="D85" s="536">
        <v>0</v>
      </c>
      <c r="E85" s="537"/>
      <c r="F85" s="536">
        <v>0</v>
      </c>
      <c r="G85" s="537"/>
      <c r="H85" s="42">
        <f t="shared" si="30"/>
        <v>0</v>
      </c>
      <c r="I85" s="43">
        <v>0</v>
      </c>
      <c r="J85" s="43">
        <v>0</v>
      </c>
      <c r="K85" s="44">
        <v>0</v>
      </c>
      <c r="L85" s="45">
        <f t="shared" si="31"/>
        <v>0</v>
      </c>
      <c r="M85" s="7">
        <v>0</v>
      </c>
      <c r="N85" s="7">
        <v>0</v>
      </c>
      <c r="O85" s="7">
        <v>0</v>
      </c>
      <c r="P85" s="7">
        <v>0</v>
      </c>
    </row>
    <row r="86" spans="1:16" x14ac:dyDescent="0.25">
      <c r="A86" s="40" t="s">
        <v>507</v>
      </c>
      <c r="B86" s="534">
        <f>SUM(B77:B85)</f>
        <v>0</v>
      </c>
      <c r="C86" s="535"/>
      <c r="D86" s="534">
        <f>SUM(D77:D85)</f>
        <v>0</v>
      </c>
      <c r="E86" s="535"/>
      <c r="F86" s="534">
        <f>SUM(F77:F85)</f>
        <v>0</v>
      </c>
      <c r="G86" s="535"/>
      <c r="H86" s="42">
        <f t="shared" ref="H86:P86" si="34">SUM(H77:H85)</f>
        <v>0</v>
      </c>
      <c r="I86" s="42">
        <f t="shared" si="34"/>
        <v>0</v>
      </c>
      <c r="J86" s="42">
        <f t="shared" si="34"/>
        <v>0</v>
      </c>
      <c r="K86" s="42">
        <f t="shared" si="34"/>
        <v>0</v>
      </c>
      <c r="L86" s="42">
        <f t="shared" si="34"/>
        <v>0</v>
      </c>
      <c r="M86" s="10">
        <f t="shared" si="34"/>
        <v>0</v>
      </c>
      <c r="N86" s="10">
        <f t="shared" si="34"/>
        <v>0</v>
      </c>
      <c r="O86" s="8">
        <f t="shared" si="34"/>
        <v>0</v>
      </c>
      <c r="P86" s="8">
        <f t="shared" si="34"/>
        <v>0</v>
      </c>
    </row>
    <row r="87" spans="1:16" x14ac:dyDescent="0.25">
      <c r="A87" s="40" t="s">
        <v>496</v>
      </c>
      <c r="B87" s="534">
        <f>AVERAGE(B77:B85)</f>
        <v>0</v>
      </c>
      <c r="C87" s="535"/>
      <c r="D87" s="534">
        <f>AVERAGE(D77:D85)</f>
        <v>0</v>
      </c>
      <c r="E87" s="535"/>
      <c r="F87" s="534">
        <f>AVERAGE(F77:F85)</f>
        <v>0</v>
      </c>
      <c r="G87" s="535"/>
      <c r="H87" s="42">
        <f t="shared" ref="H87:N87" si="35">AVERAGE(H77:H85)</f>
        <v>0</v>
      </c>
      <c r="I87" s="42">
        <f t="shared" si="35"/>
        <v>0</v>
      </c>
      <c r="J87" s="42">
        <f t="shared" si="35"/>
        <v>0</v>
      </c>
      <c r="K87" s="42">
        <f t="shared" si="35"/>
        <v>0</v>
      </c>
      <c r="L87" s="42">
        <f t="shared" si="35"/>
        <v>0</v>
      </c>
      <c r="M87" s="10">
        <f t="shared" si="35"/>
        <v>0</v>
      </c>
      <c r="N87" s="10">
        <f t="shared" si="35"/>
        <v>0</v>
      </c>
      <c r="O87" s="52" t="e">
        <f>N86/O86</f>
        <v>#DIV/0!</v>
      </c>
      <c r="P87" s="52" t="e">
        <f>M86/P86</f>
        <v>#DIV/0!</v>
      </c>
    </row>
    <row r="88" spans="1:16" ht="38.25" x14ac:dyDescent="0.25">
      <c r="A88" s="40" t="s">
        <v>508</v>
      </c>
      <c r="B88" s="534">
        <f>B87+I87</f>
        <v>0</v>
      </c>
      <c r="C88" s="535"/>
      <c r="D88" s="534">
        <f>D87+I87</f>
        <v>0</v>
      </c>
      <c r="E88" s="535"/>
      <c r="F88" s="534">
        <f>F87+I87</f>
        <v>0</v>
      </c>
      <c r="G88" s="535"/>
      <c r="H88" s="42">
        <f>H87+I87</f>
        <v>0</v>
      </c>
      <c r="I88" s="462"/>
      <c r="J88" s="463"/>
      <c r="K88" s="463"/>
      <c r="L88" s="463"/>
      <c r="M88" s="463"/>
      <c r="N88" s="464"/>
      <c r="O88" s="6" t="s">
        <v>509</v>
      </c>
      <c r="P88" s="6" t="s">
        <v>510</v>
      </c>
    </row>
    <row r="89" spans="1:16" ht="18.75" x14ac:dyDescent="0.25">
      <c r="A89" s="466" t="s">
        <v>751</v>
      </c>
      <c r="B89" s="466"/>
      <c r="C89" s="466"/>
      <c r="D89" s="466"/>
      <c r="E89" s="466"/>
      <c r="F89" s="466"/>
      <c r="G89" s="466"/>
      <c r="H89" s="466"/>
      <c r="I89" s="466"/>
      <c r="J89" s="466"/>
      <c r="K89" s="466"/>
      <c r="L89" s="466"/>
      <c r="M89" s="466"/>
      <c r="N89" s="466"/>
      <c r="O89" s="466"/>
      <c r="P89" s="466"/>
    </row>
    <row r="90" spans="1:16" ht="25.5" x14ac:dyDescent="0.25">
      <c r="A90" s="467" t="s">
        <v>694</v>
      </c>
      <c r="B90" s="468"/>
      <c r="C90" s="469"/>
      <c r="D90" s="470"/>
      <c r="E90" s="471"/>
      <c r="F90" s="472"/>
      <c r="G90" s="4" t="s">
        <v>693</v>
      </c>
      <c r="H90" s="66" t="s">
        <v>852</v>
      </c>
      <c r="I90" s="51" t="s">
        <v>695</v>
      </c>
      <c r="J90" s="470" t="s">
        <v>852</v>
      </c>
      <c r="K90" s="471"/>
      <c r="L90" s="472"/>
      <c r="M90" s="51" t="s">
        <v>492</v>
      </c>
      <c r="N90" s="458"/>
      <c r="O90" s="459"/>
      <c r="P90" s="460"/>
    </row>
    <row r="91" spans="1:16" x14ac:dyDescent="0.25">
      <c r="A91" s="486" t="s">
        <v>494</v>
      </c>
      <c r="B91" s="486" t="s">
        <v>495</v>
      </c>
      <c r="C91" s="486"/>
      <c r="D91" s="486"/>
      <c r="E91" s="486"/>
      <c r="F91" s="486"/>
      <c r="G91" s="486"/>
      <c r="H91" s="461" t="s">
        <v>496</v>
      </c>
      <c r="I91" s="529" t="s">
        <v>685</v>
      </c>
      <c r="J91" s="461" t="s">
        <v>497</v>
      </c>
      <c r="K91" s="461" t="s">
        <v>498</v>
      </c>
      <c r="L91" s="461" t="s">
        <v>499</v>
      </c>
      <c r="M91" s="461" t="s">
        <v>500</v>
      </c>
      <c r="N91" s="461" t="s">
        <v>501</v>
      </c>
      <c r="O91" s="461" t="s">
        <v>502</v>
      </c>
      <c r="P91" s="461" t="s">
        <v>503</v>
      </c>
    </row>
    <row r="92" spans="1:16" x14ac:dyDescent="0.25">
      <c r="A92" s="486"/>
      <c r="B92" s="538">
        <v>5</v>
      </c>
      <c r="C92" s="539"/>
      <c r="D92" s="538">
        <v>15</v>
      </c>
      <c r="E92" s="539"/>
      <c r="F92" s="538">
        <v>25</v>
      </c>
      <c r="G92" s="539"/>
      <c r="H92" s="461"/>
      <c r="I92" s="530"/>
      <c r="J92" s="461"/>
      <c r="K92" s="461"/>
      <c r="L92" s="461"/>
      <c r="M92" s="461"/>
      <c r="N92" s="461"/>
      <c r="O92" s="461"/>
      <c r="P92" s="461"/>
    </row>
    <row r="93" spans="1:16" x14ac:dyDescent="0.25">
      <c r="A93" s="5" t="s">
        <v>515</v>
      </c>
      <c r="B93" s="536">
        <v>0</v>
      </c>
      <c r="C93" s="537"/>
      <c r="D93" s="536">
        <v>0</v>
      </c>
      <c r="E93" s="537"/>
      <c r="F93" s="536">
        <v>0</v>
      </c>
      <c r="G93" s="537"/>
      <c r="H93" s="42">
        <f t="shared" ref="H93:H101" si="36">AVERAGE(B93:G93)</f>
        <v>0</v>
      </c>
      <c r="I93" s="43">
        <v>0</v>
      </c>
      <c r="J93" s="43">
        <v>0</v>
      </c>
      <c r="K93" s="44">
        <v>0</v>
      </c>
      <c r="L93" s="45">
        <f t="shared" ref="L93:L101" si="37">J93-K93</f>
        <v>0</v>
      </c>
      <c r="M93" s="7">
        <v>0</v>
      </c>
      <c r="N93" s="7">
        <v>0</v>
      </c>
      <c r="O93" s="7">
        <v>0</v>
      </c>
      <c r="P93" s="7">
        <v>0</v>
      </c>
    </row>
    <row r="94" spans="1:16" x14ac:dyDescent="0.25">
      <c r="A94" s="5" t="s">
        <v>516</v>
      </c>
      <c r="B94" s="536">
        <v>0</v>
      </c>
      <c r="C94" s="537"/>
      <c r="D94" s="536">
        <v>0</v>
      </c>
      <c r="E94" s="537"/>
      <c r="F94" s="536">
        <v>0</v>
      </c>
      <c r="G94" s="537"/>
      <c r="H94" s="42">
        <f t="shared" ref="H94:H96" si="38">AVERAGE(B94:G94)</f>
        <v>0</v>
      </c>
      <c r="I94" s="43">
        <v>0</v>
      </c>
      <c r="J94" s="43">
        <v>0</v>
      </c>
      <c r="K94" s="44">
        <v>0</v>
      </c>
      <c r="L94" s="45">
        <f t="shared" ref="L94:L96" si="39">J94-K94</f>
        <v>0</v>
      </c>
      <c r="M94" s="7">
        <v>0</v>
      </c>
      <c r="N94" s="7">
        <v>0</v>
      </c>
      <c r="O94" s="7">
        <v>0</v>
      </c>
      <c r="P94" s="7">
        <v>0</v>
      </c>
    </row>
    <row r="95" spans="1:16" ht="15" customHeight="1" x14ac:dyDescent="0.25">
      <c r="A95" s="5" t="s">
        <v>517</v>
      </c>
      <c r="B95" s="536">
        <v>0</v>
      </c>
      <c r="C95" s="537"/>
      <c r="D95" s="536">
        <v>0</v>
      </c>
      <c r="E95" s="537"/>
      <c r="F95" s="536">
        <v>0</v>
      </c>
      <c r="G95" s="537"/>
      <c r="H95" s="42">
        <f t="shared" si="38"/>
        <v>0</v>
      </c>
      <c r="I95" s="43">
        <v>0</v>
      </c>
      <c r="J95" s="43">
        <v>0</v>
      </c>
      <c r="K95" s="44">
        <v>0</v>
      </c>
      <c r="L95" s="45">
        <f t="shared" si="39"/>
        <v>0</v>
      </c>
      <c r="M95" s="7">
        <v>0</v>
      </c>
      <c r="N95" s="7">
        <v>0</v>
      </c>
      <c r="O95" s="7">
        <v>0</v>
      </c>
      <c r="P95" s="7">
        <v>0</v>
      </c>
    </row>
    <row r="96" spans="1:16" ht="15" customHeight="1" x14ac:dyDescent="0.25">
      <c r="A96" s="5" t="s">
        <v>504</v>
      </c>
      <c r="B96" s="536">
        <v>0</v>
      </c>
      <c r="C96" s="537"/>
      <c r="D96" s="536">
        <v>0</v>
      </c>
      <c r="E96" s="537"/>
      <c r="F96" s="536">
        <v>0</v>
      </c>
      <c r="G96" s="537"/>
      <c r="H96" s="42">
        <f t="shared" si="38"/>
        <v>0</v>
      </c>
      <c r="I96" s="43">
        <v>0</v>
      </c>
      <c r="J96" s="43">
        <v>0</v>
      </c>
      <c r="K96" s="44">
        <v>0</v>
      </c>
      <c r="L96" s="45">
        <f t="shared" si="39"/>
        <v>0</v>
      </c>
      <c r="M96" s="7">
        <v>0</v>
      </c>
      <c r="N96" s="7">
        <v>0</v>
      </c>
      <c r="O96" s="7">
        <v>0</v>
      </c>
      <c r="P96" s="7">
        <v>0</v>
      </c>
    </row>
    <row r="97" spans="1:16" x14ac:dyDescent="0.25">
      <c r="A97" s="5" t="s">
        <v>505</v>
      </c>
      <c r="B97" s="536">
        <v>0</v>
      </c>
      <c r="C97" s="537"/>
      <c r="D97" s="536">
        <v>0</v>
      </c>
      <c r="E97" s="537"/>
      <c r="F97" s="536">
        <v>0</v>
      </c>
      <c r="G97" s="537"/>
      <c r="H97" s="42">
        <f t="shared" si="36"/>
        <v>0</v>
      </c>
      <c r="I97" s="43">
        <v>0</v>
      </c>
      <c r="J97" s="43">
        <v>0</v>
      </c>
      <c r="K97" s="44">
        <v>0</v>
      </c>
      <c r="L97" s="45">
        <f t="shared" si="37"/>
        <v>0</v>
      </c>
      <c r="M97" s="7">
        <v>0</v>
      </c>
      <c r="N97" s="7">
        <v>0</v>
      </c>
      <c r="O97" s="7">
        <v>0</v>
      </c>
      <c r="P97" s="7">
        <v>0</v>
      </c>
    </row>
    <row r="98" spans="1:16" x14ac:dyDescent="0.25">
      <c r="A98" s="5" t="s">
        <v>506</v>
      </c>
      <c r="B98" s="536">
        <v>0</v>
      </c>
      <c r="C98" s="537"/>
      <c r="D98" s="536">
        <v>0</v>
      </c>
      <c r="E98" s="537"/>
      <c r="F98" s="536">
        <v>0</v>
      </c>
      <c r="G98" s="537"/>
      <c r="H98" s="42">
        <f t="shared" si="36"/>
        <v>0</v>
      </c>
      <c r="I98" s="43">
        <v>0</v>
      </c>
      <c r="J98" s="43">
        <v>0</v>
      </c>
      <c r="K98" s="44">
        <v>0</v>
      </c>
      <c r="L98" s="45">
        <f t="shared" si="37"/>
        <v>0</v>
      </c>
      <c r="M98" s="7">
        <v>0</v>
      </c>
      <c r="N98" s="7">
        <v>0</v>
      </c>
      <c r="O98" s="7">
        <v>0</v>
      </c>
      <c r="P98" s="7">
        <v>0</v>
      </c>
    </row>
    <row r="99" spans="1:16" x14ac:dyDescent="0.25">
      <c r="A99" s="5" t="s">
        <v>546</v>
      </c>
      <c r="B99" s="536">
        <v>0</v>
      </c>
      <c r="C99" s="537"/>
      <c r="D99" s="536">
        <v>0</v>
      </c>
      <c r="E99" s="537"/>
      <c r="F99" s="536">
        <v>0</v>
      </c>
      <c r="G99" s="537"/>
      <c r="H99" s="42">
        <f t="shared" si="36"/>
        <v>0</v>
      </c>
      <c r="I99" s="43">
        <v>0</v>
      </c>
      <c r="J99" s="43">
        <v>0</v>
      </c>
      <c r="K99" s="44">
        <v>0</v>
      </c>
      <c r="L99" s="45">
        <f t="shared" si="37"/>
        <v>0</v>
      </c>
      <c r="M99" s="7">
        <v>0</v>
      </c>
      <c r="N99" s="7">
        <v>0</v>
      </c>
      <c r="O99" s="7">
        <v>0</v>
      </c>
      <c r="P99" s="7">
        <v>0</v>
      </c>
    </row>
    <row r="100" spans="1:16" x14ac:dyDescent="0.25">
      <c r="A100" s="5" t="s">
        <v>548</v>
      </c>
      <c r="B100" s="536">
        <v>0</v>
      </c>
      <c r="C100" s="537"/>
      <c r="D100" s="536">
        <v>0</v>
      </c>
      <c r="E100" s="537"/>
      <c r="F100" s="536">
        <v>0</v>
      </c>
      <c r="G100" s="537"/>
      <c r="H100" s="42">
        <f t="shared" si="36"/>
        <v>0</v>
      </c>
      <c r="I100" s="43">
        <v>0</v>
      </c>
      <c r="J100" s="43">
        <v>0</v>
      </c>
      <c r="K100" s="44">
        <v>0</v>
      </c>
      <c r="L100" s="45">
        <f t="shared" si="37"/>
        <v>0</v>
      </c>
      <c r="M100" s="7">
        <v>0</v>
      </c>
      <c r="N100" s="7">
        <v>0</v>
      </c>
      <c r="O100" s="7">
        <v>0</v>
      </c>
      <c r="P100" s="7">
        <v>0</v>
      </c>
    </row>
    <row r="101" spans="1:16" x14ac:dyDescent="0.25">
      <c r="A101" s="5" t="s">
        <v>550</v>
      </c>
      <c r="B101" s="536">
        <v>0</v>
      </c>
      <c r="C101" s="537"/>
      <c r="D101" s="536">
        <v>0</v>
      </c>
      <c r="E101" s="537"/>
      <c r="F101" s="536">
        <v>0</v>
      </c>
      <c r="G101" s="537"/>
      <c r="H101" s="42">
        <f t="shared" si="36"/>
        <v>0</v>
      </c>
      <c r="I101" s="43">
        <v>0</v>
      </c>
      <c r="J101" s="43">
        <v>0</v>
      </c>
      <c r="K101" s="44">
        <v>0</v>
      </c>
      <c r="L101" s="45">
        <f t="shared" si="37"/>
        <v>0</v>
      </c>
      <c r="M101" s="7">
        <v>0</v>
      </c>
      <c r="N101" s="7">
        <v>0</v>
      </c>
      <c r="O101" s="7">
        <v>0</v>
      </c>
      <c r="P101" s="7">
        <v>0</v>
      </c>
    </row>
    <row r="102" spans="1:16" x14ac:dyDescent="0.25">
      <c r="A102" s="50" t="s">
        <v>507</v>
      </c>
      <c r="B102" s="534">
        <f>SUM(B93:B101)</f>
        <v>0</v>
      </c>
      <c r="C102" s="535"/>
      <c r="D102" s="534">
        <f>SUM(D93:D101)</f>
        <v>0</v>
      </c>
      <c r="E102" s="535"/>
      <c r="F102" s="534">
        <f>SUM(F93:F101)</f>
        <v>0</v>
      </c>
      <c r="G102" s="535"/>
      <c r="H102" s="42">
        <f t="shared" ref="H102:P102" si="40">SUM(H93:H101)</f>
        <v>0</v>
      </c>
      <c r="I102" s="42">
        <f t="shared" si="40"/>
        <v>0</v>
      </c>
      <c r="J102" s="42">
        <f t="shared" si="40"/>
        <v>0</v>
      </c>
      <c r="K102" s="42">
        <f t="shared" si="40"/>
        <v>0</v>
      </c>
      <c r="L102" s="42">
        <f t="shared" si="40"/>
        <v>0</v>
      </c>
      <c r="M102" s="10">
        <f t="shared" si="40"/>
        <v>0</v>
      </c>
      <c r="N102" s="10">
        <f t="shared" si="40"/>
        <v>0</v>
      </c>
      <c r="O102" s="8">
        <f t="shared" si="40"/>
        <v>0</v>
      </c>
      <c r="P102" s="8">
        <f t="shared" si="40"/>
        <v>0</v>
      </c>
    </row>
    <row r="103" spans="1:16" x14ac:dyDescent="0.25">
      <c r="A103" s="50" t="s">
        <v>496</v>
      </c>
      <c r="B103" s="534">
        <f>AVERAGE(B93:B101)</f>
        <v>0</v>
      </c>
      <c r="C103" s="535"/>
      <c r="D103" s="534">
        <f>AVERAGE(D93:D101)</f>
        <v>0</v>
      </c>
      <c r="E103" s="535"/>
      <c r="F103" s="534">
        <f>AVERAGE(F93:F101)</f>
        <v>0</v>
      </c>
      <c r="G103" s="535"/>
      <c r="H103" s="42">
        <f t="shared" ref="H103:N103" si="41">AVERAGE(H93:H101)</f>
        <v>0</v>
      </c>
      <c r="I103" s="42">
        <f t="shared" si="41"/>
        <v>0</v>
      </c>
      <c r="J103" s="42">
        <f t="shared" si="41"/>
        <v>0</v>
      </c>
      <c r="K103" s="42">
        <f t="shared" si="41"/>
        <v>0</v>
      </c>
      <c r="L103" s="42">
        <f t="shared" si="41"/>
        <v>0</v>
      </c>
      <c r="M103" s="10">
        <f t="shared" si="41"/>
        <v>0</v>
      </c>
      <c r="N103" s="10">
        <f t="shared" si="41"/>
        <v>0</v>
      </c>
      <c r="O103" s="52" t="e">
        <f>N102/O102</f>
        <v>#DIV/0!</v>
      </c>
      <c r="P103" s="52" t="e">
        <f>M102/P102</f>
        <v>#DIV/0!</v>
      </c>
    </row>
    <row r="104" spans="1:16" ht="38.25" x14ac:dyDescent="0.25">
      <c r="A104" s="50" t="s">
        <v>508</v>
      </c>
      <c r="B104" s="534">
        <f>B103+I103</f>
        <v>0</v>
      </c>
      <c r="C104" s="535"/>
      <c r="D104" s="534">
        <f>D103+I103</f>
        <v>0</v>
      </c>
      <c r="E104" s="535"/>
      <c r="F104" s="534">
        <f>F103+I103</f>
        <v>0</v>
      </c>
      <c r="G104" s="535"/>
      <c r="H104" s="42">
        <f>H103+I103</f>
        <v>0</v>
      </c>
      <c r="I104" s="462"/>
      <c r="J104" s="463"/>
      <c r="K104" s="463"/>
      <c r="L104" s="463"/>
      <c r="M104" s="463"/>
      <c r="N104" s="464"/>
      <c r="O104" s="6" t="s">
        <v>509</v>
      </c>
      <c r="P104" s="6" t="s">
        <v>510</v>
      </c>
    </row>
    <row r="105" spans="1:16" ht="18.75" x14ac:dyDescent="0.25">
      <c r="A105" s="466" t="s">
        <v>752</v>
      </c>
      <c r="B105" s="466"/>
      <c r="C105" s="466"/>
      <c r="D105" s="466"/>
      <c r="E105" s="466"/>
      <c r="F105" s="466"/>
      <c r="G105" s="466"/>
      <c r="H105" s="466"/>
      <c r="I105" s="466"/>
      <c r="J105" s="466"/>
      <c r="K105" s="466"/>
      <c r="L105" s="466"/>
      <c r="M105" s="466"/>
      <c r="N105" s="466"/>
      <c r="O105" s="466"/>
      <c r="P105" s="466"/>
    </row>
    <row r="106" spans="1:16" ht="25.5" x14ac:dyDescent="0.25">
      <c r="A106" s="467" t="s">
        <v>694</v>
      </c>
      <c r="B106" s="468"/>
      <c r="C106" s="469"/>
      <c r="D106" s="470"/>
      <c r="E106" s="471"/>
      <c r="F106" s="472"/>
      <c r="G106" s="4" t="s">
        <v>693</v>
      </c>
      <c r="H106" s="66" t="s">
        <v>852</v>
      </c>
      <c r="I106" s="51" t="s">
        <v>695</v>
      </c>
      <c r="J106" s="470" t="s">
        <v>852</v>
      </c>
      <c r="K106" s="471"/>
      <c r="L106" s="472"/>
      <c r="M106" s="51" t="s">
        <v>492</v>
      </c>
      <c r="N106" s="458" t="s">
        <v>569</v>
      </c>
      <c r="O106" s="459"/>
      <c r="P106" s="460"/>
    </row>
    <row r="107" spans="1:16" x14ac:dyDescent="0.25">
      <c r="A107" s="486" t="s">
        <v>494</v>
      </c>
      <c r="B107" s="486" t="s">
        <v>495</v>
      </c>
      <c r="C107" s="486"/>
      <c r="D107" s="486"/>
      <c r="E107" s="486"/>
      <c r="F107" s="486"/>
      <c r="G107" s="486"/>
      <c r="H107" s="461" t="s">
        <v>496</v>
      </c>
      <c r="I107" s="529" t="s">
        <v>685</v>
      </c>
      <c r="J107" s="461" t="s">
        <v>497</v>
      </c>
      <c r="K107" s="461" t="s">
        <v>498</v>
      </c>
      <c r="L107" s="461" t="s">
        <v>499</v>
      </c>
      <c r="M107" s="461" t="s">
        <v>500</v>
      </c>
      <c r="N107" s="461" t="s">
        <v>501</v>
      </c>
      <c r="O107" s="461" t="s">
        <v>502</v>
      </c>
      <c r="P107" s="461" t="s">
        <v>503</v>
      </c>
    </row>
    <row r="108" spans="1:16" ht="15" customHeight="1" x14ac:dyDescent="0.25">
      <c r="A108" s="486"/>
      <c r="B108" s="538">
        <v>5</v>
      </c>
      <c r="C108" s="539"/>
      <c r="D108" s="538">
        <v>15</v>
      </c>
      <c r="E108" s="539"/>
      <c r="F108" s="538">
        <v>25</v>
      </c>
      <c r="G108" s="539"/>
      <c r="H108" s="461"/>
      <c r="I108" s="530"/>
      <c r="J108" s="461"/>
      <c r="K108" s="461"/>
      <c r="L108" s="461"/>
      <c r="M108" s="461"/>
      <c r="N108" s="461"/>
      <c r="O108" s="461"/>
      <c r="P108" s="461"/>
    </row>
    <row r="109" spans="1:16" ht="15" customHeight="1" x14ac:dyDescent="0.25">
      <c r="A109" s="5" t="s">
        <v>515</v>
      </c>
      <c r="B109" s="536">
        <v>0</v>
      </c>
      <c r="C109" s="537"/>
      <c r="D109" s="536">
        <v>0</v>
      </c>
      <c r="E109" s="537"/>
      <c r="F109" s="536">
        <v>0</v>
      </c>
      <c r="G109" s="537"/>
      <c r="H109" s="42">
        <f t="shared" ref="H109:H117" si="42">AVERAGE(B109:G109)</f>
        <v>0</v>
      </c>
      <c r="I109" s="43">
        <v>0</v>
      </c>
      <c r="J109" s="43">
        <v>0</v>
      </c>
      <c r="K109" s="44">
        <v>0</v>
      </c>
      <c r="L109" s="45">
        <f t="shared" ref="L109:L117" si="43">J109-K109</f>
        <v>0</v>
      </c>
      <c r="M109" s="7">
        <v>0</v>
      </c>
      <c r="N109" s="7">
        <v>0</v>
      </c>
      <c r="O109" s="7">
        <v>0</v>
      </c>
      <c r="P109" s="7">
        <v>0</v>
      </c>
    </row>
    <row r="110" spans="1:16" x14ac:dyDescent="0.25">
      <c r="A110" s="5" t="s">
        <v>516</v>
      </c>
      <c r="B110" s="536">
        <v>0</v>
      </c>
      <c r="C110" s="537"/>
      <c r="D110" s="536">
        <v>0</v>
      </c>
      <c r="E110" s="537"/>
      <c r="F110" s="536">
        <v>0</v>
      </c>
      <c r="G110" s="537"/>
      <c r="H110" s="42">
        <f t="shared" ref="H110:H112" si="44">AVERAGE(B110:G110)</f>
        <v>0</v>
      </c>
      <c r="I110" s="43">
        <v>0</v>
      </c>
      <c r="J110" s="43">
        <v>0</v>
      </c>
      <c r="K110" s="44">
        <v>0</v>
      </c>
      <c r="L110" s="45">
        <f t="shared" ref="L110:L112" si="45">J110-K110</f>
        <v>0</v>
      </c>
      <c r="M110" s="7">
        <v>0</v>
      </c>
      <c r="N110" s="7">
        <v>0</v>
      </c>
      <c r="O110" s="7">
        <v>0</v>
      </c>
      <c r="P110" s="7">
        <v>0</v>
      </c>
    </row>
    <row r="111" spans="1:16" x14ac:dyDescent="0.25">
      <c r="A111" s="5" t="s">
        <v>517</v>
      </c>
      <c r="B111" s="536">
        <v>0</v>
      </c>
      <c r="C111" s="537"/>
      <c r="D111" s="536">
        <v>0</v>
      </c>
      <c r="E111" s="537"/>
      <c r="F111" s="536">
        <v>0</v>
      </c>
      <c r="G111" s="537"/>
      <c r="H111" s="42">
        <f t="shared" si="44"/>
        <v>0</v>
      </c>
      <c r="I111" s="43">
        <v>0</v>
      </c>
      <c r="J111" s="43">
        <v>0</v>
      </c>
      <c r="K111" s="44">
        <v>0</v>
      </c>
      <c r="L111" s="45">
        <f t="shared" si="45"/>
        <v>0</v>
      </c>
      <c r="M111" s="7">
        <v>0</v>
      </c>
      <c r="N111" s="7">
        <v>0</v>
      </c>
      <c r="O111" s="7">
        <v>0</v>
      </c>
      <c r="P111" s="7">
        <v>0</v>
      </c>
    </row>
    <row r="112" spans="1:16" x14ac:dyDescent="0.25">
      <c r="A112" s="5" t="s">
        <v>504</v>
      </c>
      <c r="B112" s="536">
        <v>0</v>
      </c>
      <c r="C112" s="537"/>
      <c r="D112" s="536">
        <v>0</v>
      </c>
      <c r="E112" s="537"/>
      <c r="F112" s="536">
        <v>0</v>
      </c>
      <c r="G112" s="537"/>
      <c r="H112" s="42">
        <f t="shared" si="44"/>
        <v>0</v>
      </c>
      <c r="I112" s="43">
        <v>0</v>
      </c>
      <c r="J112" s="43">
        <v>0</v>
      </c>
      <c r="K112" s="44">
        <v>0</v>
      </c>
      <c r="L112" s="45">
        <f t="shared" si="45"/>
        <v>0</v>
      </c>
      <c r="M112" s="7">
        <v>0</v>
      </c>
      <c r="N112" s="7">
        <v>0</v>
      </c>
      <c r="O112" s="7">
        <v>0</v>
      </c>
      <c r="P112" s="7">
        <v>0</v>
      </c>
    </row>
    <row r="113" spans="1:16" x14ac:dyDescent="0.25">
      <c r="A113" s="5" t="s">
        <v>505</v>
      </c>
      <c r="B113" s="536">
        <v>0</v>
      </c>
      <c r="C113" s="537"/>
      <c r="D113" s="536">
        <v>0</v>
      </c>
      <c r="E113" s="537"/>
      <c r="F113" s="536">
        <v>0</v>
      </c>
      <c r="G113" s="537"/>
      <c r="H113" s="42">
        <f t="shared" si="42"/>
        <v>0</v>
      </c>
      <c r="I113" s="43">
        <v>0</v>
      </c>
      <c r="J113" s="43">
        <v>0</v>
      </c>
      <c r="K113" s="44">
        <v>0</v>
      </c>
      <c r="L113" s="45">
        <f t="shared" si="43"/>
        <v>0</v>
      </c>
      <c r="M113" s="7">
        <v>0</v>
      </c>
      <c r="N113" s="7">
        <v>0</v>
      </c>
      <c r="O113" s="7">
        <v>0</v>
      </c>
      <c r="P113" s="7">
        <v>0</v>
      </c>
    </row>
    <row r="114" spans="1:16" x14ac:dyDescent="0.25">
      <c r="A114" s="5" t="s">
        <v>506</v>
      </c>
      <c r="B114" s="536">
        <v>0</v>
      </c>
      <c r="C114" s="537"/>
      <c r="D114" s="536">
        <v>0</v>
      </c>
      <c r="E114" s="537"/>
      <c r="F114" s="536">
        <v>0</v>
      </c>
      <c r="G114" s="537"/>
      <c r="H114" s="42">
        <f t="shared" si="42"/>
        <v>0</v>
      </c>
      <c r="I114" s="43">
        <v>0</v>
      </c>
      <c r="J114" s="43">
        <v>0</v>
      </c>
      <c r="K114" s="44">
        <v>0</v>
      </c>
      <c r="L114" s="45">
        <f t="shared" si="43"/>
        <v>0</v>
      </c>
      <c r="M114" s="7">
        <v>0</v>
      </c>
      <c r="N114" s="7">
        <v>0</v>
      </c>
      <c r="O114" s="7">
        <v>0</v>
      </c>
      <c r="P114" s="7">
        <v>0</v>
      </c>
    </row>
    <row r="115" spans="1:16" x14ac:dyDescent="0.25">
      <c r="A115" s="5" t="s">
        <v>546</v>
      </c>
      <c r="B115" s="536">
        <v>0</v>
      </c>
      <c r="C115" s="537"/>
      <c r="D115" s="536">
        <v>0</v>
      </c>
      <c r="E115" s="537"/>
      <c r="F115" s="536">
        <v>0</v>
      </c>
      <c r="G115" s="537"/>
      <c r="H115" s="42">
        <f t="shared" si="42"/>
        <v>0</v>
      </c>
      <c r="I115" s="43">
        <v>0</v>
      </c>
      <c r="J115" s="43">
        <v>0</v>
      </c>
      <c r="K115" s="44">
        <v>0</v>
      </c>
      <c r="L115" s="45">
        <f t="shared" si="43"/>
        <v>0</v>
      </c>
      <c r="M115" s="7">
        <v>0</v>
      </c>
      <c r="N115" s="7">
        <v>0</v>
      </c>
      <c r="O115" s="7">
        <v>0</v>
      </c>
      <c r="P115" s="7">
        <v>0</v>
      </c>
    </row>
    <row r="116" spans="1:16" x14ac:dyDescent="0.25">
      <c r="A116" s="5" t="s">
        <v>548</v>
      </c>
      <c r="B116" s="536">
        <v>0</v>
      </c>
      <c r="C116" s="537"/>
      <c r="D116" s="536">
        <v>0</v>
      </c>
      <c r="E116" s="537"/>
      <c r="F116" s="536">
        <v>0</v>
      </c>
      <c r="G116" s="537"/>
      <c r="H116" s="42">
        <f t="shared" si="42"/>
        <v>0</v>
      </c>
      <c r="I116" s="43">
        <v>0</v>
      </c>
      <c r="J116" s="43">
        <v>0</v>
      </c>
      <c r="K116" s="44">
        <v>0</v>
      </c>
      <c r="L116" s="45">
        <f t="shared" si="43"/>
        <v>0</v>
      </c>
      <c r="M116" s="7">
        <v>0</v>
      </c>
      <c r="N116" s="7">
        <v>0</v>
      </c>
      <c r="O116" s="7">
        <v>0</v>
      </c>
      <c r="P116" s="7">
        <v>0</v>
      </c>
    </row>
    <row r="117" spans="1:16" x14ac:dyDescent="0.25">
      <c r="A117" s="5" t="s">
        <v>550</v>
      </c>
      <c r="B117" s="536">
        <v>0</v>
      </c>
      <c r="C117" s="537"/>
      <c r="D117" s="536">
        <v>0</v>
      </c>
      <c r="E117" s="537"/>
      <c r="F117" s="536">
        <v>0</v>
      </c>
      <c r="G117" s="537"/>
      <c r="H117" s="42">
        <f t="shared" si="42"/>
        <v>0</v>
      </c>
      <c r="I117" s="43">
        <v>0</v>
      </c>
      <c r="J117" s="43">
        <v>0</v>
      </c>
      <c r="K117" s="44">
        <v>0</v>
      </c>
      <c r="L117" s="45">
        <f t="shared" si="43"/>
        <v>0</v>
      </c>
      <c r="M117" s="7">
        <v>0</v>
      </c>
      <c r="N117" s="7">
        <v>0</v>
      </c>
      <c r="O117" s="7">
        <v>0</v>
      </c>
      <c r="P117" s="7">
        <v>0</v>
      </c>
    </row>
    <row r="118" spans="1:16" x14ac:dyDescent="0.25">
      <c r="A118" s="50" t="s">
        <v>507</v>
      </c>
      <c r="B118" s="534">
        <f>SUM(B109:B117)</f>
        <v>0</v>
      </c>
      <c r="C118" s="535"/>
      <c r="D118" s="534">
        <f>SUM(D109:D117)</f>
        <v>0</v>
      </c>
      <c r="E118" s="535"/>
      <c r="F118" s="534">
        <f>SUM(F109:F117)</f>
        <v>0</v>
      </c>
      <c r="G118" s="535"/>
      <c r="H118" s="42">
        <f t="shared" ref="H118:P118" si="46">SUM(H109:H117)</f>
        <v>0</v>
      </c>
      <c r="I118" s="42">
        <f t="shared" si="46"/>
        <v>0</v>
      </c>
      <c r="J118" s="42">
        <f t="shared" si="46"/>
        <v>0</v>
      </c>
      <c r="K118" s="42">
        <f t="shared" si="46"/>
        <v>0</v>
      </c>
      <c r="L118" s="42">
        <f t="shared" si="46"/>
        <v>0</v>
      </c>
      <c r="M118" s="10">
        <f t="shared" si="46"/>
        <v>0</v>
      </c>
      <c r="N118" s="10">
        <f t="shared" si="46"/>
        <v>0</v>
      </c>
      <c r="O118" s="8">
        <f t="shared" si="46"/>
        <v>0</v>
      </c>
      <c r="P118" s="8">
        <f t="shared" si="46"/>
        <v>0</v>
      </c>
    </row>
    <row r="119" spans="1:16" x14ac:dyDescent="0.25">
      <c r="A119" s="50" t="s">
        <v>496</v>
      </c>
      <c r="B119" s="534">
        <f>AVERAGE(B109:B117)</f>
        <v>0</v>
      </c>
      <c r="C119" s="535"/>
      <c r="D119" s="534">
        <f>AVERAGE(D109:D117)</f>
        <v>0</v>
      </c>
      <c r="E119" s="535"/>
      <c r="F119" s="534">
        <f>AVERAGE(F109:F117)</f>
        <v>0</v>
      </c>
      <c r="G119" s="535"/>
      <c r="H119" s="42">
        <f t="shared" ref="H119:N119" si="47">AVERAGE(H109:H117)</f>
        <v>0</v>
      </c>
      <c r="I119" s="42">
        <f t="shared" si="47"/>
        <v>0</v>
      </c>
      <c r="J119" s="42">
        <f t="shared" si="47"/>
        <v>0</v>
      </c>
      <c r="K119" s="42">
        <f t="shared" si="47"/>
        <v>0</v>
      </c>
      <c r="L119" s="42">
        <f t="shared" si="47"/>
        <v>0</v>
      </c>
      <c r="M119" s="10">
        <f t="shared" si="47"/>
        <v>0</v>
      </c>
      <c r="N119" s="10">
        <f t="shared" si="47"/>
        <v>0</v>
      </c>
      <c r="O119" s="52" t="e">
        <f>N118/O118</f>
        <v>#DIV/0!</v>
      </c>
      <c r="P119" s="52" t="e">
        <f>M118/P118</f>
        <v>#DIV/0!</v>
      </c>
    </row>
    <row r="120" spans="1:16" ht="38.25" x14ac:dyDescent="0.25">
      <c r="A120" s="50" t="s">
        <v>508</v>
      </c>
      <c r="B120" s="534">
        <f>B119+I119</f>
        <v>0</v>
      </c>
      <c r="C120" s="535"/>
      <c r="D120" s="534">
        <f>D119+I119</f>
        <v>0</v>
      </c>
      <c r="E120" s="535"/>
      <c r="F120" s="534">
        <f>F119+I119</f>
        <v>0</v>
      </c>
      <c r="G120" s="535"/>
      <c r="H120" s="42">
        <f>H119+I119</f>
        <v>0</v>
      </c>
      <c r="I120" s="462"/>
      <c r="J120" s="463"/>
      <c r="K120" s="463"/>
      <c r="L120" s="463"/>
      <c r="M120" s="463"/>
      <c r="N120" s="464"/>
      <c r="O120" s="6" t="s">
        <v>509</v>
      </c>
      <c r="P120" s="6" t="s">
        <v>510</v>
      </c>
    </row>
    <row r="121" spans="1:16" ht="15" customHeight="1" x14ac:dyDescent="0.25">
      <c r="A121" s="466" t="s">
        <v>753</v>
      </c>
      <c r="B121" s="466"/>
      <c r="C121" s="466"/>
      <c r="D121" s="466"/>
      <c r="E121" s="466"/>
      <c r="F121" s="466"/>
      <c r="G121" s="466"/>
      <c r="H121" s="466"/>
      <c r="I121" s="466"/>
      <c r="J121" s="466"/>
      <c r="K121" s="466"/>
      <c r="L121" s="466"/>
      <c r="M121" s="466"/>
      <c r="N121" s="466"/>
      <c r="O121" s="466"/>
      <c r="P121" s="466"/>
    </row>
    <row r="122" spans="1:16" ht="15" customHeight="1" x14ac:dyDescent="0.25">
      <c r="A122" s="467" t="s">
        <v>694</v>
      </c>
      <c r="B122" s="468"/>
      <c r="C122" s="469"/>
      <c r="D122" s="470"/>
      <c r="E122" s="471"/>
      <c r="F122" s="472"/>
      <c r="G122" s="4" t="s">
        <v>693</v>
      </c>
      <c r="H122" s="66" t="s">
        <v>852</v>
      </c>
      <c r="I122" s="51" t="s">
        <v>695</v>
      </c>
      <c r="J122" s="470" t="s">
        <v>852</v>
      </c>
      <c r="K122" s="471"/>
      <c r="L122" s="472"/>
      <c r="M122" s="51" t="s">
        <v>492</v>
      </c>
      <c r="N122" s="458"/>
      <c r="O122" s="459"/>
      <c r="P122" s="460"/>
    </row>
    <row r="123" spans="1:16" x14ac:dyDescent="0.25">
      <c r="A123" s="486" t="s">
        <v>494</v>
      </c>
      <c r="B123" s="486" t="s">
        <v>495</v>
      </c>
      <c r="C123" s="486"/>
      <c r="D123" s="486"/>
      <c r="E123" s="486"/>
      <c r="F123" s="486"/>
      <c r="G123" s="486"/>
      <c r="H123" s="461" t="s">
        <v>496</v>
      </c>
      <c r="I123" s="529" t="s">
        <v>685</v>
      </c>
      <c r="J123" s="461" t="s">
        <v>497</v>
      </c>
      <c r="K123" s="461" t="s">
        <v>498</v>
      </c>
      <c r="L123" s="461" t="s">
        <v>499</v>
      </c>
      <c r="M123" s="461" t="s">
        <v>500</v>
      </c>
      <c r="N123" s="461" t="s">
        <v>501</v>
      </c>
      <c r="O123" s="461" t="s">
        <v>502</v>
      </c>
      <c r="P123" s="461" t="s">
        <v>503</v>
      </c>
    </row>
    <row r="124" spans="1:16" x14ac:dyDescent="0.25">
      <c r="A124" s="486"/>
      <c r="B124" s="538">
        <v>5</v>
      </c>
      <c r="C124" s="539"/>
      <c r="D124" s="538">
        <v>15</v>
      </c>
      <c r="E124" s="539"/>
      <c r="F124" s="538">
        <v>25</v>
      </c>
      <c r="G124" s="539"/>
      <c r="H124" s="461"/>
      <c r="I124" s="530"/>
      <c r="J124" s="461"/>
      <c r="K124" s="461"/>
      <c r="L124" s="461"/>
      <c r="M124" s="461"/>
      <c r="N124" s="461"/>
      <c r="O124" s="461"/>
      <c r="P124" s="461"/>
    </row>
    <row r="125" spans="1:16" x14ac:dyDescent="0.25">
      <c r="A125" s="5" t="s">
        <v>515</v>
      </c>
      <c r="B125" s="536">
        <v>0</v>
      </c>
      <c r="C125" s="537"/>
      <c r="D125" s="536">
        <v>0</v>
      </c>
      <c r="E125" s="537"/>
      <c r="F125" s="536">
        <v>0</v>
      </c>
      <c r="G125" s="537"/>
      <c r="H125" s="42">
        <f t="shared" ref="H125:H133" si="48">AVERAGE(B125:G125)</f>
        <v>0</v>
      </c>
      <c r="I125" s="43">
        <v>0</v>
      </c>
      <c r="J125" s="43">
        <v>0</v>
      </c>
      <c r="K125" s="44">
        <v>0</v>
      </c>
      <c r="L125" s="45">
        <f t="shared" ref="L125:L133" si="49">J125-K125</f>
        <v>0</v>
      </c>
      <c r="M125" s="7">
        <v>0</v>
      </c>
      <c r="N125" s="7">
        <v>0</v>
      </c>
      <c r="O125" s="7">
        <v>0</v>
      </c>
      <c r="P125" s="7">
        <v>0</v>
      </c>
    </row>
    <row r="126" spans="1:16" x14ac:dyDescent="0.25">
      <c r="A126" s="5" t="s">
        <v>516</v>
      </c>
      <c r="B126" s="536">
        <v>0</v>
      </c>
      <c r="C126" s="537"/>
      <c r="D126" s="536">
        <v>0</v>
      </c>
      <c r="E126" s="537"/>
      <c r="F126" s="536">
        <v>0</v>
      </c>
      <c r="G126" s="537"/>
      <c r="H126" s="42">
        <f t="shared" ref="H126:H128" si="50">AVERAGE(B126:G126)</f>
        <v>0</v>
      </c>
      <c r="I126" s="43">
        <v>0</v>
      </c>
      <c r="J126" s="43">
        <v>0</v>
      </c>
      <c r="K126" s="44">
        <v>0</v>
      </c>
      <c r="L126" s="45">
        <f t="shared" ref="L126:L128" si="51">J126-K126</f>
        <v>0</v>
      </c>
      <c r="M126" s="7">
        <v>0</v>
      </c>
      <c r="N126" s="7">
        <v>0</v>
      </c>
      <c r="O126" s="7">
        <v>0</v>
      </c>
      <c r="P126" s="7">
        <v>0</v>
      </c>
    </row>
    <row r="127" spans="1:16" x14ac:dyDescent="0.25">
      <c r="A127" s="5" t="s">
        <v>517</v>
      </c>
      <c r="B127" s="536">
        <v>0</v>
      </c>
      <c r="C127" s="537"/>
      <c r="D127" s="536">
        <v>0</v>
      </c>
      <c r="E127" s="537"/>
      <c r="F127" s="536">
        <v>0</v>
      </c>
      <c r="G127" s="537"/>
      <c r="H127" s="42">
        <f t="shared" si="50"/>
        <v>0</v>
      </c>
      <c r="I127" s="43">
        <v>0</v>
      </c>
      <c r="J127" s="43">
        <v>0</v>
      </c>
      <c r="K127" s="44">
        <v>0</v>
      </c>
      <c r="L127" s="45">
        <f t="shared" si="51"/>
        <v>0</v>
      </c>
      <c r="M127" s="7">
        <v>0</v>
      </c>
      <c r="N127" s="7">
        <v>0</v>
      </c>
      <c r="O127" s="7">
        <v>0</v>
      </c>
      <c r="P127" s="7">
        <v>0</v>
      </c>
    </row>
    <row r="128" spans="1:16" x14ac:dyDescent="0.25">
      <c r="A128" s="5" t="s">
        <v>504</v>
      </c>
      <c r="B128" s="536">
        <v>0</v>
      </c>
      <c r="C128" s="537"/>
      <c r="D128" s="536">
        <v>0</v>
      </c>
      <c r="E128" s="537"/>
      <c r="F128" s="536">
        <v>0</v>
      </c>
      <c r="G128" s="537"/>
      <c r="H128" s="42">
        <f t="shared" si="50"/>
        <v>0</v>
      </c>
      <c r="I128" s="43">
        <v>0</v>
      </c>
      <c r="J128" s="43">
        <v>0</v>
      </c>
      <c r="K128" s="44">
        <v>0</v>
      </c>
      <c r="L128" s="45">
        <f t="shared" si="51"/>
        <v>0</v>
      </c>
      <c r="M128" s="7">
        <v>0</v>
      </c>
      <c r="N128" s="7">
        <v>0</v>
      </c>
      <c r="O128" s="7">
        <v>0</v>
      </c>
      <c r="P128" s="7">
        <v>0</v>
      </c>
    </row>
    <row r="129" spans="1:16" x14ac:dyDescent="0.25">
      <c r="A129" s="5" t="s">
        <v>505</v>
      </c>
      <c r="B129" s="536">
        <v>0</v>
      </c>
      <c r="C129" s="537"/>
      <c r="D129" s="536">
        <v>0</v>
      </c>
      <c r="E129" s="537"/>
      <c r="F129" s="536">
        <v>0</v>
      </c>
      <c r="G129" s="537"/>
      <c r="H129" s="42">
        <f t="shared" si="48"/>
        <v>0</v>
      </c>
      <c r="I129" s="43">
        <v>0</v>
      </c>
      <c r="J129" s="43">
        <v>0</v>
      </c>
      <c r="K129" s="44">
        <v>0</v>
      </c>
      <c r="L129" s="45">
        <f t="shared" si="49"/>
        <v>0</v>
      </c>
      <c r="M129" s="7">
        <v>0</v>
      </c>
      <c r="N129" s="7">
        <v>0</v>
      </c>
      <c r="O129" s="7">
        <v>0</v>
      </c>
      <c r="P129" s="7">
        <v>0</v>
      </c>
    </row>
    <row r="130" spans="1:16" x14ac:dyDescent="0.25">
      <c r="A130" s="5" t="s">
        <v>506</v>
      </c>
      <c r="B130" s="536">
        <v>0</v>
      </c>
      <c r="C130" s="537"/>
      <c r="D130" s="536">
        <v>0</v>
      </c>
      <c r="E130" s="537"/>
      <c r="F130" s="536">
        <v>0</v>
      </c>
      <c r="G130" s="537"/>
      <c r="H130" s="42">
        <f t="shared" si="48"/>
        <v>0</v>
      </c>
      <c r="I130" s="43">
        <v>0</v>
      </c>
      <c r="J130" s="43">
        <v>0</v>
      </c>
      <c r="K130" s="44">
        <v>0</v>
      </c>
      <c r="L130" s="45">
        <f t="shared" si="49"/>
        <v>0</v>
      </c>
      <c r="M130" s="7">
        <v>0</v>
      </c>
      <c r="N130" s="7">
        <v>0</v>
      </c>
      <c r="O130" s="7">
        <v>0</v>
      </c>
      <c r="P130" s="7">
        <v>0</v>
      </c>
    </row>
    <row r="131" spans="1:16" x14ac:dyDescent="0.25">
      <c r="A131" s="5" t="s">
        <v>546</v>
      </c>
      <c r="B131" s="536">
        <v>0</v>
      </c>
      <c r="C131" s="537"/>
      <c r="D131" s="536">
        <v>0</v>
      </c>
      <c r="E131" s="537"/>
      <c r="F131" s="536">
        <v>0</v>
      </c>
      <c r="G131" s="537"/>
      <c r="H131" s="42">
        <f t="shared" si="48"/>
        <v>0</v>
      </c>
      <c r="I131" s="43">
        <v>0</v>
      </c>
      <c r="J131" s="43">
        <v>0</v>
      </c>
      <c r="K131" s="44">
        <v>0</v>
      </c>
      <c r="L131" s="45">
        <f t="shared" si="49"/>
        <v>0</v>
      </c>
      <c r="M131" s="7">
        <v>0</v>
      </c>
      <c r="N131" s="7">
        <v>0</v>
      </c>
      <c r="O131" s="7">
        <v>0</v>
      </c>
      <c r="P131" s="7">
        <v>0</v>
      </c>
    </row>
    <row r="132" spans="1:16" x14ac:dyDescent="0.25">
      <c r="A132" s="5" t="s">
        <v>548</v>
      </c>
      <c r="B132" s="536">
        <v>0</v>
      </c>
      <c r="C132" s="537"/>
      <c r="D132" s="536">
        <v>0</v>
      </c>
      <c r="E132" s="537"/>
      <c r="F132" s="536">
        <v>0</v>
      </c>
      <c r="G132" s="537"/>
      <c r="H132" s="42">
        <f t="shared" si="48"/>
        <v>0</v>
      </c>
      <c r="I132" s="43">
        <v>0</v>
      </c>
      <c r="J132" s="43">
        <v>0</v>
      </c>
      <c r="K132" s="44">
        <v>0</v>
      </c>
      <c r="L132" s="45">
        <f t="shared" si="49"/>
        <v>0</v>
      </c>
      <c r="M132" s="7">
        <v>0</v>
      </c>
      <c r="N132" s="7">
        <v>0</v>
      </c>
      <c r="O132" s="7">
        <v>0</v>
      </c>
      <c r="P132" s="7">
        <v>0</v>
      </c>
    </row>
    <row r="133" spans="1:16" x14ac:dyDescent="0.25">
      <c r="A133" s="5" t="s">
        <v>550</v>
      </c>
      <c r="B133" s="536">
        <v>0</v>
      </c>
      <c r="C133" s="537"/>
      <c r="D133" s="536">
        <v>0</v>
      </c>
      <c r="E133" s="537"/>
      <c r="F133" s="536">
        <v>0</v>
      </c>
      <c r="G133" s="537"/>
      <c r="H133" s="42">
        <f t="shared" si="48"/>
        <v>0</v>
      </c>
      <c r="I133" s="43">
        <v>0</v>
      </c>
      <c r="J133" s="43">
        <v>0</v>
      </c>
      <c r="K133" s="44">
        <v>0</v>
      </c>
      <c r="L133" s="45">
        <f t="shared" si="49"/>
        <v>0</v>
      </c>
      <c r="M133" s="7">
        <v>0</v>
      </c>
      <c r="N133" s="7">
        <v>0</v>
      </c>
      <c r="O133" s="7">
        <v>0</v>
      </c>
      <c r="P133" s="7">
        <v>0</v>
      </c>
    </row>
    <row r="134" spans="1:16" ht="15" customHeight="1" x14ac:dyDescent="0.25">
      <c r="A134" s="50" t="s">
        <v>507</v>
      </c>
      <c r="B134" s="534">
        <f>SUM(B125:B133)</f>
        <v>0</v>
      </c>
      <c r="C134" s="535"/>
      <c r="D134" s="534">
        <f>SUM(D125:D133)</f>
        <v>0</v>
      </c>
      <c r="E134" s="535"/>
      <c r="F134" s="534">
        <f>SUM(F125:F133)</f>
        <v>0</v>
      </c>
      <c r="G134" s="535"/>
      <c r="H134" s="42">
        <f t="shared" ref="H134:P134" si="52">SUM(H125:H133)</f>
        <v>0</v>
      </c>
      <c r="I134" s="42">
        <f t="shared" si="52"/>
        <v>0</v>
      </c>
      <c r="J134" s="42">
        <f t="shared" si="52"/>
        <v>0</v>
      </c>
      <c r="K134" s="42">
        <f t="shared" si="52"/>
        <v>0</v>
      </c>
      <c r="L134" s="42">
        <f t="shared" si="52"/>
        <v>0</v>
      </c>
      <c r="M134" s="10">
        <f t="shared" si="52"/>
        <v>0</v>
      </c>
      <c r="N134" s="10">
        <f t="shared" si="52"/>
        <v>0</v>
      </c>
      <c r="O134" s="8">
        <f t="shared" si="52"/>
        <v>0</v>
      </c>
      <c r="P134" s="8">
        <f t="shared" si="52"/>
        <v>0</v>
      </c>
    </row>
    <row r="135" spans="1:16" ht="15" customHeight="1" x14ac:dyDescent="0.25">
      <c r="A135" s="50" t="s">
        <v>496</v>
      </c>
      <c r="B135" s="534">
        <f>AVERAGE(B125:B133)</f>
        <v>0</v>
      </c>
      <c r="C135" s="535"/>
      <c r="D135" s="534">
        <f>AVERAGE(D125:D133)</f>
        <v>0</v>
      </c>
      <c r="E135" s="535"/>
      <c r="F135" s="534">
        <f>AVERAGE(F125:F133)</f>
        <v>0</v>
      </c>
      <c r="G135" s="535"/>
      <c r="H135" s="42">
        <f t="shared" ref="H135:N135" si="53">AVERAGE(H125:H133)</f>
        <v>0</v>
      </c>
      <c r="I135" s="42">
        <f t="shared" si="53"/>
        <v>0</v>
      </c>
      <c r="J135" s="42">
        <f t="shared" si="53"/>
        <v>0</v>
      </c>
      <c r="K135" s="42">
        <f t="shared" si="53"/>
        <v>0</v>
      </c>
      <c r="L135" s="42">
        <f t="shared" si="53"/>
        <v>0</v>
      </c>
      <c r="M135" s="10">
        <f t="shared" si="53"/>
        <v>0</v>
      </c>
      <c r="N135" s="10">
        <f t="shared" si="53"/>
        <v>0</v>
      </c>
      <c r="O135" s="52" t="e">
        <f>N134/O134</f>
        <v>#DIV/0!</v>
      </c>
      <c r="P135" s="52" t="e">
        <f>M134/P134</f>
        <v>#DIV/0!</v>
      </c>
    </row>
    <row r="136" spans="1:16" ht="38.25" x14ac:dyDescent="0.25">
      <c r="A136" s="50" t="s">
        <v>508</v>
      </c>
      <c r="B136" s="534">
        <f>B135+I135</f>
        <v>0</v>
      </c>
      <c r="C136" s="535"/>
      <c r="D136" s="534">
        <f>D135+I135</f>
        <v>0</v>
      </c>
      <c r="E136" s="535"/>
      <c r="F136" s="534">
        <f>F135+I135</f>
        <v>0</v>
      </c>
      <c r="G136" s="535"/>
      <c r="H136" s="42">
        <f>H135+I135</f>
        <v>0</v>
      </c>
      <c r="I136" s="462"/>
      <c r="J136" s="463"/>
      <c r="K136" s="463"/>
      <c r="L136" s="463"/>
      <c r="M136" s="463"/>
      <c r="N136" s="464"/>
      <c r="O136" s="6" t="s">
        <v>509</v>
      </c>
      <c r="P136" s="6" t="s">
        <v>510</v>
      </c>
    </row>
    <row r="137" spans="1:16" ht="18.75" x14ac:dyDescent="0.25">
      <c r="A137" s="466" t="s">
        <v>754</v>
      </c>
      <c r="B137" s="466"/>
      <c r="C137" s="466"/>
      <c r="D137" s="466"/>
      <c r="E137" s="466"/>
      <c r="F137" s="466"/>
      <c r="G137" s="466"/>
      <c r="H137" s="466"/>
      <c r="I137" s="466"/>
      <c r="J137" s="466"/>
      <c r="K137" s="466"/>
      <c r="L137" s="466"/>
      <c r="M137" s="466"/>
      <c r="N137" s="466"/>
      <c r="O137" s="466"/>
      <c r="P137" s="466"/>
    </row>
    <row r="138" spans="1:16" ht="25.5" x14ac:dyDescent="0.25">
      <c r="A138" s="467" t="s">
        <v>694</v>
      </c>
      <c r="B138" s="468"/>
      <c r="C138" s="469"/>
      <c r="D138" s="470"/>
      <c r="E138" s="471"/>
      <c r="F138" s="472"/>
      <c r="G138" s="4" t="s">
        <v>693</v>
      </c>
      <c r="H138" s="66" t="s">
        <v>852</v>
      </c>
      <c r="I138" s="51" t="s">
        <v>695</v>
      </c>
      <c r="J138" s="470" t="s">
        <v>852</v>
      </c>
      <c r="K138" s="471"/>
      <c r="L138" s="472"/>
      <c r="M138" s="51" t="s">
        <v>492</v>
      </c>
      <c r="N138" s="458"/>
      <c r="O138" s="459"/>
      <c r="P138" s="460"/>
    </row>
    <row r="139" spans="1:16" x14ac:dyDescent="0.25">
      <c r="A139" s="486" t="s">
        <v>494</v>
      </c>
      <c r="B139" s="486" t="s">
        <v>495</v>
      </c>
      <c r="C139" s="486"/>
      <c r="D139" s="486"/>
      <c r="E139" s="486"/>
      <c r="F139" s="486"/>
      <c r="G139" s="486"/>
      <c r="H139" s="461" t="s">
        <v>496</v>
      </c>
      <c r="I139" s="529" t="s">
        <v>685</v>
      </c>
      <c r="J139" s="461" t="s">
        <v>497</v>
      </c>
      <c r="K139" s="461" t="s">
        <v>498</v>
      </c>
      <c r="L139" s="461" t="s">
        <v>499</v>
      </c>
      <c r="M139" s="461" t="s">
        <v>500</v>
      </c>
      <c r="N139" s="461" t="s">
        <v>501</v>
      </c>
      <c r="O139" s="461" t="s">
        <v>502</v>
      </c>
      <c r="P139" s="461" t="s">
        <v>503</v>
      </c>
    </row>
    <row r="140" spans="1:16" x14ac:dyDescent="0.25">
      <c r="A140" s="486"/>
      <c r="B140" s="538">
        <v>5</v>
      </c>
      <c r="C140" s="539"/>
      <c r="D140" s="538">
        <v>15</v>
      </c>
      <c r="E140" s="539"/>
      <c r="F140" s="538">
        <v>25</v>
      </c>
      <c r="G140" s="539"/>
      <c r="H140" s="461"/>
      <c r="I140" s="530"/>
      <c r="J140" s="461"/>
      <c r="K140" s="461"/>
      <c r="L140" s="461"/>
      <c r="M140" s="461"/>
      <c r="N140" s="461"/>
      <c r="O140" s="461"/>
      <c r="P140" s="461"/>
    </row>
    <row r="141" spans="1:16" x14ac:dyDescent="0.25">
      <c r="A141" s="5" t="s">
        <v>515</v>
      </c>
      <c r="B141" s="536">
        <v>0</v>
      </c>
      <c r="C141" s="537"/>
      <c r="D141" s="536">
        <v>0</v>
      </c>
      <c r="E141" s="537"/>
      <c r="F141" s="536">
        <v>0</v>
      </c>
      <c r="G141" s="537"/>
      <c r="H141" s="42">
        <f t="shared" ref="H141:H149" si="54">AVERAGE(B141:G141)</f>
        <v>0</v>
      </c>
      <c r="I141" s="43">
        <v>0</v>
      </c>
      <c r="J141" s="43">
        <v>0</v>
      </c>
      <c r="K141" s="44">
        <v>0</v>
      </c>
      <c r="L141" s="45">
        <f t="shared" ref="L141:L149" si="55">J141-K141</f>
        <v>0</v>
      </c>
      <c r="M141" s="7">
        <v>0</v>
      </c>
      <c r="N141" s="7">
        <v>0</v>
      </c>
      <c r="O141" s="7">
        <v>0</v>
      </c>
      <c r="P141" s="7">
        <v>0</v>
      </c>
    </row>
    <row r="142" spans="1:16" x14ac:dyDescent="0.25">
      <c r="A142" s="5" t="s">
        <v>516</v>
      </c>
      <c r="B142" s="536">
        <v>0</v>
      </c>
      <c r="C142" s="537"/>
      <c r="D142" s="536">
        <v>0</v>
      </c>
      <c r="E142" s="537"/>
      <c r="F142" s="536">
        <v>0</v>
      </c>
      <c r="G142" s="537"/>
      <c r="H142" s="42">
        <f t="shared" si="54"/>
        <v>0</v>
      </c>
      <c r="I142" s="43">
        <v>0</v>
      </c>
      <c r="J142" s="43">
        <v>0</v>
      </c>
      <c r="K142" s="44">
        <v>0</v>
      </c>
      <c r="L142" s="45">
        <f t="shared" si="55"/>
        <v>0</v>
      </c>
      <c r="M142" s="7">
        <v>0</v>
      </c>
      <c r="N142" s="7">
        <v>0</v>
      </c>
      <c r="O142" s="7">
        <v>0</v>
      </c>
      <c r="P142" s="7">
        <v>0</v>
      </c>
    </row>
    <row r="143" spans="1:16" x14ac:dyDescent="0.25">
      <c r="A143" s="5" t="s">
        <v>517</v>
      </c>
      <c r="B143" s="536">
        <v>0</v>
      </c>
      <c r="C143" s="537"/>
      <c r="D143" s="536">
        <v>0</v>
      </c>
      <c r="E143" s="537"/>
      <c r="F143" s="536">
        <v>0</v>
      </c>
      <c r="G143" s="537"/>
      <c r="H143" s="42">
        <f t="shared" si="54"/>
        <v>0</v>
      </c>
      <c r="I143" s="43">
        <v>0</v>
      </c>
      <c r="J143" s="43">
        <v>0</v>
      </c>
      <c r="K143" s="44">
        <v>0</v>
      </c>
      <c r="L143" s="45">
        <f t="shared" si="55"/>
        <v>0</v>
      </c>
      <c r="M143" s="7">
        <v>0</v>
      </c>
      <c r="N143" s="7">
        <v>0</v>
      </c>
      <c r="O143" s="7">
        <v>0</v>
      </c>
      <c r="P143" s="7">
        <v>0</v>
      </c>
    </row>
    <row r="144" spans="1:16" x14ac:dyDescent="0.25">
      <c r="A144" s="5" t="s">
        <v>504</v>
      </c>
      <c r="B144" s="536">
        <v>0</v>
      </c>
      <c r="C144" s="537"/>
      <c r="D144" s="536">
        <v>0</v>
      </c>
      <c r="E144" s="537"/>
      <c r="F144" s="536">
        <v>0</v>
      </c>
      <c r="G144" s="537"/>
      <c r="H144" s="42">
        <f t="shared" ref="H144:H146" si="56">AVERAGE(B144:G144)</f>
        <v>0</v>
      </c>
      <c r="I144" s="43">
        <v>0</v>
      </c>
      <c r="J144" s="43">
        <v>0</v>
      </c>
      <c r="K144" s="44">
        <v>0</v>
      </c>
      <c r="L144" s="45">
        <f t="shared" ref="L144:L146" si="57">J144-K144</f>
        <v>0</v>
      </c>
      <c r="M144" s="7">
        <v>0</v>
      </c>
      <c r="N144" s="7">
        <v>0</v>
      </c>
      <c r="O144" s="7">
        <v>0</v>
      </c>
      <c r="P144" s="7">
        <v>0</v>
      </c>
    </row>
    <row r="145" spans="1:16" x14ac:dyDescent="0.25">
      <c r="A145" s="5" t="s">
        <v>505</v>
      </c>
      <c r="B145" s="536">
        <v>0</v>
      </c>
      <c r="C145" s="537"/>
      <c r="D145" s="536">
        <v>0</v>
      </c>
      <c r="E145" s="537"/>
      <c r="F145" s="536">
        <v>0</v>
      </c>
      <c r="G145" s="537"/>
      <c r="H145" s="42">
        <f t="shared" si="56"/>
        <v>0</v>
      </c>
      <c r="I145" s="43">
        <v>0</v>
      </c>
      <c r="J145" s="43">
        <v>0</v>
      </c>
      <c r="K145" s="44">
        <v>0</v>
      </c>
      <c r="L145" s="45">
        <f t="shared" si="57"/>
        <v>0</v>
      </c>
      <c r="M145" s="7">
        <v>0</v>
      </c>
      <c r="N145" s="7">
        <v>0</v>
      </c>
      <c r="O145" s="7">
        <v>0</v>
      </c>
      <c r="P145" s="7">
        <v>0</v>
      </c>
    </row>
    <row r="146" spans="1:16" x14ac:dyDescent="0.25">
      <c r="A146" s="5" t="s">
        <v>506</v>
      </c>
      <c r="B146" s="536">
        <v>0</v>
      </c>
      <c r="C146" s="537"/>
      <c r="D146" s="536">
        <v>0</v>
      </c>
      <c r="E146" s="537"/>
      <c r="F146" s="536">
        <v>0</v>
      </c>
      <c r="G146" s="537"/>
      <c r="H146" s="42">
        <f t="shared" si="56"/>
        <v>0</v>
      </c>
      <c r="I146" s="43">
        <v>0</v>
      </c>
      <c r="J146" s="43">
        <v>0</v>
      </c>
      <c r="K146" s="44">
        <v>0</v>
      </c>
      <c r="L146" s="45">
        <f t="shared" si="57"/>
        <v>0</v>
      </c>
      <c r="M146" s="7">
        <v>0</v>
      </c>
      <c r="N146" s="7">
        <v>0</v>
      </c>
      <c r="O146" s="7">
        <v>0</v>
      </c>
      <c r="P146" s="7">
        <v>0</v>
      </c>
    </row>
    <row r="147" spans="1:16" ht="15" customHeight="1" x14ac:dyDescent="0.25">
      <c r="A147" s="5" t="s">
        <v>546</v>
      </c>
      <c r="B147" s="536">
        <v>0</v>
      </c>
      <c r="C147" s="537"/>
      <c r="D147" s="536">
        <v>0</v>
      </c>
      <c r="E147" s="537"/>
      <c r="F147" s="536">
        <v>0</v>
      </c>
      <c r="G147" s="537"/>
      <c r="H147" s="42">
        <f t="shared" si="54"/>
        <v>0</v>
      </c>
      <c r="I147" s="43">
        <v>0</v>
      </c>
      <c r="J147" s="43">
        <v>0</v>
      </c>
      <c r="K147" s="44">
        <v>0</v>
      </c>
      <c r="L147" s="45">
        <f t="shared" si="55"/>
        <v>0</v>
      </c>
      <c r="M147" s="7">
        <v>0</v>
      </c>
      <c r="N147" s="7">
        <v>0</v>
      </c>
      <c r="O147" s="7">
        <v>0</v>
      </c>
      <c r="P147" s="7">
        <v>0</v>
      </c>
    </row>
    <row r="148" spans="1:16" ht="15" customHeight="1" x14ac:dyDescent="0.25">
      <c r="A148" s="5" t="s">
        <v>548</v>
      </c>
      <c r="B148" s="536">
        <v>0</v>
      </c>
      <c r="C148" s="537"/>
      <c r="D148" s="536">
        <v>0</v>
      </c>
      <c r="E148" s="537"/>
      <c r="F148" s="536">
        <v>0</v>
      </c>
      <c r="G148" s="537"/>
      <c r="H148" s="42">
        <f t="shared" si="54"/>
        <v>0</v>
      </c>
      <c r="I148" s="43">
        <v>0</v>
      </c>
      <c r="J148" s="43">
        <v>0</v>
      </c>
      <c r="K148" s="44">
        <v>0</v>
      </c>
      <c r="L148" s="45">
        <f t="shared" si="55"/>
        <v>0</v>
      </c>
      <c r="M148" s="7">
        <v>0</v>
      </c>
      <c r="N148" s="7">
        <v>0</v>
      </c>
      <c r="O148" s="7">
        <v>0</v>
      </c>
      <c r="P148" s="7">
        <v>0</v>
      </c>
    </row>
    <row r="149" spans="1:16" x14ac:dyDescent="0.25">
      <c r="A149" s="5" t="s">
        <v>550</v>
      </c>
      <c r="B149" s="536">
        <v>0</v>
      </c>
      <c r="C149" s="537"/>
      <c r="D149" s="536">
        <v>0</v>
      </c>
      <c r="E149" s="537"/>
      <c r="F149" s="536">
        <v>0</v>
      </c>
      <c r="G149" s="537"/>
      <c r="H149" s="42">
        <f t="shared" si="54"/>
        <v>0</v>
      </c>
      <c r="I149" s="43">
        <v>0</v>
      </c>
      <c r="J149" s="43">
        <v>0</v>
      </c>
      <c r="K149" s="44">
        <v>0</v>
      </c>
      <c r="L149" s="45">
        <f t="shared" si="55"/>
        <v>0</v>
      </c>
      <c r="M149" s="7">
        <v>0</v>
      </c>
      <c r="N149" s="7">
        <v>0</v>
      </c>
      <c r="O149" s="7">
        <v>0</v>
      </c>
      <c r="P149" s="7">
        <v>0</v>
      </c>
    </row>
    <row r="150" spans="1:16" x14ac:dyDescent="0.25">
      <c r="A150" s="50" t="s">
        <v>507</v>
      </c>
      <c r="B150" s="534">
        <f>SUM(B141:B149)</f>
        <v>0</v>
      </c>
      <c r="C150" s="535"/>
      <c r="D150" s="534">
        <f>SUM(D141:D149)</f>
        <v>0</v>
      </c>
      <c r="E150" s="535"/>
      <c r="F150" s="534">
        <f>SUM(F141:F149)</f>
        <v>0</v>
      </c>
      <c r="G150" s="535"/>
      <c r="H150" s="42">
        <f t="shared" ref="H150:P150" si="58">SUM(H141:H149)</f>
        <v>0</v>
      </c>
      <c r="I150" s="42">
        <f t="shared" si="58"/>
        <v>0</v>
      </c>
      <c r="J150" s="42">
        <f t="shared" si="58"/>
        <v>0</v>
      </c>
      <c r="K150" s="42">
        <f t="shared" si="58"/>
        <v>0</v>
      </c>
      <c r="L150" s="42">
        <f t="shared" si="58"/>
        <v>0</v>
      </c>
      <c r="M150" s="10">
        <f t="shared" si="58"/>
        <v>0</v>
      </c>
      <c r="N150" s="10">
        <f t="shared" si="58"/>
        <v>0</v>
      </c>
      <c r="O150" s="8">
        <f t="shared" si="58"/>
        <v>0</v>
      </c>
      <c r="P150" s="8">
        <f t="shared" si="58"/>
        <v>0</v>
      </c>
    </row>
    <row r="151" spans="1:16" x14ac:dyDescent="0.25">
      <c r="A151" s="50" t="s">
        <v>496</v>
      </c>
      <c r="B151" s="534">
        <f>AVERAGE(B141:B149)</f>
        <v>0</v>
      </c>
      <c r="C151" s="535"/>
      <c r="D151" s="534">
        <f>AVERAGE(D141:D149)</f>
        <v>0</v>
      </c>
      <c r="E151" s="535"/>
      <c r="F151" s="534">
        <f>AVERAGE(F141:F149)</f>
        <v>0</v>
      </c>
      <c r="G151" s="535"/>
      <c r="H151" s="42">
        <f t="shared" ref="H151:N151" si="59">AVERAGE(H141:H149)</f>
        <v>0</v>
      </c>
      <c r="I151" s="42">
        <f t="shared" si="59"/>
        <v>0</v>
      </c>
      <c r="J151" s="42">
        <f t="shared" si="59"/>
        <v>0</v>
      </c>
      <c r="K151" s="42">
        <f t="shared" si="59"/>
        <v>0</v>
      </c>
      <c r="L151" s="42">
        <f t="shared" si="59"/>
        <v>0</v>
      </c>
      <c r="M151" s="10">
        <f t="shared" si="59"/>
        <v>0</v>
      </c>
      <c r="N151" s="10">
        <f t="shared" si="59"/>
        <v>0</v>
      </c>
      <c r="O151" s="52" t="e">
        <f>N150/O150</f>
        <v>#DIV/0!</v>
      </c>
      <c r="P151" s="52" t="e">
        <f>M150/P150</f>
        <v>#DIV/0!</v>
      </c>
    </row>
    <row r="152" spans="1:16" ht="38.25" x14ac:dyDescent="0.25">
      <c r="A152" s="50" t="s">
        <v>508</v>
      </c>
      <c r="B152" s="534">
        <f>B151+I151</f>
        <v>0</v>
      </c>
      <c r="C152" s="535"/>
      <c r="D152" s="534">
        <f>D151+I151</f>
        <v>0</v>
      </c>
      <c r="E152" s="535"/>
      <c r="F152" s="534">
        <f>F151+I151</f>
        <v>0</v>
      </c>
      <c r="G152" s="535"/>
      <c r="H152" s="42">
        <f>H151+I151</f>
        <v>0</v>
      </c>
      <c r="I152" s="462"/>
      <c r="J152" s="463"/>
      <c r="K152" s="463"/>
      <c r="L152" s="463"/>
      <c r="M152" s="463"/>
      <c r="N152" s="464"/>
      <c r="O152" s="6" t="s">
        <v>509</v>
      </c>
      <c r="P152" s="6" t="s">
        <v>510</v>
      </c>
    </row>
    <row r="153" spans="1:16" ht="18.75" x14ac:dyDescent="0.25">
      <c r="A153" s="466" t="s">
        <v>755</v>
      </c>
      <c r="B153" s="466"/>
      <c r="C153" s="466"/>
      <c r="D153" s="466"/>
      <c r="E153" s="466"/>
      <c r="F153" s="466"/>
      <c r="G153" s="466"/>
      <c r="H153" s="466"/>
      <c r="I153" s="466"/>
      <c r="J153" s="466"/>
      <c r="K153" s="466"/>
      <c r="L153" s="466"/>
      <c r="M153" s="466"/>
      <c r="N153" s="466"/>
      <c r="O153" s="466"/>
      <c r="P153" s="466"/>
    </row>
    <row r="154" spans="1:16" ht="25.5" x14ac:dyDescent="0.25">
      <c r="A154" s="467" t="s">
        <v>694</v>
      </c>
      <c r="B154" s="468"/>
      <c r="C154" s="469"/>
      <c r="D154" s="470"/>
      <c r="E154" s="471"/>
      <c r="F154" s="472"/>
      <c r="G154" s="4" t="s">
        <v>693</v>
      </c>
      <c r="H154" s="66" t="s">
        <v>852</v>
      </c>
      <c r="I154" s="51" t="s">
        <v>695</v>
      </c>
      <c r="J154" s="470" t="s">
        <v>852</v>
      </c>
      <c r="K154" s="471"/>
      <c r="L154" s="472"/>
      <c r="M154" s="51" t="s">
        <v>492</v>
      </c>
      <c r="N154" s="458"/>
      <c r="O154" s="459"/>
      <c r="P154" s="460"/>
    </row>
    <row r="155" spans="1:16" x14ac:dyDescent="0.25">
      <c r="A155" s="486" t="s">
        <v>494</v>
      </c>
      <c r="B155" s="486" t="s">
        <v>495</v>
      </c>
      <c r="C155" s="486"/>
      <c r="D155" s="486"/>
      <c r="E155" s="486"/>
      <c r="F155" s="486"/>
      <c r="G155" s="486"/>
      <c r="H155" s="461" t="s">
        <v>496</v>
      </c>
      <c r="I155" s="529" t="s">
        <v>685</v>
      </c>
      <c r="J155" s="461" t="s">
        <v>497</v>
      </c>
      <c r="K155" s="461" t="s">
        <v>498</v>
      </c>
      <c r="L155" s="461" t="s">
        <v>499</v>
      </c>
      <c r="M155" s="461" t="s">
        <v>500</v>
      </c>
      <c r="N155" s="461" t="s">
        <v>501</v>
      </c>
      <c r="O155" s="461" t="s">
        <v>502</v>
      </c>
      <c r="P155" s="461" t="s">
        <v>503</v>
      </c>
    </row>
    <row r="156" spans="1:16" x14ac:dyDescent="0.25">
      <c r="A156" s="486"/>
      <c r="B156" s="538">
        <v>5</v>
      </c>
      <c r="C156" s="539"/>
      <c r="D156" s="538">
        <v>15</v>
      </c>
      <c r="E156" s="539"/>
      <c r="F156" s="538">
        <v>25</v>
      </c>
      <c r="G156" s="539"/>
      <c r="H156" s="461"/>
      <c r="I156" s="530"/>
      <c r="J156" s="461"/>
      <c r="K156" s="461"/>
      <c r="L156" s="461"/>
      <c r="M156" s="461"/>
      <c r="N156" s="461"/>
      <c r="O156" s="461"/>
      <c r="P156" s="461"/>
    </row>
    <row r="157" spans="1:16" x14ac:dyDescent="0.25">
      <c r="A157" s="5" t="s">
        <v>515</v>
      </c>
      <c r="B157" s="536">
        <v>0</v>
      </c>
      <c r="C157" s="537"/>
      <c r="D157" s="536">
        <v>0</v>
      </c>
      <c r="E157" s="537"/>
      <c r="F157" s="536">
        <v>0</v>
      </c>
      <c r="G157" s="537"/>
      <c r="H157" s="42">
        <f t="shared" ref="H157:H165" si="60">AVERAGE(B157:G157)</f>
        <v>0</v>
      </c>
      <c r="I157" s="43">
        <v>0</v>
      </c>
      <c r="J157" s="43">
        <v>0</v>
      </c>
      <c r="K157" s="44">
        <v>0</v>
      </c>
      <c r="L157" s="45">
        <f t="shared" ref="L157:L165" si="61">J157-K157</f>
        <v>0</v>
      </c>
      <c r="M157" s="7">
        <v>0</v>
      </c>
      <c r="N157" s="7">
        <v>0</v>
      </c>
      <c r="O157" s="7">
        <v>0</v>
      </c>
      <c r="P157" s="7">
        <v>0</v>
      </c>
    </row>
    <row r="158" spans="1:16" x14ac:dyDescent="0.25">
      <c r="A158" s="5" t="s">
        <v>516</v>
      </c>
      <c r="B158" s="536">
        <v>0</v>
      </c>
      <c r="C158" s="537"/>
      <c r="D158" s="536">
        <v>0</v>
      </c>
      <c r="E158" s="537"/>
      <c r="F158" s="536">
        <v>0</v>
      </c>
      <c r="G158" s="537"/>
      <c r="H158" s="42">
        <f t="shared" si="60"/>
        <v>0</v>
      </c>
      <c r="I158" s="43">
        <v>0</v>
      </c>
      <c r="J158" s="43">
        <v>0</v>
      </c>
      <c r="K158" s="44">
        <v>0</v>
      </c>
      <c r="L158" s="45">
        <f t="shared" si="61"/>
        <v>0</v>
      </c>
      <c r="M158" s="7">
        <v>0</v>
      </c>
      <c r="N158" s="7">
        <v>0</v>
      </c>
      <c r="O158" s="7">
        <v>0</v>
      </c>
      <c r="P158" s="7">
        <v>0</v>
      </c>
    </row>
    <row r="159" spans="1:16" x14ac:dyDescent="0.25">
      <c r="A159" s="5" t="s">
        <v>517</v>
      </c>
      <c r="B159" s="536">
        <v>0</v>
      </c>
      <c r="C159" s="537"/>
      <c r="D159" s="536">
        <v>0</v>
      </c>
      <c r="E159" s="537"/>
      <c r="F159" s="536">
        <v>0</v>
      </c>
      <c r="G159" s="537"/>
      <c r="H159" s="42">
        <f t="shared" si="60"/>
        <v>0</v>
      </c>
      <c r="I159" s="43">
        <v>0</v>
      </c>
      <c r="J159" s="43">
        <v>0</v>
      </c>
      <c r="K159" s="44">
        <v>0</v>
      </c>
      <c r="L159" s="45">
        <f t="shared" si="61"/>
        <v>0</v>
      </c>
      <c r="M159" s="7">
        <v>0</v>
      </c>
      <c r="N159" s="7">
        <v>0</v>
      </c>
      <c r="O159" s="7">
        <v>0</v>
      </c>
      <c r="P159" s="7">
        <v>0</v>
      </c>
    </row>
    <row r="160" spans="1:16" ht="15" customHeight="1" x14ac:dyDescent="0.25">
      <c r="A160" s="5" t="s">
        <v>504</v>
      </c>
      <c r="B160" s="536">
        <v>0</v>
      </c>
      <c r="C160" s="537"/>
      <c r="D160" s="536">
        <v>0</v>
      </c>
      <c r="E160" s="537"/>
      <c r="F160" s="536">
        <v>0</v>
      </c>
      <c r="G160" s="537"/>
      <c r="H160" s="42">
        <f t="shared" ref="H160:H162" si="62">AVERAGE(B160:G160)</f>
        <v>0</v>
      </c>
      <c r="I160" s="43">
        <v>0</v>
      </c>
      <c r="J160" s="43">
        <v>0</v>
      </c>
      <c r="K160" s="44">
        <v>0</v>
      </c>
      <c r="L160" s="45">
        <f t="shared" ref="L160:L162" si="63">J160-K160</f>
        <v>0</v>
      </c>
      <c r="M160" s="7">
        <v>0</v>
      </c>
      <c r="N160" s="7">
        <v>0</v>
      </c>
      <c r="O160" s="7">
        <v>0</v>
      </c>
      <c r="P160" s="7">
        <v>0</v>
      </c>
    </row>
    <row r="161" spans="1:16" ht="15" customHeight="1" x14ac:dyDescent="0.25">
      <c r="A161" s="5" t="s">
        <v>505</v>
      </c>
      <c r="B161" s="536">
        <v>0</v>
      </c>
      <c r="C161" s="537"/>
      <c r="D161" s="536">
        <v>0</v>
      </c>
      <c r="E161" s="537"/>
      <c r="F161" s="536">
        <v>0</v>
      </c>
      <c r="G161" s="537"/>
      <c r="H161" s="42">
        <f t="shared" si="62"/>
        <v>0</v>
      </c>
      <c r="I161" s="43">
        <v>0</v>
      </c>
      <c r="J161" s="43">
        <v>0</v>
      </c>
      <c r="K161" s="44">
        <v>0</v>
      </c>
      <c r="L161" s="45">
        <f t="shared" si="63"/>
        <v>0</v>
      </c>
      <c r="M161" s="7">
        <v>0</v>
      </c>
      <c r="N161" s="7">
        <v>0</v>
      </c>
      <c r="O161" s="7">
        <v>0</v>
      </c>
      <c r="P161" s="7">
        <v>0</v>
      </c>
    </row>
    <row r="162" spans="1:16" x14ac:dyDescent="0.25">
      <c r="A162" s="5" t="s">
        <v>506</v>
      </c>
      <c r="B162" s="536">
        <v>0</v>
      </c>
      <c r="C162" s="537"/>
      <c r="D162" s="536">
        <v>0</v>
      </c>
      <c r="E162" s="537"/>
      <c r="F162" s="536">
        <v>0</v>
      </c>
      <c r="G162" s="537"/>
      <c r="H162" s="42">
        <f t="shared" si="62"/>
        <v>0</v>
      </c>
      <c r="I162" s="43">
        <v>0</v>
      </c>
      <c r="J162" s="43">
        <v>0</v>
      </c>
      <c r="K162" s="44">
        <v>0</v>
      </c>
      <c r="L162" s="45">
        <f t="shared" si="63"/>
        <v>0</v>
      </c>
      <c r="M162" s="7">
        <v>0</v>
      </c>
      <c r="N162" s="7">
        <v>0</v>
      </c>
      <c r="O162" s="7">
        <v>0</v>
      </c>
      <c r="P162" s="7">
        <v>0</v>
      </c>
    </row>
    <row r="163" spans="1:16" x14ac:dyDescent="0.25">
      <c r="A163" s="5" t="s">
        <v>546</v>
      </c>
      <c r="B163" s="536">
        <v>0</v>
      </c>
      <c r="C163" s="537"/>
      <c r="D163" s="536">
        <v>0</v>
      </c>
      <c r="E163" s="537"/>
      <c r="F163" s="536">
        <v>0</v>
      </c>
      <c r="G163" s="537"/>
      <c r="H163" s="42">
        <f t="shared" si="60"/>
        <v>0</v>
      </c>
      <c r="I163" s="43">
        <v>0</v>
      </c>
      <c r="J163" s="43">
        <v>0</v>
      </c>
      <c r="K163" s="44">
        <v>0</v>
      </c>
      <c r="L163" s="45">
        <f t="shared" si="61"/>
        <v>0</v>
      </c>
      <c r="M163" s="7">
        <v>0</v>
      </c>
      <c r="N163" s="7">
        <v>0</v>
      </c>
      <c r="O163" s="7">
        <v>0</v>
      </c>
      <c r="P163" s="7">
        <v>0</v>
      </c>
    </row>
    <row r="164" spans="1:16" x14ac:dyDescent="0.25">
      <c r="A164" s="5" t="s">
        <v>548</v>
      </c>
      <c r="B164" s="536">
        <v>0</v>
      </c>
      <c r="C164" s="537"/>
      <c r="D164" s="536">
        <v>0</v>
      </c>
      <c r="E164" s="537"/>
      <c r="F164" s="536">
        <v>0</v>
      </c>
      <c r="G164" s="537"/>
      <c r="H164" s="42">
        <f t="shared" si="60"/>
        <v>0</v>
      </c>
      <c r="I164" s="43">
        <v>0</v>
      </c>
      <c r="J164" s="43">
        <v>0</v>
      </c>
      <c r="K164" s="44">
        <v>0</v>
      </c>
      <c r="L164" s="45">
        <f t="shared" si="61"/>
        <v>0</v>
      </c>
      <c r="M164" s="7">
        <v>0</v>
      </c>
      <c r="N164" s="7">
        <v>0</v>
      </c>
      <c r="O164" s="7">
        <v>0</v>
      </c>
      <c r="P164" s="7">
        <v>0</v>
      </c>
    </row>
    <row r="165" spans="1:16" x14ac:dyDescent="0.25">
      <c r="A165" s="5" t="s">
        <v>550</v>
      </c>
      <c r="B165" s="536">
        <v>0</v>
      </c>
      <c r="C165" s="537"/>
      <c r="D165" s="536">
        <v>0</v>
      </c>
      <c r="E165" s="537"/>
      <c r="F165" s="536">
        <v>0</v>
      </c>
      <c r="G165" s="537"/>
      <c r="H165" s="42">
        <f t="shared" si="60"/>
        <v>0</v>
      </c>
      <c r="I165" s="43">
        <v>0</v>
      </c>
      <c r="J165" s="43">
        <v>0</v>
      </c>
      <c r="K165" s="44">
        <v>0</v>
      </c>
      <c r="L165" s="45">
        <f t="shared" si="61"/>
        <v>0</v>
      </c>
      <c r="M165" s="7">
        <v>0</v>
      </c>
      <c r="N165" s="7">
        <v>0</v>
      </c>
      <c r="O165" s="7">
        <v>0</v>
      </c>
      <c r="P165" s="7">
        <v>0</v>
      </c>
    </row>
    <row r="166" spans="1:16" x14ac:dyDescent="0.25">
      <c r="A166" s="50" t="s">
        <v>507</v>
      </c>
      <c r="B166" s="534">
        <f>SUM(B157:B165)</f>
        <v>0</v>
      </c>
      <c r="C166" s="535"/>
      <c r="D166" s="534">
        <f>SUM(D157:D165)</f>
        <v>0</v>
      </c>
      <c r="E166" s="535"/>
      <c r="F166" s="534">
        <f>SUM(F157:F165)</f>
        <v>0</v>
      </c>
      <c r="G166" s="535"/>
      <c r="H166" s="42">
        <f t="shared" ref="H166:P166" si="64">SUM(H157:H165)</f>
        <v>0</v>
      </c>
      <c r="I166" s="42">
        <f t="shared" si="64"/>
        <v>0</v>
      </c>
      <c r="J166" s="42">
        <f t="shared" si="64"/>
        <v>0</v>
      </c>
      <c r="K166" s="42">
        <f t="shared" si="64"/>
        <v>0</v>
      </c>
      <c r="L166" s="42">
        <f t="shared" si="64"/>
        <v>0</v>
      </c>
      <c r="M166" s="10">
        <f t="shared" si="64"/>
        <v>0</v>
      </c>
      <c r="N166" s="10">
        <f t="shared" si="64"/>
        <v>0</v>
      </c>
      <c r="O166" s="8">
        <f t="shared" si="64"/>
        <v>0</v>
      </c>
      <c r="P166" s="8">
        <f t="shared" si="64"/>
        <v>0</v>
      </c>
    </row>
    <row r="167" spans="1:16" x14ac:dyDescent="0.25">
      <c r="A167" s="50" t="s">
        <v>496</v>
      </c>
      <c r="B167" s="534">
        <f>AVERAGE(B157:B165)</f>
        <v>0</v>
      </c>
      <c r="C167" s="535"/>
      <c r="D167" s="534">
        <f>AVERAGE(D157:D165)</f>
        <v>0</v>
      </c>
      <c r="E167" s="535"/>
      <c r="F167" s="534">
        <f>AVERAGE(F157:F165)</f>
        <v>0</v>
      </c>
      <c r="G167" s="535"/>
      <c r="H167" s="42">
        <f t="shared" ref="H167:N167" si="65">AVERAGE(H157:H165)</f>
        <v>0</v>
      </c>
      <c r="I167" s="42">
        <f t="shared" si="65"/>
        <v>0</v>
      </c>
      <c r="J167" s="42">
        <f t="shared" si="65"/>
        <v>0</v>
      </c>
      <c r="K167" s="42">
        <f t="shared" si="65"/>
        <v>0</v>
      </c>
      <c r="L167" s="42">
        <f t="shared" si="65"/>
        <v>0</v>
      </c>
      <c r="M167" s="10">
        <f t="shared" si="65"/>
        <v>0</v>
      </c>
      <c r="N167" s="10">
        <f t="shared" si="65"/>
        <v>0</v>
      </c>
      <c r="O167" s="52" t="e">
        <f>N166/O166</f>
        <v>#DIV/0!</v>
      </c>
      <c r="P167" s="52" t="e">
        <f>M166/P166</f>
        <v>#DIV/0!</v>
      </c>
    </row>
    <row r="168" spans="1:16" ht="38.25" x14ac:dyDescent="0.25">
      <c r="A168" s="50" t="s">
        <v>508</v>
      </c>
      <c r="B168" s="534">
        <f>B167+I167</f>
        <v>0</v>
      </c>
      <c r="C168" s="535"/>
      <c r="D168" s="534">
        <f>D167+I167</f>
        <v>0</v>
      </c>
      <c r="E168" s="535"/>
      <c r="F168" s="534">
        <f>F167+I167</f>
        <v>0</v>
      </c>
      <c r="G168" s="535"/>
      <c r="H168" s="42">
        <f>H167+I167</f>
        <v>0</v>
      </c>
      <c r="I168" s="462"/>
      <c r="J168" s="463"/>
      <c r="K168" s="463"/>
      <c r="L168" s="463"/>
      <c r="M168" s="463"/>
      <c r="N168" s="464"/>
      <c r="O168" s="6" t="s">
        <v>509</v>
      </c>
      <c r="P168" s="6" t="s">
        <v>510</v>
      </c>
    </row>
    <row r="169" spans="1:16" ht="18.75" x14ac:dyDescent="0.25">
      <c r="A169" s="466" t="s">
        <v>756</v>
      </c>
      <c r="B169" s="466"/>
      <c r="C169" s="466"/>
      <c r="D169" s="466"/>
      <c r="E169" s="466"/>
      <c r="F169" s="466"/>
      <c r="G169" s="466"/>
      <c r="H169" s="466"/>
      <c r="I169" s="466"/>
      <c r="J169" s="466"/>
      <c r="K169" s="466"/>
      <c r="L169" s="466"/>
      <c r="M169" s="466"/>
      <c r="N169" s="466"/>
      <c r="O169" s="466"/>
      <c r="P169" s="466"/>
    </row>
    <row r="170" spans="1:16" ht="25.5" x14ac:dyDescent="0.25">
      <c r="A170" s="467" t="s">
        <v>694</v>
      </c>
      <c r="B170" s="468"/>
      <c r="C170" s="469"/>
      <c r="D170" s="470"/>
      <c r="E170" s="471"/>
      <c r="F170" s="472"/>
      <c r="G170" s="4" t="s">
        <v>693</v>
      </c>
      <c r="H170" s="66" t="s">
        <v>852</v>
      </c>
      <c r="I170" s="51" t="s">
        <v>695</v>
      </c>
      <c r="J170" s="470" t="s">
        <v>852</v>
      </c>
      <c r="K170" s="471"/>
      <c r="L170" s="472"/>
      <c r="M170" s="51" t="s">
        <v>492</v>
      </c>
      <c r="N170" s="458"/>
      <c r="O170" s="459"/>
      <c r="P170" s="460"/>
    </row>
    <row r="171" spans="1:16" x14ac:dyDescent="0.25">
      <c r="A171" s="486" t="s">
        <v>494</v>
      </c>
      <c r="B171" s="486" t="s">
        <v>495</v>
      </c>
      <c r="C171" s="486"/>
      <c r="D171" s="486"/>
      <c r="E171" s="486"/>
      <c r="F171" s="486"/>
      <c r="G171" s="486"/>
      <c r="H171" s="461" t="s">
        <v>496</v>
      </c>
      <c r="I171" s="529" t="s">
        <v>685</v>
      </c>
      <c r="J171" s="461" t="s">
        <v>497</v>
      </c>
      <c r="K171" s="461" t="s">
        <v>498</v>
      </c>
      <c r="L171" s="461" t="s">
        <v>499</v>
      </c>
      <c r="M171" s="461" t="s">
        <v>500</v>
      </c>
      <c r="N171" s="461" t="s">
        <v>501</v>
      </c>
      <c r="O171" s="461" t="s">
        <v>502</v>
      </c>
      <c r="P171" s="461" t="s">
        <v>503</v>
      </c>
    </row>
    <row r="172" spans="1:16" x14ac:dyDescent="0.25">
      <c r="A172" s="486"/>
      <c r="B172" s="538">
        <v>5</v>
      </c>
      <c r="C172" s="539"/>
      <c r="D172" s="538">
        <v>15</v>
      </c>
      <c r="E172" s="539"/>
      <c r="F172" s="538">
        <v>25</v>
      </c>
      <c r="G172" s="539"/>
      <c r="H172" s="461"/>
      <c r="I172" s="530"/>
      <c r="J172" s="461"/>
      <c r="K172" s="461"/>
      <c r="L172" s="461"/>
      <c r="M172" s="461"/>
      <c r="N172" s="461"/>
      <c r="O172" s="461"/>
      <c r="P172" s="461"/>
    </row>
    <row r="173" spans="1:16" ht="15" customHeight="1" x14ac:dyDescent="0.25">
      <c r="A173" s="5" t="s">
        <v>515</v>
      </c>
      <c r="B173" s="536">
        <v>0</v>
      </c>
      <c r="C173" s="537"/>
      <c r="D173" s="536">
        <v>0</v>
      </c>
      <c r="E173" s="537"/>
      <c r="F173" s="536">
        <v>0</v>
      </c>
      <c r="G173" s="537"/>
      <c r="H173" s="42">
        <f t="shared" ref="H173:H181" si="66">AVERAGE(B173:G173)</f>
        <v>0</v>
      </c>
      <c r="I173" s="43">
        <v>0</v>
      </c>
      <c r="J173" s="43">
        <v>0</v>
      </c>
      <c r="K173" s="44">
        <v>0</v>
      </c>
      <c r="L173" s="45">
        <f t="shared" ref="L173:L181" si="67">J173-K173</f>
        <v>0</v>
      </c>
      <c r="M173" s="7">
        <v>0</v>
      </c>
      <c r="N173" s="7">
        <v>0</v>
      </c>
      <c r="O173" s="7">
        <v>0</v>
      </c>
      <c r="P173" s="7">
        <v>0</v>
      </c>
    </row>
    <row r="174" spans="1:16" ht="15" customHeight="1" x14ac:dyDescent="0.25">
      <c r="A174" s="5" t="s">
        <v>516</v>
      </c>
      <c r="B174" s="536">
        <v>0</v>
      </c>
      <c r="C174" s="537"/>
      <c r="D174" s="536">
        <v>0</v>
      </c>
      <c r="E174" s="537"/>
      <c r="F174" s="536">
        <v>0</v>
      </c>
      <c r="G174" s="537"/>
      <c r="H174" s="42">
        <f t="shared" si="66"/>
        <v>0</v>
      </c>
      <c r="I174" s="43">
        <v>0</v>
      </c>
      <c r="J174" s="43">
        <v>0</v>
      </c>
      <c r="K174" s="44">
        <v>0</v>
      </c>
      <c r="L174" s="45">
        <f t="shared" si="67"/>
        <v>0</v>
      </c>
      <c r="M174" s="7">
        <v>0</v>
      </c>
      <c r="N174" s="7">
        <v>0</v>
      </c>
      <c r="O174" s="7">
        <v>0</v>
      </c>
      <c r="P174" s="7">
        <v>0</v>
      </c>
    </row>
    <row r="175" spans="1:16" x14ac:dyDescent="0.25">
      <c r="A175" s="5" t="s">
        <v>517</v>
      </c>
      <c r="B175" s="536">
        <v>0</v>
      </c>
      <c r="C175" s="537"/>
      <c r="D175" s="536">
        <v>0</v>
      </c>
      <c r="E175" s="537"/>
      <c r="F175" s="536">
        <v>0</v>
      </c>
      <c r="G175" s="537"/>
      <c r="H175" s="42">
        <f t="shared" si="66"/>
        <v>0</v>
      </c>
      <c r="I175" s="43">
        <v>0</v>
      </c>
      <c r="J175" s="43">
        <v>0</v>
      </c>
      <c r="K175" s="44">
        <v>0</v>
      </c>
      <c r="L175" s="45">
        <f t="shared" si="67"/>
        <v>0</v>
      </c>
      <c r="M175" s="7">
        <v>0</v>
      </c>
      <c r="N175" s="7">
        <v>0</v>
      </c>
      <c r="O175" s="7">
        <v>0</v>
      </c>
      <c r="P175" s="7">
        <v>0</v>
      </c>
    </row>
    <row r="176" spans="1:16" x14ac:dyDescent="0.25">
      <c r="A176" s="5" t="s">
        <v>504</v>
      </c>
      <c r="B176" s="536">
        <v>0</v>
      </c>
      <c r="C176" s="537"/>
      <c r="D176" s="536">
        <v>0</v>
      </c>
      <c r="E176" s="537"/>
      <c r="F176" s="536">
        <v>0</v>
      </c>
      <c r="G176" s="537"/>
      <c r="H176" s="42">
        <f t="shared" ref="H176:H178" si="68">AVERAGE(B176:G176)</f>
        <v>0</v>
      </c>
      <c r="I176" s="43">
        <v>0</v>
      </c>
      <c r="J176" s="43">
        <v>0</v>
      </c>
      <c r="K176" s="44">
        <v>0</v>
      </c>
      <c r="L176" s="45">
        <f t="shared" ref="L176:L178" si="69">J176-K176</f>
        <v>0</v>
      </c>
      <c r="M176" s="7">
        <v>0</v>
      </c>
      <c r="N176" s="7">
        <v>0</v>
      </c>
      <c r="O176" s="7">
        <v>0</v>
      </c>
      <c r="P176" s="7">
        <v>0</v>
      </c>
    </row>
    <row r="177" spans="1:16" x14ac:dyDescent="0.25">
      <c r="A177" s="5" t="s">
        <v>505</v>
      </c>
      <c r="B177" s="536">
        <v>0</v>
      </c>
      <c r="C177" s="537"/>
      <c r="D177" s="536">
        <v>0</v>
      </c>
      <c r="E177" s="537"/>
      <c r="F177" s="536">
        <v>0</v>
      </c>
      <c r="G177" s="537"/>
      <c r="H177" s="42">
        <f t="shared" si="68"/>
        <v>0</v>
      </c>
      <c r="I177" s="43">
        <v>0</v>
      </c>
      <c r="J177" s="43">
        <v>0</v>
      </c>
      <c r="K177" s="44">
        <v>0</v>
      </c>
      <c r="L177" s="45">
        <f t="shared" si="69"/>
        <v>0</v>
      </c>
      <c r="M177" s="7">
        <v>0</v>
      </c>
      <c r="N177" s="7">
        <v>0</v>
      </c>
      <c r="O177" s="7">
        <v>0</v>
      </c>
      <c r="P177" s="7">
        <v>0</v>
      </c>
    </row>
    <row r="178" spans="1:16" x14ac:dyDescent="0.25">
      <c r="A178" s="5" t="s">
        <v>506</v>
      </c>
      <c r="B178" s="536">
        <v>0</v>
      </c>
      <c r="C178" s="537"/>
      <c r="D178" s="536">
        <v>0</v>
      </c>
      <c r="E178" s="537"/>
      <c r="F178" s="536">
        <v>0</v>
      </c>
      <c r="G178" s="537"/>
      <c r="H178" s="42">
        <f t="shared" si="68"/>
        <v>0</v>
      </c>
      <c r="I178" s="43">
        <v>0</v>
      </c>
      <c r="J178" s="43">
        <v>0</v>
      </c>
      <c r="K178" s="44">
        <v>0</v>
      </c>
      <c r="L178" s="45">
        <f t="shared" si="69"/>
        <v>0</v>
      </c>
      <c r="M178" s="7">
        <v>0</v>
      </c>
      <c r="N178" s="7">
        <v>0</v>
      </c>
      <c r="O178" s="7">
        <v>0</v>
      </c>
      <c r="P178" s="7">
        <v>0</v>
      </c>
    </row>
    <row r="179" spans="1:16" x14ac:dyDescent="0.25">
      <c r="A179" s="5" t="s">
        <v>504</v>
      </c>
      <c r="B179" s="536">
        <v>0</v>
      </c>
      <c r="C179" s="537"/>
      <c r="D179" s="536">
        <v>0</v>
      </c>
      <c r="E179" s="537"/>
      <c r="F179" s="536">
        <v>0</v>
      </c>
      <c r="G179" s="537"/>
      <c r="H179" s="42">
        <f t="shared" si="66"/>
        <v>0</v>
      </c>
      <c r="I179" s="43">
        <v>0</v>
      </c>
      <c r="J179" s="43">
        <v>0</v>
      </c>
      <c r="K179" s="44">
        <v>0</v>
      </c>
      <c r="L179" s="45">
        <f t="shared" si="67"/>
        <v>0</v>
      </c>
      <c r="M179" s="7">
        <v>0</v>
      </c>
      <c r="N179" s="7">
        <v>0</v>
      </c>
      <c r="O179" s="7">
        <v>0</v>
      </c>
      <c r="P179" s="7">
        <v>0</v>
      </c>
    </row>
    <row r="180" spans="1:16" x14ac:dyDescent="0.25">
      <c r="A180" s="5" t="s">
        <v>505</v>
      </c>
      <c r="B180" s="536">
        <v>0</v>
      </c>
      <c r="C180" s="537"/>
      <c r="D180" s="536">
        <v>0</v>
      </c>
      <c r="E180" s="537"/>
      <c r="F180" s="536">
        <v>0</v>
      </c>
      <c r="G180" s="537"/>
      <c r="H180" s="42">
        <f t="shared" si="66"/>
        <v>0</v>
      </c>
      <c r="I180" s="43">
        <v>0</v>
      </c>
      <c r="J180" s="43">
        <v>0</v>
      </c>
      <c r="K180" s="44">
        <v>0</v>
      </c>
      <c r="L180" s="45">
        <f t="shared" si="67"/>
        <v>0</v>
      </c>
      <c r="M180" s="7">
        <v>0</v>
      </c>
      <c r="N180" s="7">
        <v>0</v>
      </c>
      <c r="O180" s="7">
        <v>0</v>
      </c>
      <c r="P180" s="7">
        <v>0</v>
      </c>
    </row>
    <row r="181" spans="1:16" x14ac:dyDescent="0.25">
      <c r="A181" s="5" t="s">
        <v>506</v>
      </c>
      <c r="B181" s="536">
        <v>0</v>
      </c>
      <c r="C181" s="537"/>
      <c r="D181" s="536">
        <v>0</v>
      </c>
      <c r="E181" s="537"/>
      <c r="F181" s="536">
        <v>0</v>
      </c>
      <c r="G181" s="537"/>
      <c r="H181" s="42">
        <f t="shared" si="66"/>
        <v>0</v>
      </c>
      <c r="I181" s="43">
        <v>0</v>
      </c>
      <c r="J181" s="43">
        <v>0</v>
      </c>
      <c r="K181" s="44">
        <v>0</v>
      </c>
      <c r="L181" s="45">
        <f t="shared" si="67"/>
        <v>0</v>
      </c>
      <c r="M181" s="7">
        <v>0</v>
      </c>
      <c r="N181" s="7">
        <v>0</v>
      </c>
      <c r="O181" s="7">
        <v>0</v>
      </c>
      <c r="P181" s="7">
        <v>0</v>
      </c>
    </row>
    <row r="182" spans="1:16" x14ac:dyDescent="0.25">
      <c r="A182" s="50" t="s">
        <v>507</v>
      </c>
      <c r="B182" s="534">
        <f>SUM(B173:B181)</f>
        <v>0</v>
      </c>
      <c r="C182" s="535"/>
      <c r="D182" s="534">
        <f>SUM(D173:D181)</f>
        <v>0</v>
      </c>
      <c r="E182" s="535"/>
      <c r="F182" s="534">
        <f>SUM(F173:F181)</f>
        <v>0</v>
      </c>
      <c r="G182" s="535"/>
      <c r="H182" s="42">
        <f t="shared" ref="H182:P182" si="70">SUM(H173:H181)</f>
        <v>0</v>
      </c>
      <c r="I182" s="42">
        <f t="shared" si="70"/>
        <v>0</v>
      </c>
      <c r="J182" s="42">
        <f t="shared" si="70"/>
        <v>0</v>
      </c>
      <c r="K182" s="42">
        <f t="shared" si="70"/>
        <v>0</v>
      </c>
      <c r="L182" s="42">
        <f t="shared" si="70"/>
        <v>0</v>
      </c>
      <c r="M182" s="10">
        <f t="shared" si="70"/>
        <v>0</v>
      </c>
      <c r="N182" s="10">
        <f t="shared" si="70"/>
        <v>0</v>
      </c>
      <c r="O182" s="8">
        <f t="shared" si="70"/>
        <v>0</v>
      </c>
      <c r="P182" s="8">
        <f t="shared" si="70"/>
        <v>0</v>
      </c>
    </row>
    <row r="183" spans="1:16" x14ac:dyDescent="0.25">
      <c r="A183" s="50" t="s">
        <v>496</v>
      </c>
      <c r="B183" s="534">
        <f>AVERAGE(B173:B181)</f>
        <v>0</v>
      </c>
      <c r="C183" s="535"/>
      <c r="D183" s="534">
        <f>AVERAGE(D173:D181)</f>
        <v>0</v>
      </c>
      <c r="E183" s="535"/>
      <c r="F183" s="534">
        <f>AVERAGE(F173:F181)</f>
        <v>0</v>
      </c>
      <c r="G183" s="535"/>
      <c r="H183" s="42">
        <f t="shared" ref="H183:N183" si="71">AVERAGE(H173:H181)</f>
        <v>0</v>
      </c>
      <c r="I183" s="42">
        <f t="shared" si="71"/>
        <v>0</v>
      </c>
      <c r="J183" s="42">
        <f t="shared" si="71"/>
        <v>0</v>
      </c>
      <c r="K183" s="42">
        <f t="shared" si="71"/>
        <v>0</v>
      </c>
      <c r="L183" s="42">
        <f t="shared" si="71"/>
        <v>0</v>
      </c>
      <c r="M183" s="10">
        <f t="shared" si="71"/>
        <v>0</v>
      </c>
      <c r="N183" s="10">
        <f t="shared" si="71"/>
        <v>0</v>
      </c>
      <c r="O183" s="52" t="e">
        <f>N182/O182</f>
        <v>#DIV/0!</v>
      </c>
      <c r="P183" s="52" t="e">
        <f>M182/P182</f>
        <v>#DIV/0!</v>
      </c>
    </row>
    <row r="184" spans="1:16" ht="38.25" x14ac:dyDescent="0.25">
      <c r="A184" s="50" t="s">
        <v>508</v>
      </c>
      <c r="B184" s="534">
        <f>B183+I183</f>
        <v>0</v>
      </c>
      <c r="C184" s="535"/>
      <c r="D184" s="534">
        <f>D183+I183</f>
        <v>0</v>
      </c>
      <c r="E184" s="535"/>
      <c r="F184" s="534">
        <f>F183+I183</f>
        <v>0</v>
      </c>
      <c r="G184" s="535"/>
      <c r="H184" s="42">
        <f>H183+I183</f>
        <v>0</v>
      </c>
      <c r="I184" s="462"/>
      <c r="J184" s="463"/>
      <c r="K184" s="463"/>
      <c r="L184" s="463"/>
      <c r="M184" s="463"/>
      <c r="N184" s="464"/>
      <c r="O184" s="6" t="s">
        <v>509</v>
      </c>
      <c r="P184" s="6" t="s">
        <v>510</v>
      </c>
    </row>
    <row r="185" spans="1:16" ht="18.75" x14ac:dyDescent="0.25">
      <c r="A185" s="466" t="s">
        <v>757</v>
      </c>
      <c r="B185" s="466"/>
      <c r="C185" s="466"/>
      <c r="D185" s="466"/>
      <c r="E185" s="466"/>
      <c r="F185" s="466"/>
      <c r="G185" s="466"/>
      <c r="H185" s="466"/>
      <c r="I185" s="466"/>
      <c r="J185" s="466"/>
      <c r="K185" s="466"/>
      <c r="L185" s="466"/>
      <c r="M185" s="466"/>
      <c r="N185" s="466"/>
      <c r="O185" s="466"/>
      <c r="P185" s="466"/>
    </row>
    <row r="186" spans="1:16" ht="15" customHeight="1" x14ac:dyDescent="0.25">
      <c r="A186" s="467" t="s">
        <v>694</v>
      </c>
      <c r="B186" s="468"/>
      <c r="C186" s="469"/>
      <c r="D186" s="470"/>
      <c r="E186" s="471"/>
      <c r="F186" s="472"/>
      <c r="G186" s="4" t="s">
        <v>693</v>
      </c>
      <c r="H186" s="66" t="s">
        <v>852</v>
      </c>
      <c r="I186" s="51" t="s">
        <v>695</v>
      </c>
      <c r="J186" s="470" t="s">
        <v>852</v>
      </c>
      <c r="K186" s="471"/>
      <c r="L186" s="472"/>
      <c r="M186" s="51" t="s">
        <v>492</v>
      </c>
      <c r="N186" s="458"/>
      <c r="O186" s="459"/>
      <c r="P186" s="460"/>
    </row>
    <row r="187" spans="1:16" ht="15" customHeight="1" x14ac:dyDescent="0.25">
      <c r="A187" s="486" t="s">
        <v>494</v>
      </c>
      <c r="B187" s="486" t="s">
        <v>495</v>
      </c>
      <c r="C187" s="486"/>
      <c r="D187" s="486"/>
      <c r="E187" s="486"/>
      <c r="F187" s="486"/>
      <c r="G187" s="486"/>
      <c r="H187" s="461" t="s">
        <v>496</v>
      </c>
      <c r="I187" s="529" t="s">
        <v>685</v>
      </c>
      <c r="J187" s="461" t="s">
        <v>497</v>
      </c>
      <c r="K187" s="461" t="s">
        <v>498</v>
      </c>
      <c r="L187" s="461" t="s">
        <v>499</v>
      </c>
      <c r="M187" s="461" t="s">
        <v>500</v>
      </c>
      <c r="N187" s="461" t="s">
        <v>501</v>
      </c>
      <c r="O187" s="461" t="s">
        <v>502</v>
      </c>
      <c r="P187" s="461" t="s">
        <v>503</v>
      </c>
    </row>
    <row r="188" spans="1:16" x14ac:dyDescent="0.25">
      <c r="A188" s="486"/>
      <c r="B188" s="538">
        <v>5</v>
      </c>
      <c r="C188" s="539"/>
      <c r="D188" s="538">
        <v>15</v>
      </c>
      <c r="E188" s="539"/>
      <c r="F188" s="538">
        <v>25</v>
      </c>
      <c r="G188" s="539"/>
      <c r="H188" s="461"/>
      <c r="I188" s="530"/>
      <c r="J188" s="461"/>
      <c r="K188" s="461"/>
      <c r="L188" s="461"/>
      <c r="M188" s="461"/>
      <c r="N188" s="461"/>
      <c r="O188" s="461"/>
      <c r="P188" s="461"/>
    </row>
    <row r="189" spans="1:16" x14ac:dyDescent="0.25">
      <c r="A189" s="5" t="s">
        <v>515</v>
      </c>
      <c r="B189" s="536">
        <v>0</v>
      </c>
      <c r="C189" s="537"/>
      <c r="D189" s="536">
        <v>0</v>
      </c>
      <c r="E189" s="537"/>
      <c r="F189" s="536">
        <v>0</v>
      </c>
      <c r="G189" s="537"/>
      <c r="H189" s="42">
        <f t="shared" ref="H189:H197" si="72">AVERAGE(B189:G189)</f>
        <v>0</v>
      </c>
      <c r="I189" s="43">
        <v>0</v>
      </c>
      <c r="J189" s="43">
        <v>0</v>
      </c>
      <c r="K189" s="44">
        <v>0</v>
      </c>
      <c r="L189" s="45">
        <f t="shared" ref="L189:L197" si="73">J189-K189</f>
        <v>0</v>
      </c>
      <c r="M189" s="7">
        <v>0</v>
      </c>
      <c r="N189" s="7">
        <v>0</v>
      </c>
      <c r="O189" s="7">
        <v>0</v>
      </c>
      <c r="P189" s="7">
        <v>0</v>
      </c>
    </row>
    <row r="190" spans="1:16" x14ac:dyDescent="0.25">
      <c r="A190" s="5" t="s">
        <v>516</v>
      </c>
      <c r="B190" s="536">
        <v>0</v>
      </c>
      <c r="C190" s="537"/>
      <c r="D190" s="536">
        <v>0</v>
      </c>
      <c r="E190" s="537"/>
      <c r="F190" s="536">
        <v>0</v>
      </c>
      <c r="G190" s="537"/>
      <c r="H190" s="42">
        <f t="shared" si="72"/>
        <v>0</v>
      </c>
      <c r="I190" s="43">
        <v>0</v>
      </c>
      <c r="J190" s="43">
        <v>0</v>
      </c>
      <c r="K190" s="44">
        <v>0</v>
      </c>
      <c r="L190" s="45">
        <f t="shared" si="73"/>
        <v>0</v>
      </c>
      <c r="M190" s="7">
        <v>0</v>
      </c>
      <c r="N190" s="7">
        <v>0</v>
      </c>
      <c r="O190" s="7">
        <v>0</v>
      </c>
      <c r="P190" s="7">
        <v>0</v>
      </c>
    </row>
    <row r="191" spans="1:16" x14ac:dyDescent="0.25">
      <c r="A191" s="5" t="s">
        <v>517</v>
      </c>
      <c r="B191" s="536">
        <v>0</v>
      </c>
      <c r="C191" s="537"/>
      <c r="D191" s="536">
        <v>0</v>
      </c>
      <c r="E191" s="537"/>
      <c r="F191" s="536">
        <v>0</v>
      </c>
      <c r="G191" s="537"/>
      <c r="H191" s="42">
        <f t="shared" si="72"/>
        <v>0</v>
      </c>
      <c r="I191" s="43">
        <v>0</v>
      </c>
      <c r="J191" s="43">
        <v>0</v>
      </c>
      <c r="K191" s="44">
        <v>0</v>
      </c>
      <c r="L191" s="45">
        <f t="shared" si="73"/>
        <v>0</v>
      </c>
      <c r="M191" s="7">
        <v>0</v>
      </c>
      <c r="N191" s="7">
        <v>0</v>
      </c>
      <c r="O191" s="7">
        <v>0</v>
      </c>
      <c r="P191" s="7">
        <v>0</v>
      </c>
    </row>
    <row r="192" spans="1:16" x14ac:dyDescent="0.25">
      <c r="A192" s="5" t="s">
        <v>504</v>
      </c>
      <c r="B192" s="536">
        <v>0</v>
      </c>
      <c r="C192" s="537"/>
      <c r="D192" s="536">
        <v>0</v>
      </c>
      <c r="E192" s="537"/>
      <c r="F192" s="536">
        <v>0</v>
      </c>
      <c r="G192" s="537"/>
      <c r="H192" s="42">
        <f t="shared" ref="H192:H194" si="74">AVERAGE(B192:G192)</f>
        <v>0</v>
      </c>
      <c r="I192" s="43">
        <v>0</v>
      </c>
      <c r="J192" s="43">
        <v>0</v>
      </c>
      <c r="K192" s="44">
        <v>0</v>
      </c>
      <c r="L192" s="45">
        <f t="shared" ref="L192:L194" si="75">J192-K192</f>
        <v>0</v>
      </c>
      <c r="M192" s="7">
        <v>0</v>
      </c>
      <c r="N192" s="7">
        <v>0</v>
      </c>
      <c r="O192" s="7">
        <v>0</v>
      </c>
      <c r="P192" s="7">
        <v>0</v>
      </c>
    </row>
    <row r="193" spans="1:16" x14ac:dyDescent="0.25">
      <c r="A193" s="5" t="s">
        <v>505</v>
      </c>
      <c r="B193" s="536">
        <v>0</v>
      </c>
      <c r="C193" s="537"/>
      <c r="D193" s="536">
        <v>0</v>
      </c>
      <c r="E193" s="537"/>
      <c r="F193" s="536">
        <v>0</v>
      </c>
      <c r="G193" s="537"/>
      <c r="H193" s="42">
        <f t="shared" si="74"/>
        <v>0</v>
      </c>
      <c r="I193" s="43">
        <v>0</v>
      </c>
      <c r="J193" s="43">
        <v>0</v>
      </c>
      <c r="K193" s="44">
        <v>0</v>
      </c>
      <c r="L193" s="45">
        <f t="shared" si="75"/>
        <v>0</v>
      </c>
      <c r="M193" s="7">
        <v>0</v>
      </c>
      <c r="N193" s="7">
        <v>0</v>
      </c>
      <c r="O193" s="7">
        <v>0</v>
      </c>
      <c r="P193" s="7">
        <v>0</v>
      </c>
    </row>
    <row r="194" spans="1:16" x14ac:dyDescent="0.25">
      <c r="A194" s="5" t="s">
        <v>506</v>
      </c>
      <c r="B194" s="536">
        <v>0</v>
      </c>
      <c r="C194" s="537"/>
      <c r="D194" s="536">
        <v>0</v>
      </c>
      <c r="E194" s="537"/>
      <c r="F194" s="536">
        <v>0</v>
      </c>
      <c r="G194" s="537"/>
      <c r="H194" s="42">
        <f t="shared" si="74"/>
        <v>0</v>
      </c>
      <c r="I194" s="43">
        <v>0</v>
      </c>
      <c r="J194" s="43">
        <v>0</v>
      </c>
      <c r="K194" s="44">
        <v>0</v>
      </c>
      <c r="L194" s="45">
        <f t="shared" si="75"/>
        <v>0</v>
      </c>
      <c r="M194" s="7">
        <v>0</v>
      </c>
      <c r="N194" s="7">
        <v>0</v>
      </c>
      <c r="O194" s="7">
        <v>0</v>
      </c>
      <c r="P194" s="7">
        <v>0</v>
      </c>
    </row>
    <row r="195" spans="1:16" x14ac:dyDescent="0.25">
      <c r="A195" s="5" t="s">
        <v>504</v>
      </c>
      <c r="B195" s="536">
        <v>0</v>
      </c>
      <c r="C195" s="537"/>
      <c r="D195" s="536">
        <v>0</v>
      </c>
      <c r="E195" s="537"/>
      <c r="F195" s="536">
        <v>0</v>
      </c>
      <c r="G195" s="537"/>
      <c r="H195" s="42">
        <f t="shared" si="72"/>
        <v>0</v>
      </c>
      <c r="I195" s="43">
        <v>0</v>
      </c>
      <c r="J195" s="43">
        <v>0</v>
      </c>
      <c r="K195" s="44">
        <v>0</v>
      </c>
      <c r="L195" s="45">
        <f t="shared" si="73"/>
        <v>0</v>
      </c>
      <c r="M195" s="7">
        <v>0</v>
      </c>
      <c r="N195" s="7">
        <v>0</v>
      </c>
      <c r="O195" s="7">
        <v>0</v>
      </c>
      <c r="P195" s="7">
        <v>0</v>
      </c>
    </row>
    <row r="196" spans="1:16" x14ac:dyDescent="0.25">
      <c r="A196" s="5" t="s">
        <v>505</v>
      </c>
      <c r="B196" s="536">
        <v>0</v>
      </c>
      <c r="C196" s="537"/>
      <c r="D196" s="536">
        <v>0</v>
      </c>
      <c r="E196" s="537"/>
      <c r="F196" s="536">
        <v>0</v>
      </c>
      <c r="G196" s="537"/>
      <c r="H196" s="42">
        <f t="shared" si="72"/>
        <v>0</v>
      </c>
      <c r="I196" s="43">
        <v>0</v>
      </c>
      <c r="J196" s="43">
        <v>0</v>
      </c>
      <c r="K196" s="44">
        <v>0</v>
      </c>
      <c r="L196" s="45">
        <f t="shared" si="73"/>
        <v>0</v>
      </c>
      <c r="M196" s="7">
        <v>0</v>
      </c>
      <c r="N196" s="7">
        <v>0</v>
      </c>
      <c r="O196" s="7">
        <v>0</v>
      </c>
      <c r="P196" s="7">
        <v>0</v>
      </c>
    </row>
    <row r="197" spans="1:16" x14ac:dyDescent="0.25">
      <c r="A197" s="5" t="s">
        <v>506</v>
      </c>
      <c r="B197" s="536">
        <v>0</v>
      </c>
      <c r="C197" s="537"/>
      <c r="D197" s="536">
        <v>0</v>
      </c>
      <c r="E197" s="537"/>
      <c r="F197" s="536">
        <v>0</v>
      </c>
      <c r="G197" s="537"/>
      <c r="H197" s="42">
        <f t="shared" si="72"/>
        <v>0</v>
      </c>
      <c r="I197" s="43">
        <v>0</v>
      </c>
      <c r="J197" s="43">
        <v>0</v>
      </c>
      <c r="K197" s="44">
        <v>0</v>
      </c>
      <c r="L197" s="45">
        <f t="shared" si="73"/>
        <v>0</v>
      </c>
      <c r="M197" s="7">
        <v>0</v>
      </c>
      <c r="N197" s="7">
        <v>0</v>
      </c>
      <c r="O197" s="7">
        <v>0</v>
      </c>
      <c r="P197" s="7">
        <v>0</v>
      </c>
    </row>
    <row r="198" spans="1:16" x14ac:dyDescent="0.25">
      <c r="A198" s="50" t="s">
        <v>507</v>
      </c>
      <c r="B198" s="534">
        <f>SUM(B189:B197)</f>
        <v>0</v>
      </c>
      <c r="C198" s="535"/>
      <c r="D198" s="534">
        <f>SUM(D189:D197)</f>
        <v>0</v>
      </c>
      <c r="E198" s="535"/>
      <c r="F198" s="534">
        <f>SUM(F189:F197)</f>
        <v>0</v>
      </c>
      <c r="G198" s="535"/>
      <c r="H198" s="42">
        <f t="shared" ref="H198:P198" si="76">SUM(H189:H197)</f>
        <v>0</v>
      </c>
      <c r="I198" s="42">
        <f t="shared" si="76"/>
        <v>0</v>
      </c>
      <c r="J198" s="42">
        <f t="shared" si="76"/>
        <v>0</v>
      </c>
      <c r="K198" s="42">
        <f t="shared" si="76"/>
        <v>0</v>
      </c>
      <c r="L198" s="42">
        <f t="shared" si="76"/>
        <v>0</v>
      </c>
      <c r="M198" s="10">
        <f t="shared" si="76"/>
        <v>0</v>
      </c>
      <c r="N198" s="10">
        <f t="shared" si="76"/>
        <v>0</v>
      </c>
      <c r="O198" s="8">
        <f t="shared" si="76"/>
        <v>0</v>
      </c>
      <c r="P198" s="8">
        <f t="shared" si="76"/>
        <v>0</v>
      </c>
    </row>
    <row r="199" spans="1:16" ht="15" customHeight="1" x14ac:dyDescent="0.25">
      <c r="A199" s="50" t="s">
        <v>496</v>
      </c>
      <c r="B199" s="534">
        <f>AVERAGE(B189:B197)</f>
        <v>0</v>
      </c>
      <c r="C199" s="535"/>
      <c r="D199" s="534">
        <f>AVERAGE(D189:D197)</f>
        <v>0</v>
      </c>
      <c r="E199" s="535"/>
      <c r="F199" s="534">
        <f>AVERAGE(F189:F197)</f>
        <v>0</v>
      </c>
      <c r="G199" s="535"/>
      <c r="H199" s="42">
        <f t="shared" ref="H199:N199" si="77">AVERAGE(H189:H197)</f>
        <v>0</v>
      </c>
      <c r="I199" s="42">
        <f t="shared" si="77"/>
        <v>0</v>
      </c>
      <c r="J199" s="42">
        <f t="shared" si="77"/>
        <v>0</v>
      </c>
      <c r="K199" s="42">
        <f t="shared" si="77"/>
        <v>0</v>
      </c>
      <c r="L199" s="42">
        <f t="shared" si="77"/>
        <v>0</v>
      </c>
      <c r="M199" s="10">
        <f t="shared" si="77"/>
        <v>0</v>
      </c>
      <c r="N199" s="10">
        <f t="shared" si="77"/>
        <v>0</v>
      </c>
      <c r="O199" s="52" t="e">
        <f>N198/O198</f>
        <v>#DIV/0!</v>
      </c>
      <c r="P199" s="52" t="e">
        <f>M198/P198</f>
        <v>#DIV/0!</v>
      </c>
    </row>
    <row r="200" spans="1:16" ht="15" customHeight="1" x14ac:dyDescent="0.25">
      <c r="A200" s="50" t="s">
        <v>508</v>
      </c>
      <c r="B200" s="534">
        <f>B199+I199</f>
        <v>0</v>
      </c>
      <c r="C200" s="535"/>
      <c r="D200" s="534">
        <f>D199+I199</f>
        <v>0</v>
      </c>
      <c r="E200" s="535"/>
      <c r="F200" s="534">
        <f>F199+I199</f>
        <v>0</v>
      </c>
      <c r="G200" s="535"/>
      <c r="H200" s="42">
        <f>H199+I199</f>
        <v>0</v>
      </c>
      <c r="I200" s="462"/>
      <c r="J200" s="463"/>
      <c r="K200" s="463"/>
      <c r="L200" s="463"/>
      <c r="M200" s="463"/>
      <c r="N200" s="464"/>
      <c r="O200" s="6" t="s">
        <v>509</v>
      </c>
      <c r="P200" s="6" t="s">
        <v>510</v>
      </c>
    </row>
    <row r="201" spans="1:16" ht="18.75" x14ac:dyDescent="0.25">
      <c r="A201" s="466" t="s">
        <v>758</v>
      </c>
      <c r="B201" s="466"/>
      <c r="C201" s="466"/>
      <c r="D201" s="466"/>
      <c r="E201" s="466"/>
      <c r="F201" s="466"/>
      <c r="G201" s="466"/>
      <c r="H201" s="466"/>
      <c r="I201" s="466"/>
      <c r="J201" s="466"/>
      <c r="K201" s="466"/>
      <c r="L201" s="466"/>
      <c r="M201" s="466"/>
      <c r="N201" s="466"/>
      <c r="O201" s="466"/>
      <c r="P201" s="466"/>
    </row>
    <row r="202" spans="1:16" ht="25.5" x14ac:dyDescent="0.25">
      <c r="A202" s="467" t="s">
        <v>694</v>
      </c>
      <c r="B202" s="468"/>
      <c r="C202" s="469"/>
      <c r="D202" s="470"/>
      <c r="E202" s="471"/>
      <c r="F202" s="472"/>
      <c r="G202" s="4" t="s">
        <v>693</v>
      </c>
      <c r="H202" s="66" t="s">
        <v>852</v>
      </c>
      <c r="I202" s="51" t="s">
        <v>695</v>
      </c>
      <c r="J202" s="470" t="s">
        <v>852</v>
      </c>
      <c r="K202" s="471"/>
      <c r="L202" s="472"/>
      <c r="M202" s="51" t="s">
        <v>492</v>
      </c>
      <c r="N202" s="458"/>
      <c r="O202" s="459"/>
      <c r="P202" s="460"/>
    </row>
    <row r="203" spans="1:16" x14ac:dyDescent="0.25">
      <c r="A203" s="486" t="s">
        <v>494</v>
      </c>
      <c r="B203" s="486" t="s">
        <v>495</v>
      </c>
      <c r="C203" s="486"/>
      <c r="D203" s="486"/>
      <c r="E203" s="486"/>
      <c r="F203" s="486"/>
      <c r="G203" s="486"/>
      <c r="H203" s="461" t="s">
        <v>496</v>
      </c>
      <c r="I203" s="529" t="s">
        <v>685</v>
      </c>
      <c r="J203" s="461" t="s">
        <v>497</v>
      </c>
      <c r="K203" s="461" t="s">
        <v>498</v>
      </c>
      <c r="L203" s="461" t="s">
        <v>499</v>
      </c>
      <c r="M203" s="461" t="s">
        <v>500</v>
      </c>
      <c r="N203" s="461" t="s">
        <v>501</v>
      </c>
      <c r="O203" s="461" t="s">
        <v>502</v>
      </c>
      <c r="P203" s="461" t="s">
        <v>503</v>
      </c>
    </row>
    <row r="204" spans="1:16" x14ac:dyDescent="0.25">
      <c r="A204" s="486"/>
      <c r="B204" s="538">
        <v>5</v>
      </c>
      <c r="C204" s="539"/>
      <c r="D204" s="538">
        <v>15</v>
      </c>
      <c r="E204" s="539"/>
      <c r="F204" s="538">
        <v>25</v>
      </c>
      <c r="G204" s="539"/>
      <c r="H204" s="461"/>
      <c r="I204" s="530"/>
      <c r="J204" s="461"/>
      <c r="K204" s="461"/>
      <c r="L204" s="461"/>
      <c r="M204" s="461"/>
      <c r="N204" s="461"/>
      <c r="O204" s="461"/>
      <c r="P204" s="461"/>
    </row>
    <row r="205" spans="1:16" x14ac:dyDescent="0.25">
      <c r="A205" s="5" t="s">
        <v>515</v>
      </c>
      <c r="B205" s="536">
        <v>0</v>
      </c>
      <c r="C205" s="537"/>
      <c r="D205" s="536">
        <v>0</v>
      </c>
      <c r="E205" s="537"/>
      <c r="F205" s="536">
        <v>0</v>
      </c>
      <c r="G205" s="537"/>
      <c r="H205" s="42">
        <f t="shared" ref="H205:H213" si="78">AVERAGE(B205:G205)</f>
        <v>0</v>
      </c>
      <c r="I205" s="43">
        <v>0</v>
      </c>
      <c r="J205" s="43">
        <v>0</v>
      </c>
      <c r="K205" s="44">
        <v>0</v>
      </c>
      <c r="L205" s="45">
        <f t="shared" ref="L205:L213" si="79">J205-K205</f>
        <v>0</v>
      </c>
      <c r="M205" s="7">
        <v>0</v>
      </c>
      <c r="N205" s="7">
        <v>0</v>
      </c>
      <c r="O205" s="7">
        <v>0</v>
      </c>
      <c r="P205" s="7">
        <v>0</v>
      </c>
    </row>
    <row r="206" spans="1:16" x14ac:dyDescent="0.25">
      <c r="A206" s="5" t="s">
        <v>516</v>
      </c>
      <c r="B206" s="536">
        <v>0</v>
      </c>
      <c r="C206" s="537"/>
      <c r="D206" s="536">
        <v>0</v>
      </c>
      <c r="E206" s="537"/>
      <c r="F206" s="536">
        <v>0</v>
      </c>
      <c r="G206" s="537"/>
      <c r="H206" s="42">
        <f t="shared" si="78"/>
        <v>0</v>
      </c>
      <c r="I206" s="43">
        <v>0</v>
      </c>
      <c r="J206" s="43">
        <v>0</v>
      </c>
      <c r="K206" s="44">
        <v>0</v>
      </c>
      <c r="L206" s="45">
        <f t="shared" si="79"/>
        <v>0</v>
      </c>
      <c r="M206" s="7">
        <v>0</v>
      </c>
      <c r="N206" s="7">
        <v>0</v>
      </c>
      <c r="O206" s="7">
        <v>0</v>
      </c>
      <c r="P206" s="7">
        <v>0</v>
      </c>
    </row>
    <row r="207" spans="1:16" x14ac:dyDescent="0.25">
      <c r="A207" s="5" t="s">
        <v>517</v>
      </c>
      <c r="B207" s="536">
        <v>0</v>
      </c>
      <c r="C207" s="537"/>
      <c r="D207" s="536">
        <v>0</v>
      </c>
      <c r="E207" s="537"/>
      <c r="F207" s="536">
        <v>0</v>
      </c>
      <c r="G207" s="537"/>
      <c r="H207" s="42">
        <f t="shared" si="78"/>
        <v>0</v>
      </c>
      <c r="I207" s="43">
        <v>0</v>
      </c>
      <c r="J207" s="43">
        <v>0</v>
      </c>
      <c r="K207" s="44">
        <v>0</v>
      </c>
      <c r="L207" s="45">
        <f t="shared" si="79"/>
        <v>0</v>
      </c>
      <c r="M207" s="7">
        <v>0</v>
      </c>
      <c r="N207" s="7">
        <v>0</v>
      </c>
      <c r="O207" s="7">
        <v>0</v>
      </c>
      <c r="P207" s="7">
        <v>0</v>
      </c>
    </row>
    <row r="208" spans="1:16" x14ac:dyDescent="0.25">
      <c r="A208" s="5" t="s">
        <v>504</v>
      </c>
      <c r="B208" s="536">
        <v>0</v>
      </c>
      <c r="C208" s="537"/>
      <c r="D208" s="536">
        <v>0</v>
      </c>
      <c r="E208" s="537"/>
      <c r="F208" s="536">
        <v>0</v>
      </c>
      <c r="G208" s="537"/>
      <c r="H208" s="42">
        <f t="shared" ref="H208:H210" si="80">AVERAGE(B208:G208)</f>
        <v>0</v>
      </c>
      <c r="I208" s="43">
        <v>0</v>
      </c>
      <c r="J208" s="43">
        <v>0</v>
      </c>
      <c r="K208" s="44">
        <v>0</v>
      </c>
      <c r="L208" s="45">
        <f t="shared" ref="L208:L210" si="81">J208-K208</f>
        <v>0</v>
      </c>
      <c r="M208" s="7">
        <v>0</v>
      </c>
      <c r="N208" s="7">
        <v>0</v>
      </c>
      <c r="O208" s="7">
        <v>0</v>
      </c>
      <c r="P208" s="7">
        <v>0</v>
      </c>
    </row>
    <row r="209" spans="1:16" x14ac:dyDescent="0.25">
      <c r="A209" s="5" t="s">
        <v>505</v>
      </c>
      <c r="B209" s="536">
        <v>0</v>
      </c>
      <c r="C209" s="537"/>
      <c r="D209" s="536">
        <v>0</v>
      </c>
      <c r="E209" s="537"/>
      <c r="F209" s="536">
        <v>0</v>
      </c>
      <c r="G209" s="537"/>
      <c r="H209" s="42">
        <f t="shared" si="80"/>
        <v>0</v>
      </c>
      <c r="I209" s="43">
        <v>0</v>
      </c>
      <c r="J209" s="43">
        <v>0</v>
      </c>
      <c r="K209" s="44">
        <v>0</v>
      </c>
      <c r="L209" s="45">
        <f t="shared" si="81"/>
        <v>0</v>
      </c>
      <c r="M209" s="7">
        <v>0</v>
      </c>
      <c r="N209" s="7">
        <v>0</v>
      </c>
      <c r="O209" s="7">
        <v>0</v>
      </c>
      <c r="P209" s="7">
        <v>0</v>
      </c>
    </row>
    <row r="210" spans="1:16" x14ac:dyDescent="0.25">
      <c r="A210" s="5" t="s">
        <v>506</v>
      </c>
      <c r="B210" s="536">
        <v>0</v>
      </c>
      <c r="C210" s="537"/>
      <c r="D210" s="536">
        <v>0</v>
      </c>
      <c r="E210" s="537"/>
      <c r="F210" s="536">
        <v>0</v>
      </c>
      <c r="G210" s="537"/>
      <c r="H210" s="42">
        <f t="shared" si="80"/>
        <v>0</v>
      </c>
      <c r="I210" s="43">
        <v>0</v>
      </c>
      <c r="J210" s="43">
        <v>0</v>
      </c>
      <c r="K210" s="44">
        <v>0</v>
      </c>
      <c r="L210" s="45">
        <f t="shared" si="81"/>
        <v>0</v>
      </c>
      <c r="M210" s="7">
        <v>0</v>
      </c>
      <c r="N210" s="7">
        <v>0</v>
      </c>
      <c r="O210" s="7">
        <v>0</v>
      </c>
      <c r="P210" s="7">
        <v>0</v>
      </c>
    </row>
    <row r="211" spans="1:16" x14ac:dyDescent="0.25">
      <c r="A211" s="5" t="s">
        <v>504</v>
      </c>
      <c r="B211" s="536">
        <v>0</v>
      </c>
      <c r="C211" s="537"/>
      <c r="D211" s="536">
        <v>0</v>
      </c>
      <c r="E211" s="537"/>
      <c r="F211" s="536">
        <v>0</v>
      </c>
      <c r="G211" s="537"/>
      <c r="H211" s="42">
        <f t="shared" si="78"/>
        <v>0</v>
      </c>
      <c r="I211" s="43">
        <v>0</v>
      </c>
      <c r="J211" s="43">
        <v>0</v>
      </c>
      <c r="K211" s="44">
        <v>0</v>
      </c>
      <c r="L211" s="45">
        <f t="shared" si="79"/>
        <v>0</v>
      </c>
      <c r="M211" s="7">
        <v>0</v>
      </c>
      <c r="N211" s="7">
        <v>0</v>
      </c>
      <c r="O211" s="7">
        <v>0</v>
      </c>
      <c r="P211" s="7">
        <v>0</v>
      </c>
    </row>
    <row r="212" spans="1:16" ht="15" customHeight="1" x14ac:dyDescent="0.25">
      <c r="A212" s="5" t="s">
        <v>505</v>
      </c>
      <c r="B212" s="536">
        <v>0</v>
      </c>
      <c r="C212" s="537"/>
      <c r="D212" s="536">
        <v>0</v>
      </c>
      <c r="E212" s="537"/>
      <c r="F212" s="536">
        <v>0</v>
      </c>
      <c r="G212" s="537"/>
      <c r="H212" s="42">
        <f t="shared" si="78"/>
        <v>0</v>
      </c>
      <c r="I212" s="43">
        <v>0</v>
      </c>
      <c r="J212" s="43">
        <v>0</v>
      </c>
      <c r="K212" s="44">
        <v>0</v>
      </c>
      <c r="L212" s="45">
        <f t="shared" si="79"/>
        <v>0</v>
      </c>
      <c r="M212" s="7">
        <v>0</v>
      </c>
      <c r="N212" s="7">
        <v>0</v>
      </c>
      <c r="O212" s="7">
        <v>0</v>
      </c>
      <c r="P212" s="7">
        <v>0</v>
      </c>
    </row>
    <row r="213" spans="1:16" ht="15" customHeight="1" x14ac:dyDescent="0.25">
      <c r="A213" s="5" t="s">
        <v>506</v>
      </c>
      <c r="B213" s="536">
        <v>0</v>
      </c>
      <c r="C213" s="537"/>
      <c r="D213" s="536">
        <v>0</v>
      </c>
      <c r="E213" s="537"/>
      <c r="F213" s="536">
        <v>0</v>
      </c>
      <c r="G213" s="537"/>
      <c r="H213" s="42">
        <f t="shared" si="78"/>
        <v>0</v>
      </c>
      <c r="I213" s="43">
        <v>0</v>
      </c>
      <c r="J213" s="43">
        <v>0</v>
      </c>
      <c r="K213" s="44">
        <v>0</v>
      </c>
      <c r="L213" s="45">
        <f t="shared" si="79"/>
        <v>0</v>
      </c>
      <c r="M213" s="7">
        <v>0</v>
      </c>
      <c r="N213" s="7">
        <v>0</v>
      </c>
      <c r="O213" s="7">
        <v>0</v>
      </c>
      <c r="P213" s="7">
        <v>0</v>
      </c>
    </row>
    <row r="214" spans="1:16" x14ac:dyDescent="0.25">
      <c r="A214" s="50" t="s">
        <v>507</v>
      </c>
      <c r="B214" s="534">
        <f>SUM(B205:B213)</f>
        <v>0</v>
      </c>
      <c r="C214" s="535"/>
      <c r="D214" s="534">
        <f>SUM(D205:D213)</f>
        <v>0</v>
      </c>
      <c r="E214" s="535"/>
      <c r="F214" s="534">
        <f>SUM(F205:F213)</f>
        <v>0</v>
      </c>
      <c r="G214" s="535"/>
      <c r="H214" s="42">
        <f t="shared" ref="H214:P214" si="82">SUM(H205:H213)</f>
        <v>0</v>
      </c>
      <c r="I214" s="42">
        <f t="shared" si="82"/>
        <v>0</v>
      </c>
      <c r="J214" s="42">
        <f t="shared" si="82"/>
        <v>0</v>
      </c>
      <c r="K214" s="42">
        <f t="shared" si="82"/>
        <v>0</v>
      </c>
      <c r="L214" s="42">
        <f t="shared" si="82"/>
        <v>0</v>
      </c>
      <c r="M214" s="10">
        <f t="shared" si="82"/>
        <v>0</v>
      </c>
      <c r="N214" s="10">
        <f t="shared" si="82"/>
        <v>0</v>
      </c>
      <c r="O214" s="8">
        <f t="shared" si="82"/>
        <v>0</v>
      </c>
      <c r="P214" s="8">
        <f t="shared" si="82"/>
        <v>0</v>
      </c>
    </row>
    <row r="215" spans="1:16" x14ac:dyDescent="0.25">
      <c r="A215" s="50" t="s">
        <v>496</v>
      </c>
      <c r="B215" s="534">
        <f>AVERAGE(B205:B213)</f>
        <v>0</v>
      </c>
      <c r="C215" s="535"/>
      <c r="D215" s="534">
        <f>AVERAGE(D205:D213)</f>
        <v>0</v>
      </c>
      <c r="E215" s="535"/>
      <c r="F215" s="534">
        <f>AVERAGE(F205:F213)</f>
        <v>0</v>
      </c>
      <c r="G215" s="535"/>
      <c r="H215" s="42">
        <f t="shared" ref="H215:N215" si="83">AVERAGE(H205:H213)</f>
        <v>0</v>
      </c>
      <c r="I215" s="42">
        <f t="shared" si="83"/>
        <v>0</v>
      </c>
      <c r="J215" s="42">
        <f t="shared" si="83"/>
        <v>0</v>
      </c>
      <c r="K215" s="42">
        <f t="shared" si="83"/>
        <v>0</v>
      </c>
      <c r="L215" s="42">
        <f t="shared" si="83"/>
        <v>0</v>
      </c>
      <c r="M215" s="10">
        <f t="shared" si="83"/>
        <v>0</v>
      </c>
      <c r="N215" s="10">
        <f t="shared" si="83"/>
        <v>0</v>
      </c>
      <c r="O215" s="52" t="e">
        <f>N214/O214</f>
        <v>#DIV/0!</v>
      </c>
      <c r="P215" s="52" t="e">
        <f>M214/P214</f>
        <v>#DIV/0!</v>
      </c>
    </row>
    <row r="216" spans="1:16" ht="38.25" x14ac:dyDescent="0.25">
      <c r="A216" s="50" t="s">
        <v>508</v>
      </c>
      <c r="B216" s="534">
        <f>B215+I215</f>
        <v>0</v>
      </c>
      <c r="C216" s="535"/>
      <c r="D216" s="534">
        <f>D215+I215</f>
        <v>0</v>
      </c>
      <c r="E216" s="535"/>
      <c r="F216" s="534">
        <f>F215+I215</f>
        <v>0</v>
      </c>
      <c r="G216" s="535"/>
      <c r="H216" s="42">
        <f>H215+I215</f>
        <v>0</v>
      </c>
      <c r="I216" s="462"/>
      <c r="J216" s="463"/>
      <c r="K216" s="463"/>
      <c r="L216" s="463"/>
      <c r="M216" s="463"/>
      <c r="N216" s="464"/>
      <c r="O216" s="6" t="s">
        <v>509</v>
      </c>
      <c r="P216" s="6" t="s">
        <v>510</v>
      </c>
    </row>
    <row r="217" spans="1:16" ht="18.75" x14ac:dyDescent="0.25">
      <c r="A217" s="466" t="s">
        <v>759</v>
      </c>
      <c r="B217" s="466"/>
      <c r="C217" s="466"/>
      <c r="D217" s="466"/>
      <c r="E217" s="466"/>
      <c r="F217" s="466"/>
      <c r="G217" s="466"/>
      <c r="H217" s="466"/>
      <c r="I217" s="466"/>
      <c r="J217" s="466"/>
      <c r="K217" s="466"/>
      <c r="L217" s="466"/>
      <c r="M217" s="466"/>
      <c r="N217" s="466"/>
      <c r="O217" s="466"/>
      <c r="P217" s="466"/>
    </row>
    <row r="218" spans="1:16" ht="25.5" x14ac:dyDescent="0.25">
      <c r="A218" s="467" t="s">
        <v>694</v>
      </c>
      <c r="B218" s="468"/>
      <c r="C218" s="469"/>
      <c r="D218" s="470"/>
      <c r="E218" s="471"/>
      <c r="F218" s="472"/>
      <c r="G218" s="4" t="s">
        <v>693</v>
      </c>
      <c r="H218" s="66" t="s">
        <v>852</v>
      </c>
      <c r="I218" s="51" t="s">
        <v>695</v>
      </c>
      <c r="J218" s="470" t="s">
        <v>852</v>
      </c>
      <c r="K218" s="471"/>
      <c r="L218" s="472"/>
      <c r="M218" s="51" t="s">
        <v>492</v>
      </c>
      <c r="N218" s="458"/>
      <c r="O218" s="459"/>
      <c r="P218" s="460"/>
    </row>
    <row r="219" spans="1:16" x14ac:dyDescent="0.25">
      <c r="A219" s="486" t="s">
        <v>494</v>
      </c>
      <c r="B219" s="486" t="s">
        <v>495</v>
      </c>
      <c r="C219" s="486"/>
      <c r="D219" s="486"/>
      <c r="E219" s="486"/>
      <c r="F219" s="486"/>
      <c r="G219" s="486"/>
      <c r="H219" s="461" t="s">
        <v>496</v>
      </c>
      <c r="I219" s="529" t="s">
        <v>685</v>
      </c>
      <c r="J219" s="461" t="s">
        <v>497</v>
      </c>
      <c r="K219" s="461" t="s">
        <v>498</v>
      </c>
      <c r="L219" s="461" t="s">
        <v>499</v>
      </c>
      <c r="M219" s="461" t="s">
        <v>500</v>
      </c>
      <c r="N219" s="461" t="s">
        <v>501</v>
      </c>
      <c r="O219" s="461" t="s">
        <v>502</v>
      </c>
      <c r="P219" s="461" t="s">
        <v>503</v>
      </c>
    </row>
    <row r="220" spans="1:16" x14ac:dyDescent="0.25">
      <c r="A220" s="486"/>
      <c r="B220" s="538">
        <v>5</v>
      </c>
      <c r="C220" s="539"/>
      <c r="D220" s="538">
        <v>15</v>
      </c>
      <c r="E220" s="539"/>
      <c r="F220" s="538">
        <v>25</v>
      </c>
      <c r="G220" s="539"/>
      <c r="H220" s="461"/>
      <c r="I220" s="530"/>
      <c r="J220" s="461"/>
      <c r="K220" s="461"/>
      <c r="L220" s="461"/>
      <c r="M220" s="461"/>
      <c r="N220" s="461"/>
      <c r="O220" s="461"/>
      <c r="P220" s="461"/>
    </row>
    <row r="221" spans="1:16" x14ac:dyDescent="0.25">
      <c r="A221" s="5" t="s">
        <v>515</v>
      </c>
      <c r="B221" s="536">
        <v>0</v>
      </c>
      <c r="C221" s="537"/>
      <c r="D221" s="536">
        <v>0</v>
      </c>
      <c r="E221" s="537"/>
      <c r="F221" s="536">
        <v>0</v>
      </c>
      <c r="G221" s="537"/>
      <c r="H221" s="42">
        <f t="shared" ref="H221:H229" si="84">AVERAGE(B221:G221)</f>
        <v>0</v>
      </c>
      <c r="I221" s="43">
        <v>0</v>
      </c>
      <c r="J221" s="43">
        <v>0</v>
      </c>
      <c r="K221" s="44">
        <v>0</v>
      </c>
      <c r="L221" s="45">
        <f t="shared" ref="L221:L229" si="85">J221-K221</f>
        <v>0</v>
      </c>
      <c r="M221" s="7">
        <v>0</v>
      </c>
      <c r="N221" s="7">
        <v>0</v>
      </c>
      <c r="O221" s="7">
        <v>0</v>
      </c>
      <c r="P221" s="7">
        <v>0</v>
      </c>
    </row>
    <row r="222" spans="1:16" x14ac:dyDescent="0.25">
      <c r="A222" s="5" t="s">
        <v>516</v>
      </c>
      <c r="B222" s="536">
        <v>0</v>
      </c>
      <c r="C222" s="537"/>
      <c r="D222" s="536">
        <v>0</v>
      </c>
      <c r="E222" s="537"/>
      <c r="F222" s="536">
        <v>0</v>
      </c>
      <c r="G222" s="537"/>
      <c r="H222" s="42">
        <f t="shared" si="84"/>
        <v>0</v>
      </c>
      <c r="I222" s="43">
        <v>0</v>
      </c>
      <c r="J222" s="43">
        <v>0</v>
      </c>
      <c r="K222" s="44">
        <v>0</v>
      </c>
      <c r="L222" s="45">
        <f t="shared" si="85"/>
        <v>0</v>
      </c>
      <c r="M222" s="7">
        <v>0</v>
      </c>
      <c r="N222" s="7">
        <v>0</v>
      </c>
      <c r="O222" s="7">
        <v>0</v>
      </c>
      <c r="P222" s="7">
        <v>0</v>
      </c>
    </row>
    <row r="223" spans="1:16" x14ac:dyDescent="0.25">
      <c r="A223" s="5" t="s">
        <v>517</v>
      </c>
      <c r="B223" s="536">
        <v>0</v>
      </c>
      <c r="C223" s="537"/>
      <c r="D223" s="536">
        <v>0</v>
      </c>
      <c r="E223" s="537"/>
      <c r="F223" s="536">
        <v>0</v>
      </c>
      <c r="G223" s="537"/>
      <c r="H223" s="42">
        <f t="shared" si="84"/>
        <v>0</v>
      </c>
      <c r="I223" s="43">
        <v>0</v>
      </c>
      <c r="J223" s="43">
        <v>0</v>
      </c>
      <c r="K223" s="44">
        <v>0</v>
      </c>
      <c r="L223" s="45">
        <f t="shared" si="85"/>
        <v>0</v>
      </c>
      <c r="M223" s="7">
        <v>0</v>
      </c>
      <c r="N223" s="7">
        <v>0</v>
      </c>
      <c r="O223" s="7">
        <v>0</v>
      </c>
      <c r="P223" s="7">
        <v>0</v>
      </c>
    </row>
    <row r="224" spans="1:16" x14ac:dyDescent="0.25">
      <c r="A224" s="5" t="s">
        <v>504</v>
      </c>
      <c r="B224" s="536">
        <v>0</v>
      </c>
      <c r="C224" s="537"/>
      <c r="D224" s="536">
        <v>0</v>
      </c>
      <c r="E224" s="537"/>
      <c r="F224" s="536">
        <v>0</v>
      </c>
      <c r="G224" s="537"/>
      <c r="H224" s="42">
        <f t="shared" ref="H224:H226" si="86">AVERAGE(B224:G224)</f>
        <v>0</v>
      </c>
      <c r="I224" s="43">
        <v>0</v>
      </c>
      <c r="J224" s="43">
        <v>0</v>
      </c>
      <c r="K224" s="44">
        <v>0</v>
      </c>
      <c r="L224" s="45">
        <f t="shared" ref="L224:L226" si="87">J224-K224</f>
        <v>0</v>
      </c>
      <c r="M224" s="7">
        <v>0</v>
      </c>
      <c r="N224" s="7">
        <v>0</v>
      </c>
      <c r="O224" s="7">
        <v>0</v>
      </c>
      <c r="P224" s="7">
        <v>0</v>
      </c>
    </row>
    <row r="225" spans="1:16" ht="15" customHeight="1" x14ac:dyDescent="0.25">
      <c r="A225" s="5" t="s">
        <v>505</v>
      </c>
      <c r="B225" s="536">
        <v>0</v>
      </c>
      <c r="C225" s="537"/>
      <c r="D225" s="536">
        <v>0</v>
      </c>
      <c r="E225" s="537"/>
      <c r="F225" s="536">
        <v>0</v>
      </c>
      <c r="G225" s="537"/>
      <c r="H225" s="42">
        <f t="shared" si="86"/>
        <v>0</v>
      </c>
      <c r="I225" s="43">
        <v>0</v>
      </c>
      <c r="J225" s="43">
        <v>0</v>
      </c>
      <c r="K225" s="44">
        <v>0</v>
      </c>
      <c r="L225" s="45">
        <f t="shared" si="87"/>
        <v>0</v>
      </c>
      <c r="M225" s="7">
        <v>0</v>
      </c>
      <c r="N225" s="7">
        <v>0</v>
      </c>
      <c r="O225" s="7">
        <v>0</v>
      </c>
      <c r="P225" s="7">
        <v>0</v>
      </c>
    </row>
    <row r="226" spans="1:16" ht="15" customHeight="1" x14ac:dyDescent="0.25">
      <c r="A226" s="5" t="s">
        <v>506</v>
      </c>
      <c r="B226" s="536">
        <v>0</v>
      </c>
      <c r="C226" s="537"/>
      <c r="D226" s="536">
        <v>0</v>
      </c>
      <c r="E226" s="537"/>
      <c r="F226" s="536">
        <v>0</v>
      </c>
      <c r="G226" s="537"/>
      <c r="H226" s="42">
        <f t="shared" si="86"/>
        <v>0</v>
      </c>
      <c r="I226" s="43">
        <v>0</v>
      </c>
      <c r="J226" s="43">
        <v>0</v>
      </c>
      <c r="K226" s="44">
        <v>0</v>
      </c>
      <c r="L226" s="45">
        <f t="shared" si="87"/>
        <v>0</v>
      </c>
      <c r="M226" s="7">
        <v>0</v>
      </c>
      <c r="N226" s="7">
        <v>0</v>
      </c>
      <c r="O226" s="7">
        <v>0</v>
      </c>
      <c r="P226" s="7">
        <v>0</v>
      </c>
    </row>
    <row r="227" spans="1:16" x14ac:dyDescent="0.25">
      <c r="A227" s="5" t="s">
        <v>504</v>
      </c>
      <c r="B227" s="536">
        <v>0</v>
      </c>
      <c r="C227" s="537"/>
      <c r="D227" s="536">
        <v>0</v>
      </c>
      <c r="E227" s="537"/>
      <c r="F227" s="536">
        <v>0</v>
      </c>
      <c r="G227" s="537"/>
      <c r="H227" s="42">
        <f t="shared" si="84"/>
        <v>0</v>
      </c>
      <c r="I227" s="43">
        <v>0</v>
      </c>
      <c r="J227" s="43">
        <v>0</v>
      </c>
      <c r="K227" s="44">
        <v>0</v>
      </c>
      <c r="L227" s="45">
        <f t="shared" si="85"/>
        <v>0</v>
      </c>
      <c r="M227" s="7">
        <v>0</v>
      </c>
      <c r="N227" s="7">
        <v>0</v>
      </c>
      <c r="O227" s="7">
        <v>0</v>
      </c>
      <c r="P227" s="7">
        <v>0</v>
      </c>
    </row>
    <row r="228" spans="1:16" x14ac:dyDescent="0.25">
      <c r="A228" s="5" t="s">
        <v>505</v>
      </c>
      <c r="B228" s="536">
        <v>0</v>
      </c>
      <c r="C228" s="537"/>
      <c r="D228" s="536">
        <v>0</v>
      </c>
      <c r="E228" s="537"/>
      <c r="F228" s="536">
        <v>0</v>
      </c>
      <c r="G228" s="537"/>
      <c r="H228" s="42">
        <f t="shared" si="84"/>
        <v>0</v>
      </c>
      <c r="I228" s="43">
        <v>0</v>
      </c>
      <c r="J228" s="43">
        <v>0</v>
      </c>
      <c r="K228" s="44">
        <v>0</v>
      </c>
      <c r="L228" s="45">
        <f t="shared" si="85"/>
        <v>0</v>
      </c>
      <c r="M228" s="7">
        <v>0</v>
      </c>
      <c r="N228" s="7">
        <v>0</v>
      </c>
      <c r="O228" s="7">
        <v>0</v>
      </c>
      <c r="P228" s="7">
        <v>0</v>
      </c>
    </row>
    <row r="229" spans="1:16" x14ac:dyDescent="0.25">
      <c r="A229" s="5" t="s">
        <v>506</v>
      </c>
      <c r="B229" s="536">
        <v>0</v>
      </c>
      <c r="C229" s="537"/>
      <c r="D229" s="536">
        <v>0</v>
      </c>
      <c r="E229" s="537"/>
      <c r="F229" s="536">
        <v>0</v>
      </c>
      <c r="G229" s="537"/>
      <c r="H229" s="42">
        <f t="shared" si="84"/>
        <v>0</v>
      </c>
      <c r="I229" s="43">
        <v>0</v>
      </c>
      <c r="J229" s="43">
        <v>0</v>
      </c>
      <c r="K229" s="44">
        <v>0</v>
      </c>
      <c r="L229" s="45">
        <f t="shared" si="85"/>
        <v>0</v>
      </c>
      <c r="M229" s="7">
        <v>0</v>
      </c>
      <c r="N229" s="7">
        <v>0</v>
      </c>
      <c r="O229" s="7">
        <v>0</v>
      </c>
      <c r="P229" s="7">
        <v>0</v>
      </c>
    </row>
    <row r="230" spans="1:16" x14ac:dyDescent="0.25">
      <c r="A230" s="50" t="s">
        <v>507</v>
      </c>
      <c r="B230" s="534">
        <f>SUM(B221:B229)</f>
        <v>0</v>
      </c>
      <c r="C230" s="535"/>
      <c r="D230" s="534">
        <f>SUM(D221:D229)</f>
        <v>0</v>
      </c>
      <c r="E230" s="535"/>
      <c r="F230" s="534">
        <f>SUM(F221:F229)</f>
        <v>0</v>
      </c>
      <c r="G230" s="535"/>
      <c r="H230" s="42">
        <f t="shared" ref="H230:P230" si="88">SUM(H221:H229)</f>
        <v>0</v>
      </c>
      <c r="I230" s="42">
        <f t="shared" si="88"/>
        <v>0</v>
      </c>
      <c r="J230" s="42">
        <f t="shared" si="88"/>
        <v>0</v>
      </c>
      <c r="K230" s="42">
        <f t="shared" si="88"/>
        <v>0</v>
      </c>
      <c r="L230" s="42">
        <f t="shared" si="88"/>
        <v>0</v>
      </c>
      <c r="M230" s="10">
        <f t="shared" si="88"/>
        <v>0</v>
      </c>
      <c r="N230" s="10">
        <f t="shared" si="88"/>
        <v>0</v>
      </c>
      <c r="O230" s="8">
        <f t="shared" si="88"/>
        <v>0</v>
      </c>
      <c r="P230" s="8">
        <f t="shared" si="88"/>
        <v>0</v>
      </c>
    </row>
    <row r="231" spans="1:16" x14ac:dyDescent="0.25">
      <c r="A231" s="50" t="s">
        <v>496</v>
      </c>
      <c r="B231" s="534">
        <f>AVERAGE(B221:B229)</f>
        <v>0</v>
      </c>
      <c r="C231" s="535"/>
      <c r="D231" s="534">
        <f>AVERAGE(D221:D229)</f>
        <v>0</v>
      </c>
      <c r="E231" s="535"/>
      <c r="F231" s="534">
        <f>AVERAGE(F221:F229)</f>
        <v>0</v>
      </c>
      <c r="G231" s="535"/>
      <c r="H231" s="42">
        <f t="shared" ref="H231:N231" si="89">AVERAGE(H221:H229)</f>
        <v>0</v>
      </c>
      <c r="I231" s="42">
        <f t="shared" si="89"/>
        <v>0</v>
      </c>
      <c r="J231" s="42">
        <f t="shared" si="89"/>
        <v>0</v>
      </c>
      <c r="K231" s="42">
        <f t="shared" si="89"/>
        <v>0</v>
      </c>
      <c r="L231" s="42">
        <f t="shared" si="89"/>
        <v>0</v>
      </c>
      <c r="M231" s="10">
        <f t="shared" si="89"/>
        <v>0</v>
      </c>
      <c r="N231" s="10">
        <f t="shared" si="89"/>
        <v>0</v>
      </c>
      <c r="O231" s="52" t="e">
        <f>N230/O230</f>
        <v>#DIV/0!</v>
      </c>
      <c r="P231" s="52" t="e">
        <f>M230/P230</f>
        <v>#DIV/0!</v>
      </c>
    </row>
    <row r="232" spans="1:16" ht="38.25" x14ac:dyDescent="0.25">
      <c r="A232" s="50" t="s">
        <v>508</v>
      </c>
      <c r="B232" s="534">
        <f>B231+I231</f>
        <v>0</v>
      </c>
      <c r="C232" s="535"/>
      <c r="D232" s="534">
        <f>D231+I231</f>
        <v>0</v>
      </c>
      <c r="E232" s="535"/>
      <c r="F232" s="534">
        <f>F231+I231</f>
        <v>0</v>
      </c>
      <c r="G232" s="535"/>
      <c r="H232" s="42">
        <f>H231+I231</f>
        <v>0</v>
      </c>
      <c r="I232" s="462"/>
      <c r="J232" s="463"/>
      <c r="K232" s="463"/>
      <c r="L232" s="463"/>
      <c r="M232" s="463"/>
      <c r="N232" s="464"/>
      <c r="O232" s="6" t="s">
        <v>509</v>
      </c>
      <c r="P232" s="6" t="s">
        <v>510</v>
      </c>
    </row>
    <row r="233" spans="1:16" ht="18.75" x14ac:dyDescent="0.25">
      <c r="A233" s="466" t="s">
        <v>760</v>
      </c>
      <c r="B233" s="466"/>
      <c r="C233" s="466"/>
      <c r="D233" s="466"/>
      <c r="E233" s="466"/>
      <c r="F233" s="466"/>
      <c r="G233" s="466"/>
      <c r="H233" s="466"/>
      <c r="I233" s="466"/>
      <c r="J233" s="466"/>
      <c r="K233" s="466"/>
      <c r="L233" s="466"/>
      <c r="M233" s="466"/>
      <c r="N233" s="466"/>
      <c r="O233" s="466"/>
      <c r="P233" s="466"/>
    </row>
    <row r="234" spans="1:16" ht="25.5" x14ac:dyDescent="0.25">
      <c r="A234" s="467" t="s">
        <v>694</v>
      </c>
      <c r="B234" s="468"/>
      <c r="C234" s="469"/>
      <c r="D234" s="470"/>
      <c r="E234" s="471"/>
      <c r="F234" s="472"/>
      <c r="G234" s="4" t="s">
        <v>693</v>
      </c>
      <c r="H234" s="66" t="s">
        <v>852</v>
      </c>
      <c r="I234" s="51" t="s">
        <v>695</v>
      </c>
      <c r="J234" s="470" t="s">
        <v>852</v>
      </c>
      <c r="K234" s="471"/>
      <c r="L234" s="472"/>
      <c r="M234" s="51" t="s">
        <v>492</v>
      </c>
      <c r="N234" s="458"/>
      <c r="O234" s="459"/>
      <c r="P234" s="460"/>
    </row>
    <row r="235" spans="1:16" x14ac:dyDescent="0.25">
      <c r="A235" s="486" t="s">
        <v>494</v>
      </c>
      <c r="B235" s="486" t="s">
        <v>495</v>
      </c>
      <c r="C235" s="486"/>
      <c r="D235" s="486"/>
      <c r="E235" s="486"/>
      <c r="F235" s="486"/>
      <c r="G235" s="486"/>
      <c r="H235" s="461" t="s">
        <v>496</v>
      </c>
      <c r="I235" s="529" t="s">
        <v>685</v>
      </c>
      <c r="J235" s="461" t="s">
        <v>497</v>
      </c>
      <c r="K235" s="461" t="s">
        <v>498</v>
      </c>
      <c r="L235" s="461" t="s">
        <v>499</v>
      </c>
      <c r="M235" s="461" t="s">
        <v>500</v>
      </c>
      <c r="N235" s="461" t="s">
        <v>501</v>
      </c>
      <c r="O235" s="461" t="s">
        <v>502</v>
      </c>
      <c r="P235" s="461" t="s">
        <v>503</v>
      </c>
    </row>
    <row r="236" spans="1:16" x14ac:dyDescent="0.25">
      <c r="A236" s="486"/>
      <c r="B236" s="538">
        <v>5</v>
      </c>
      <c r="C236" s="539"/>
      <c r="D236" s="538">
        <v>15</v>
      </c>
      <c r="E236" s="539"/>
      <c r="F236" s="538">
        <v>25</v>
      </c>
      <c r="G236" s="539"/>
      <c r="H236" s="461"/>
      <c r="I236" s="530"/>
      <c r="J236" s="461"/>
      <c r="K236" s="461"/>
      <c r="L236" s="461"/>
      <c r="M236" s="461"/>
      <c r="N236" s="461"/>
      <c r="O236" s="461"/>
      <c r="P236" s="461"/>
    </row>
    <row r="237" spans="1:16" x14ac:dyDescent="0.25">
      <c r="A237" s="5" t="s">
        <v>515</v>
      </c>
      <c r="B237" s="536">
        <v>0</v>
      </c>
      <c r="C237" s="537"/>
      <c r="D237" s="536">
        <v>0</v>
      </c>
      <c r="E237" s="537"/>
      <c r="F237" s="536">
        <v>0</v>
      </c>
      <c r="G237" s="537"/>
      <c r="H237" s="42">
        <f t="shared" ref="H237:H245" si="90">AVERAGE(B237:G237)</f>
        <v>0</v>
      </c>
      <c r="I237" s="43">
        <v>0</v>
      </c>
      <c r="J237" s="43">
        <v>0</v>
      </c>
      <c r="K237" s="44">
        <v>0</v>
      </c>
      <c r="L237" s="45">
        <f t="shared" ref="L237:L245" si="91">J237-K237</f>
        <v>0</v>
      </c>
      <c r="M237" s="7">
        <v>0</v>
      </c>
      <c r="N237" s="7">
        <v>0</v>
      </c>
      <c r="O237" s="7">
        <v>0</v>
      </c>
      <c r="P237" s="7">
        <v>0</v>
      </c>
    </row>
    <row r="238" spans="1:16" ht="15" customHeight="1" x14ac:dyDescent="0.25">
      <c r="A238" s="5" t="s">
        <v>516</v>
      </c>
      <c r="B238" s="536">
        <v>0</v>
      </c>
      <c r="C238" s="537"/>
      <c r="D238" s="536">
        <v>0</v>
      </c>
      <c r="E238" s="537"/>
      <c r="F238" s="536">
        <v>0</v>
      </c>
      <c r="G238" s="537"/>
      <c r="H238" s="42">
        <f t="shared" si="90"/>
        <v>0</v>
      </c>
      <c r="I238" s="43">
        <v>0</v>
      </c>
      <c r="J238" s="43">
        <v>0</v>
      </c>
      <c r="K238" s="44">
        <v>0</v>
      </c>
      <c r="L238" s="45">
        <f t="shared" si="91"/>
        <v>0</v>
      </c>
      <c r="M238" s="7">
        <v>0</v>
      </c>
      <c r="N238" s="7">
        <v>0</v>
      </c>
      <c r="O238" s="7">
        <v>0</v>
      </c>
      <c r="P238" s="7">
        <v>0</v>
      </c>
    </row>
    <row r="239" spans="1:16" ht="15" customHeight="1" x14ac:dyDescent="0.25">
      <c r="A239" s="5" t="s">
        <v>517</v>
      </c>
      <c r="B239" s="536">
        <v>0</v>
      </c>
      <c r="C239" s="537"/>
      <c r="D239" s="536">
        <v>0</v>
      </c>
      <c r="E239" s="537"/>
      <c r="F239" s="536">
        <v>0</v>
      </c>
      <c r="G239" s="537"/>
      <c r="H239" s="42">
        <f t="shared" si="90"/>
        <v>0</v>
      </c>
      <c r="I239" s="43">
        <v>0</v>
      </c>
      <c r="J239" s="43">
        <v>0</v>
      </c>
      <c r="K239" s="44">
        <v>0</v>
      </c>
      <c r="L239" s="45">
        <f t="shared" si="91"/>
        <v>0</v>
      </c>
      <c r="M239" s="7">
        <v>0</v>
      </c>
      <c r="N239" s="7">
        <v>0</v>
      </c>
      <c r="O239" s="7">
        <v>0</v>
      </c>
      <c r="P239" s="7">
        <v>0</v>
      </c>
    </row>
    <row r="240" spans="1:16" x14ac:dyDescent="0.25">
      <c r="A240" s="5" t="s">
        <v>504</v>
      </c>
      <c r="B240" s="536">
        <v>0</v>
      </c>
      <c r="C240" s="537"/>
      <c r="D240" s="536">
        <v>0</v>
      </c>
      <c r="E240" s="537"/>
      <c r="F240" s="536">
        <v>0</v>
      </c>
      <c r="G240" s="537"/>
      <c r="H240" s="42">
        <f t="shared" ref="H240:H242" si="92">AVERAGE(B240:G240)</f>
        <v>0</v>
      </c>
      <c r="I240" s="43">
        <v>0</v>
      </c>
      <c r="J240" s="43">
        <v>0</v>
      </c>
      <c r="K240" s="44">
        <v>0</v>
      </c>
      <c r="L240" s="45">
        <f t="shared" ref="L240:L242" si="93">J240-K240</f>
        <v>0</v>
      </c>
      <c r="M240" s="7">
        <v>0</v>
      </c>
      <c r="N240" s="7">
        <v>0</v>
      </c>
      <c r="O240" s="7">
        <v>0</v>
      </c>
      <c r="P240" s="7">
        <v>0</v>
      </c>
    </row>
    <row r="241" spans="1:16" x14ac:dyDescent="0.25">
      <c r="A241" s="5" t="s">
        <v>505</v>
      </c>
      <c r="B241" s="536">
        <v>0</v>
      </c>
      <c r="C241" s="537"/>
      <c r="D241" s="536">
        <v>0</v>
      </c>
      <c r="E241" s="537"/>
      <c r="F241" s="536">
        <v>0</v>
      </c>
      <c r="G241" s="537"/>
      <c r="H241" s="42">
        <f t="shared" si="92"/>
        <v>0</v>
      </c>
      <c r="I241" s="43">
        <v>0</v>
      </c>
      <c r="J241" s="43">
        <v>0</v>
      </c>
      <c r="K241" s="44">
        <v>0</v>
      </c>
      <c r="L241" s="45">
        <f t="shared" si="93"/>
        <v>0</v>
      </c>
      <c r="M241" s="7">
        <v>0</v>
      </c>
      <c r="N241" s="7">
        <v>0</v>
      </c>
      <c r="O241" s="7">
        <v>0</v>
      </c>
      <c r="P241" s="7">
        <v>0</v>
      </c>
    </row>
    <row r="242" spans="1:16" x14ac:dyDescent="0.25">
      <c r="A242" s="5" t="s">
        <v>506</v>
      </c>
      <c r="B242" s="536">
        <v>0</v>
      </c>
      <c r="C242" s="537"/>
      <c r="D242" s="536">
        <v>0</v>
      </c>
      <c r="E242" s="537"/>
      <c r="F242" s="536">
        <v>0</v>
      </c>
      <c r="G242" s="537"/>
      <c r="H242" s="42">
        <f t="shared" si="92"/>
        <v>0</v>
      </c>
      <c r="I242" s="43">
        <v>0</v>
      </c>
      <c r="J242" s="43">
        <v>0</v>
      </c>
      <c r="K242" s="44">
        <v>0</v>
      </c>
      <c r="L242" s="45">
        <f t="shared" si="93"/>
        <v>0</v>
      </c>
      <c r="M242" s="7">
        <v>0</v>
      </c>
      <c r="N242" s="7">
        <v>0</v>
      </c>
      <c r="O242" s="7">
        <v>0</v>
      </c>
      <c r="P242" s="7">
        <v>0</v>
      </c>
    </row>
    <row r="243" spans="1:16" x14ac:dyDescent="0.25">
      <c r="A243" s="5" t="s">
        <v>504</v>
      </c>
      <c r="B243" s="536">
        <v>0</v>
      </c>
      <c r="C243" s="537"/>
      <c r="D243" s="536">
        <v>0</v>
      </c>
      <c r="E243" s="537"/>
      <c r="F243" s="536">
        <v>0</v>
      </c>
      <c r="G243" s="537"/>
      <c r="H243" s="42">
        <f t="shared" si="90"/>
        <v>0</v>
      </c>
      <c r="I243" s="43">
        <v>0</v>
      </c>
      <c r="J243" s="43">
        <v>0</v>
      </c>
      <c r="K243" s="44">
        <v>0</v>
      </c>
      <c r="L243" s="45">
        <f t="shared" si="91"/>
        <v>0</v>
      </c>
      <c r="M243" s="7">
        <v>0</v>
      </c>
      <c r="N243" s="7">
        <v>0</v>
      </c>
      <c r="O243" s="7">
        <v>0</v>
      </c>
      <c r="P243" s="7">
        <v>0</v>
      </c>
    </row>
    <row r="244" spans="1:16" x14ac:dyDescent="0.25">
      <c r="A244" s="5" t="s">
        <v>505</v>
      </c>
      <c r="B244" s="536">
        <v>0</v>
      </c>
      <c r="C244" s="537"/>
      <c r="D244" s="536">
        <v>0</v>
      </c>
      <c r="E244" s="537"/>
      <c r="F244" s="536">
        <v>0</v>
      </c>
      <c r="G244" s="537"/>
      <c r="H244" s="42">
        <f t="shared" si="90"/>
        <v>0</v>
      </c>
      <c r="I244" s="43">
        <v>0</v>
      </c>
      <c r="J244" s="43">
        <v>0</v>
      </c>
      <c r="K244" s="44">
        <v>0</v>
      </c>
      <c r="L244" s="45">
        <f t="shared" si="91"/>
        <v>0</v>
      </c>
      <c r="M244" s="7">
        <v>0</v>
      </c>
      <c r="N244" s="7">
        <v>0</v>
      </c>
      <c r="O244" s="7">
        <v>0</v>
      </c>
      <c r="P244" s="7">
        <v>0</v>
      </c>
    </row>
    <row r="245" spans="1:16" x14ac:dyDescent="0.25">
      <c r="A245" s="5" t="s">
        <v>506</v>
      </c>
      <c r="B245" s="536">
        <v>0</v>
      </c>
      <c r="C245" s="537"/>
      <c r="D245" s="536">
        <v>0</v>
      </c>
      <c r="E245" s="537"/>
      <c r="F245" s="536">
        <v>0</v>
      </c>
      <c r="G245" s="537"/>
      <c r="H245" s="42">
        <f t="shared" si="90"/>
        <v>0</v>
      </c>
      <c r="I245" s="43">
        <v>0</v>
      </c>
      <c r="J245" s="43">
        <v>0</v>
      </c>
      <c r="K245" s="44">
        <v>0</v>
      </c>
      <c r="L245" s="45">
        <f t="shared" si="91"/>
        <v>0</v>
      </c>
      <c r="M245" s="7">
        <v>0</v>
      </c>
      <c r="N245" s="7">
        <v>0</v>
      </c>
      <c r="O245" s="7">
        <v>0</v>
      </c>
      <c r="P245" s="7">
        <v>0</v>
      </c>
    </row>
    <row r="246" spans="1:16" x14ac:dyDescent="0.25">
      <c r="A246" s="50" t="s">
        <v>507</v>
      </c>
      <c r="B246" s="534">
        <f>SUM(B237:B245)</f>
        <v>0</v>
      </c>
      <c r="C246" s="535"/>
      <c r="D246" s="534">
        <f>SUM(D237:D245)</f>
        <v>0</v>
      </c>
      <c r="E246" s="535"/>
      <c r="F246" s="534">
        <f>SUM(F237:F245)</f>
        <v>0</v>
      </c>
      <c r="G246" s="535"/>
      <c r="H246" s="42">
        <f t="shared" ref="H246:P246" si="94">SUM(H237:H245)</f>
        <v>0</v>
      </c>
      <c r="I246" s="42">
        <f t="shared" si="94"/>
        <v>0</v>
      </c>
      <c r="J246" s="42">
        <f t="shared" si="94"/>
        <v>0</v>
      </c>
      <c r="K246" s="42">
        <f t="shared" si="94"/>
        <v>0</v>
      </c>
      <c r="L246" s="42">
        <f t="shared" si="94"/>
        <v>0</v>
      </c>
      <c r="M246" s="10">
        <f t="shared" si="94"/>
        <v>0</v>
      </c>
      <c r="N246" s="10">
        <f t="shared" si="94"/>
        <v>0</v>
      </c>
      <c r="O246" s="8">
        <f t="shared" si="94"/>
        <v>0</v>
      </c>
      <c r="P246" s="8">
        <f t="shared" si="94"/>
        <v>0</v>
      </c>
    </row>
    <row r="247" spans="1:16" x14ac:dyDescent="0.25">
      <c r="A247" s="50" t="s">
        <v>496</v>
      </c>
      <c r="B247" s="534">
        <f>AVERAGE(B237:B245)</f>
        <v>0</v>
      </c>
      <c r="C247" s="535"/>
      <c r="D247" s="534">
        <f>AVERAGE(D237:D245)</f>
        <v>0</v>
      </c>
      <c r="E247" s="535"/>
      <c r="F247" s="534">
        <f>AVERAGE(F237:F245)</f>
        <v>0</v>
      </c>
      <c r="G247" s="535"/>
      <c r="H247" s="42">
        <f t="shared" ref="H247:N247" si="95">AVERAGE(H237:H245)</f>
        <v>0</v>
      </c>
      <c r="I247" s="42">
        <f t="shared" si="95"/>
        <v>0</v>
      </c>
      <c r="J247" s="42">
        <f t="shared" si="95"/>
        <v>0</v>
      </c>
      <c r="K247" s="42">
        <f t="shared" si="95"/>
        <v>0</v>
      </c>
      <c r="L247" s="42">
        <f t="shared" si="95"/>
        <v>0</v>
      </c>
      <c r="M247" s="10">
        <f t="shared" si="95"/>
        <v>0</v>
      </c>
      <c r="N247" s="10">
        <f t="shared" si="95"/>
        <v>0</v>
      </c>
      <c r="O247" s="52" t="e">
        <f>N246/O246</f>
        <v>#DIV/0!</v>
      </c>
      <c r="P247" s="52" t="e">
        <f>M246/P246</f>
        <v>#DIV/0!</v>
      </c>
    </row>
    <row r="248" spans="1:16" ht="38.25" x14ac:dyDescent="0.25">
      <c r="A248" s="50" t="s">
        <v>508</v>
      </c>
      <c r="B248" s="534">
        <f>B247+I247</f>
        <v>0</v>
      </c>
      <c r="C248" s="535"/>
      <c r="D248" s="534">
        <f>D247+I247</f>
        <v>0</v>
      </c>
      <c r="E248" s="535"/>
      <c r="F248" s="534">
        <f>F247+I247</f>
        <v>0</v>
      </c>
      <c r="G248" s="535"/>
      <c r="H248" s="42">
        <f>H247+I247</f>
        <v>0</v>
      </c>
      <c r="I248" s="462"/>
      <c r="J248" s="463"/>
      <c r="K248" s="463"/>
      <c r="L248" s="463"/>
      <c r="M248" s="463"/>
      <c r="N248" s="464"/>
      <c r="O248" s="6" t="s">
        <v>509</v>
      </c>
      <c r="P248" s="6" t="s">
        <v>510</v>
      </c>
    </row>
    <row r="249" spans="1:16" ht="18.75" x14ac:dyDescent="0.25">
      <c r="A249" s="466" t="s">
        <v>761</v>
      </c>
      <c r="B249" s="466"/>
      <c r="C249" s="466"/>
      <c r="D249" s="466"/>
      <c r="E249" s="466"/>
      <c r="F249" s="466"/>
      <c r="G249" s="466"/>
      <c r="H249" s="466"/>
      <c r="I249" s="466"/>
      <c r="J249" s="466"/>
      <c r="K249" s="466"/>
      <c r="L249" s="466"/>
      <c r="M249" s="466"/>
      <c r="N249" s="466"/>
      <c r="O249" s="466"/>
      <c r="P249" s="466"/>
    </row>
    <row r="250" spans="1:16" ht="25.5" x14ac:dyDescent="0.25">
      <c r="A250" s="467" t="s">
        <v>694</v>
      </c>
      <c r="B250" s="468"/>
      <c r="C250" s="469"/>
      <c r="D250" s="470"/>
      <c r="E250" s="471"/>
      <c r="F250" s="472"/>
      <c r="G250" s="4" t="s">
        <v>693</v>
      </c>
      <c r="H250" s="66" t="s">
        <v>852</v>
      </c>
      <c r="I250" s="51" t="s">
        <v>695</v>
      </c>
      <c r="J250" s="470" t="s">
        <v>852</v>
      </c>
      <c r="K250" s="471"/>
      <c r="L250" s="472"/>
      <c r="M250" s="51" t="s">
        <v>492</v>
      </c>
      <c r="N250" s="458"/>
      <c r="O250" s="459"/>
      <c r="P250" s="460"/>
    </row>
    <row r="251" spans="1:16" ht="15" customHeight="1" x14ac:dyDescent="0.25">
      <c r="A251" s="486" t="s">
        <v>494</v>
      </c>
      <c r="B251" s="486" t="s">
        <v>495</v>
      </c>
      <c r="C251" s="486"/>
      <c r="D251" s="486"/>
      <c r="E251" s="486"/>
      <c r="F251" s="486"/>
      <c r="G251" s="486"/>
      <c r="H251" s="461" t="s">
        <v>496</v>
      </c>
      <c r="I251" s="529" t="s">
        <v>685</v>
      </c>
      <c r="J251" s="461" t="s">
        <v>497</v>
      </c>
      <c r="K251" s="461" t="s">
        <v>498</v>
      </c>
      <c r="L251" s="461" t="s">
        <v>499</v>
      </c>
      <c r="M251" s="461" t="s">
        <v>500</v>
      </c>
      <c r="N251" s="461" t="s">
        <v>501</v>
      </c>
      <c r="O251" s="461" t="s">
        <v>502</v>
      </c>
      <c r="P251" s="461" t="s">
        <v>503</v>
      </c>
    </row>
    <row r="252" spans="1:16" ht="15" customHeight="1" x14ac:dyDescent="0.25">
      <c r="A252" s="486"/>
      <c r="B252" s="538">
        <v>5</v>
      </c>
      <c r="C252" s="539"/>
      <c r="D252" s="538">
        <v>15</v>
      </c>
      <c r="E252" s="539"/>
      <c r="F252" s="538">
        <v>25</v>
      </c>
      <c r="G252" s="539"/>
      <c r="H252" s="461"/>
      <c r="I252" s="530"/>
      <c r="J252" s="461"/>
      <c r="K252" s="461"/>
      <c r="L252" s="461"/>
      <c r="M252" s="461"/>
      <c r="N252" s="461"/>
      <c r="O252" s="461"/>
      <c r="P252" s="461"/>
    </row>
    <row r="253" spans="1:16" x14ac:dyDescent="0.25">
      <c r="A253" s="5" t="s">
        <v>515</v>
      </c>
      <c r="B253" s="536">
        <v>0</v>
      </c>
      <c r="C253" s="537"/>
      <c r="D253" s="536">
        <v>0</v>
      </c>
      <c r="E253" s="537"/>
      <c r="F253" s="536">
        <v>0</v>
      </c>
      <c r="G253" s="537"/>
      <c r="H253" s="42">
        <f t="shared" ref="H253:H261" si="96">AVERAGE(B253:G253)</f>
        <v>0</v>
      </c>
      <c r="I253" s="43">
        <v>0</v>
      </c>
      <c r="J253" s="43">
        <v>0</v>
      </c>
      <c r="K253" s="44">
        <v>0</v>
      </c>
      <c r="L253" s="45">
        <f t="shared" ref="L253:L261" si="97">J253-K253</f>
        <v>0</v>
      </c>
      <c r="M253" s="7">
        <v>0</v>
      </c>
      <c r="N253" s="7">
        <v>0</v>
      </c>
      <c r="O253" s="7">
        <v>0</v>
      </c>
      <c r="P253" s="7">
        <v>0</v>
      </c>
    </row>
    <row r="254" spans="1:16" x14ac:dyDescent="0.25">
      <c r="A254" s="5" t="s">
        <v>516</v>
      </c>
      <c r="B254" s="536">
        <v>0</v>
      </c>
      <c r="C254" s="537"/>
      <c r="D254" s="536">
        <v>0</v>
      </c>
      <c r="E254" s="537"/>
      <c r="F254" s="536">
        <v>0</v>
      </c>
      <c r="G254" s="537"/>
      <c r="H254" s="42">
        <f t="shared" si="96"/>
        <v>0</v>
      </c>
      <c r="I254" s="43">
        <v>0</v>
      </c>
      <c r="J254" s="43">
        <v>0</v>
      </c>
      <c r="K254" s="44">
        <v>0</v>
      </c>
      <c r="L254" s="45">
        <f t="shared" si="97"/>
        <v>0</v>
      </c>
      <c r="M254" s="7">
        <v>0</v>
      </c>
      <c r="N254" s="7">
        <v>0</v>
      </c>
      <c r="O254" s="7">
        <v>0</v>
      </c>
      <c r="P254" s="7">
        <v>0</v>
      </c>
    </row>
    <row r="255" spans="1:16" x14ac:dyDescent="0.25">
      <c r="A255" s="5" t="s">
        <v>517</v>
      </c>
      <c r="B255" s="536">
        <v>0</v>
      </c>
      <c r="C255" s="537"/>
      <c r="D255" s="536">
        <v>0</v>
      </c>
      <c r="E255" s="537"/>
      <c r="F255" s="536">
        <v>0</v>
      </c>
      <c r="G255" s="537"/>
      <c r="H255" s="42">
        <f t="shared" si="96"/>
        <v>0</v>
      </c>
      <c r="I255" s="43">
        <v>0</v>
      </c>
      <c r="J255" s="43">
        <v>0</v>
      </c>
      <c r="K255" s="44">
        <v>0</v>
      </c>
      <c r="L255" s="45">
        <f t="shared" si="97"/>
        <v>0</v>
      </c>
      <c r="M255" s="7">
        <v>0</v>
      </c>
      <c r="N255" s="7">
        <v>0</v>
      </c>
      <c r="O255" s="7">
        <v>0</v>
      </c>
      <c r="P255" s="7">
        <v>0</v>
      </c>
    </row>
    <row r="256" spans="1:16" x14ac:dyDescent="0.25">
      <c r="A256" s="5" t="s">
        <v>504</v>
      </c>
      <c r="B256" s="536">
        <v>0</v>
      </c>
      <c r="C256" s="537"/>
      <c r="D256" s="536">
        <v>0</v>
      </c>
      <c r="E256" s="537"/>
      <c r="F256" s="536">
        <v>0</v>
      </c>
      <c r="G256" s="537"/>
      <c r="H256" s="42">
        <f t="shared" ref="H256:H258" si="98">AVERAGE(B256:G256)</f>
        <v>0</v>
      </c>
      <c r="I256" s="43">
        <v>0</v>
      </c>
      <c r="J256" s="43">
        <v>0</v>
      </c>
      <c r="K256" s="44">
        <v>0</v>
      </c>
      <c r="L256" s="45">
        <f t="shared" ref="L256:L258" si="99">J256-K256</f>
        <v>0</v>
      </c>
      <c r="M256" s="7">
        <v>0</v>
      </c>
      <c r="N256" s="7">
        <v>0</v>
      </c>
      <c r="O256" s="7">
        <v>0</v>
      </c>
      <c r="P256" s="7">
        <v>0</v>
      </c>
    </row>
    <row r="257" spans="1:16" x14ac:dyDescent="0.25">
      <c r="A257" s="5" t="s">
        <v>505</v>
      </c>
      <c r="B257" s="536">
        <v>0</v>
      </c>
      <c r="C257" s="537"/>
      <c r="D257" s="536">
        <v>0</v>
      </c>
      <c r="E257" s="537"/>
      <c r="F257" s="536">
        <v>0</v>
      </c>
      <c r="G257" s="537"/>
      <c r="H257" s="42">
        <f t="shared" si="98"/>
        <v>0</v>
      </c>
      <c r="I257" s="43">
        <v>0</v>
      </c>
      <c r="J257" s="43">
        <v>0</v>
      </c>
      <c r="K257" s="44">
        <v>0</v>
      </c>
      <c r="L257" s="45">
        <f t="shared" si="99"/>
        <v>0</v>
      </c>
      <c r="M257" s="7">
        <v>0</v>
      </c>
      <c r="N257" s="7">
        <v>0</v>
      </c>
      <c r="O257" s="7">
        <v>0</v>
      </c>
      <c r="P257" s="7">
        <v>0</v>
      </c>
    </row>
    <row r="258" spans="1:16" x14ac:dyDescent="0.25">
      <c r="A258" s="5" t="s">
        <v>506</v>
      </c>
      <c r="B258" s="536">
        <v>0</v>
      </c>
      <c r="C258" s="537"/>
      <c r="D258" s="536">
        <v>0</v>
      </c>
      <c r="E258" s="537"/>
      <c r="F258" s="536">
        <v>0</v>
      </c>
      <c r="G258" s="537"/>
      <c r="H258" s="42">
        <f t="shared" si="98"/>
        <v>0</v>
      </c>
      <c r="I258" s="43">
        <v>0</v>
      </c>
      <c r="J258" s="43">
        <v>0</v>
      </c>
      <c r="K258" s="44">
        <v>0</v>
      </c>
      <c r="L258" s="45">
        <f t="shared" si="99"/>
        <v>0</v>
      </c>
      <c r="M258" s="7">
        <v>0</v>
      </c>
      <c r="N258" s="7">
        <v>0</v>
      </c>
      <c r="O258" s="7">
        <v>0</v>
      </c>
      <c r="P258" s="7">
        <v>0</v>
      </c>
    </row>
    <row r="259" spans="1:16" x14ac:dyDescent="0.25">
      <c r="A259" s="5" t="s">
        <v>504</v>
      </c>
      <c r="B259" s="536">
        <v>0</v>
      </c>
      <c r="C259" s="537"/>
      <c r="D259" s="536">
        <v>0</v>
      </c>
      <c r="E259" s="537"/>
      <c r="F259" s="536">
        <v>0</v>
      </c>
      <c r="G259" s="537"/>
      <c r="H259" s="42">
        <f t="shared" si="96"/>
        <v>0</v>
      </c>
      <c r="I259" s="43">
        <v>0</v>
      </c>
      <c r="J259" s="43">
        <v>0</v>
      </c>
      <c r="K259" s="44">
        <v>0</v>
      </c>
      <c r="L259" s="45">
        <f t="shared" si="97"/>
        <v>0</v>
      </c>
      <c r="M259" s="7">
        <v>0</v>
      </c>
      <c r="N259" s="7">
        <v>0</v>
      </c>
      <c r="O259" s="7">
        <v>0</v>
      </c>
      <c r="P259" s="7">
        <v>0</v>
      </c>
    </row>
    <row r="260" spans="1:16" x14ac:dyDescent="0.25">
      <c r="A260" s="5" t="s">
        <v>505</v>
      </c>
      <c r="B260" s="536">
        <v>0</v>
      </c>
      <c r="C260" s="537"/>
      <c r="D260" s="536">
        <v>0</v>
      </c>
      <c r="E260" s="537"/>
      <c r="F260" s="536">
        <v>0</v>
      </c>
      <c r="G260" s="537"/>
      <c r="H260" s="42">
        <f t="shared" si="96"/>
        <v>0</v>
      </c>
      <c r="I260" s="43">
        <v>0</v>
      </c>
      <c r="J260" s="43">
        <v>0</v>
      </c>
      <c r="K260" s="44">
        <v>0</v>
      </c>
      <c r="L260" s="45">
        <f t="shared" si="97"/>
        <v>0</v>
      </c>
      <c r="M260" s="7">
        <v>0</v>
      </c>
      <c r="N260" s="7">
        <v>0</v>
      </c>
      <c r="O260" s="7">
        <v>0</v>
      </c>
      <c r="P260" s="7">
        <v>0</v>
      </c>
    </row>
    <row r="261" spans="1:16" x14ac:dyDescent="0.25">
      <c r="A261" s="5" t="s">
        <v>506</v>
      </c>
      <c r="B261" s="536">
        <v>0</v>
      </c>
      <c r="C261" s="537"/>
      <c r="D261" s="536">
        <v>0</v>
      </c>
      <c r="E261" s="537"/>
      <c r="F261" s="536">
        <v>0</v>
      </c>
      <c r="G261" s="537"/>
      <c r="H261" s="42">
        <f t="shared" si="96"/>
        <v>0</v>
      </c>
      <c r="I261" s="43">
        <v>0</v>
      </c>
      <c r="J261" s="43">
        <v>0</v>
      </c>
      <c r="K261" s="44">
        <v>0</v>
      </c>
      <c r="L261" s="45">
        <f t="shared" si="97"/>
        <v>0</v>
      </c>
      <c r="M261" s="7">
        <v>0</v>
      </c>
      <c r="N261" s="7">
        <v>0</v>
      </c>
      <c r="O261" s="7">
        <v>0</v>
      </c>
      <c r="P261" s="7">
        <v>0</v>
      </c>
    </row>
    <row r="262" spans="1:16" x14ac:dyDescent="0.25">
      <c r="A262" s="50" t="s">
        <v>507</v>
      </c>
      <c r="B262" s="534">
        <f>SUM(B253:B261)</f>
        <v>0</v>
      </c>
      <c r="C262" s="535"/>
      <c r="D262" s="534">
        <f>SUM(D253:D261)</f>
        <v>0</v>
      </c>
      <c r="E262" s="535"/>
      <c r="F262" s="534">
        <f>SUM(F253:F261)</f>
        <v>0</v>
      </c>
      <c r="G262" s="535"/>
      <c r="H262" s="42">
        <f t="shared" ref="H262:P262" si="100">SUM(H253:H261)</f>
        <v>0</v>
      </c>
      <c r="I262" s="42">
        <f t="shared" si="100"/>
        <v>0</v>
      </c>
      <c r="J262" s="42">
        <f t="shared" si="100"/>
        <v>0</v>
      </c>
      <c r="K262" s="42">
        <f t="shared" si="100"/>
        <v>0</v>
      </c>
      <c r="L262" s="42">
        <f t="shared" si="100"/>
        <v>0</v>
      </c>
      <c r="M262" s="10">
        <f t="shared" si="100"/>
        <v>0</v>
      </c>
      <c r="N262" s="10">
        <f t="shared" si="100"/>
        <v>0</v>
      </c>
      <c r="O262" s="8">
        <f t="shared" si="100"/>
        <v>0</v>
      </c>
      <c r="P262" s="8">
        <f t="shared" si="100"/>
        <v>0</v>
      </c>
    </row>
    <row r="263" spans="1:16" x14ac:dyDescent="0.25">
      <c r="A263" s="50" t="s">
        <v>496</v>
      </c>
      <c r="B263" s="534">
        <f>AVERAGE(B253:B261)</f>
        <v>0</v>
      </c>
      <c r="C263" s="535"/>
      <c r="D263" s="534">
        <f>AVERAGE(D253:D261)</f>
        <v>0</v>
      </c>
      <c r="E263" s="535"/>
      <c r="F263" s="534">
        <f>AVERAGE(F253:F261)</f>
        <v>0</v>
      </c>
      <c r="G263" s="535"/>
      <c r="H263" s="42">
        <f t="shared" ref="H263:N263" si="101">AVERAGE(H253:H261)</f>
        <v>0</v>
      </c>
      <c r="I263" s="42">
        <f t="shared" si="101"/>
        <v>0</v>
      </c>
      <c r="J263" s="42">
        <f t="shared" si="101"/>
        <v>0</v>
      </c>
      <c r="K263" s="42">
        <f t="shared" si="101"/>
        <v>0</v>
      </c>
      <c r="L263" s="42">
        <f t="shared" si="101"/>
        <v>0</v>
      </c>
      <c r="M263" s="10">
        <f t="shared" si="101"/>
        <v>0</v>
      </c>
      <c r="N263" s="10">
        <f t="shared" si="101"/>
        <v>0</v>
      </c>
      <c r="O263" s="52" t="e">
        <f>N262/O262</f>
        <v>#DIV/0!</v>
      </c>
      <c r="P263" s="52" t="e">
        <f>M262/P262</f>
        <v>#DIV/0!</v>
      </c>
    </row>
    <row r="264" spans="1:16" ht="15" customHeight="1" x14ac:dyDescent="0.25">
      <c r="A264" s="50" t="s">
        <v>508</v>
      </c>
      <c r="B264" s="534">
        <f>B263+I263</f>
        <v>0</v>
      </c>
      <c r="C264" s="535"/>
      <c r="D264" s="534">
        <f>D263+I263</f>
        <v>0</v>
      </c>
      <c r="E264" s="535"/>
      <c r="F264" s="534">
        <f>F263+I263</f>
        <v>0</v>
      </c>
      <c r="G264" s="535"/>
      <c r="H264" s="42">
        <f>H263+I263</f>
        <v>0</v>
      </c>
      <c r="I264" s="462"/>
      <c r="J264" s="463"/>
      <c r="K264" s="463"/>
      <c r="L264" s="463"/>
      <c r="M264" s="463"/>
      <c r="N264" s="464"/>
      <c r="O264" s="6" t="s">
        <v>509</v>
      </c>
      <c r="P264" s="6" t="s">
        <v>510</v>
      </c>
    </row>
    <row r="265" spans="1:16" ht="15" customHeight="1" x14ac:dyDescent="0.25">
      <c r="A265" s="466" t="s">
        <v>762</v>
      </c>
      <c r="B265" s="466"/>
      <c r="C265" s="466"/>
      <c r="D265" s="466"/>
      <c r="E265" s="466"/>
      <c r="F265" s="466"/>
      <c r="G265" s="466"/>
      <c r="H265" s="466"/>
      <c r="I265" s="466"/>
      <c r="J265" s="466"/>
      <c r="K265" s="466"/>
      <c r="L265" s="466"/>
      <c r="M265" s="466"/>
      <c r="N265" s="466"/>
      <c r="O265" s="466"/>
      <c r="P265" s="466"/>
    </row>
    <row r="266" spans="1:16" ht="25.5" x14ac:dyDescent="0.25">
      <c r="A266" s="467" t="s">
        <v>694</v>
      </c>
      <c r="B266" s="468"/>
      <c r="C266" s="469"/>
      <c r="D266" s="470"/>
      <c r="E266" s="471"/>
      <c r="F266" s="472"/>
      <c r="G266" s="4" t="s">
        <v>693</v>
      </c>
      <c r="H266" s="66" t="s">
        <v>852</v>
      </c>
      <c r="I266" s="51" t="s">
        <v>695</v>
      </c>
      <c r="J266" s="470" t="s">
        <v>852</v>
      </c>
      <c r="K266" s="471"/>
      <c r="L266" s="472"/>
      <c r="M266" s="51" t="s">
        <v>492</v>
      </c>
      <c r="N266" s="458"/>
      <c r="O266" s="459"/>
      <c r="P266" s="460"/>
    </row>
    <row r="267" spans="1:16" x14ac:dyDescent="0.25">
      <c r="A267" s="486" t="s">
        <v>494</v>
      </c>
      <c r="B267" s="486" t="s">
        <v>495</v>
      </c>
      <c r="C267" s="486"/>
      <c r="D267" s="486"/>
      <c r="E267" s="486"/>
      <c r="F267" s="486"/>
      <c r="G267" s="486"/>
      <c r="H267" s="461" t="s">
        <v>496</v>
      </c>
      <c r="I267" s="529" t="s">
        <v>685</v>
      </c>
      <c r="J267" s="461" t="s">
        <v>497</v>
      </c>
      <c r="K267" s="461" t="s">
        <v>498</v>
      </c>
      <c r="L267" s="461" t="s">
        <v>499</v>
      </c>
      <c r="M267" s="461" t="s">
        <v>500</v>
      </c>
      <c r="N267" s="461" t="s">
        <v>501</v>
      </c>
      <c r="O267" s="461" t="s">
        <v>502</v>
      </c>
      <c r="P267" s="461" t="s">
        <v>503</v>
      </c>
    </row>
    <row r="268" spans="1:16" x14ac:dyDescent="0.25">
      <c r="A268" s="486"/>
      <c r="B268" s="538">
        <v>5</v>
      </c>
      <c r="C268" s="539"/>
      <c r="D268" s="538">
        <v>15</v>
      </c>
      <c r="E268" s="539"/>
      <c r="F268" s="538">
        <v>25</v>
      </c>
      <c r="G268" s="539"/>
      <c r="H268" s="461"/>
      <c r="I268" s="530"/>
      <c r="J268" s="461"/>
      <c r="K268" s="461"/>
      <c r="L268" s="461"/>
      <c r="M268" s="461"/>
      <c r="N268" s="461"/>
      <c r="O268" s="461"/>
      <c r="P268" s="461"/>
    </row>
    <row r="269" spans="1:16" x14ac:dyDescent="0.25">
      <c r="A269" s="5" t="s">
        <v>515</v>
      </c>
      <c r="B269" s="536">
        <v>0</v>
      </c>
      <c r="C269" s="537"/>
      <c r="D269" s="536">
        <v>0</v>
      </c>
      <c r="E269" s="537"/>
      <c r="F269" s="536">
        <v>0</v>
      </c>
      <c r="G269" s="537"/>
      <c r="H269" s="42">
        <f t="shared" ref="H269:H277" si="102">AVERAGE(B269:G269)</f>
        <v>0</v>
      </c>
      <c r="I269" s="43">
        <v>0</v>
      </c>
      <c r="J269" s="43">
        <v>0</v>
      </c>
      <c r="K269" s="44">
        <v>0</v>
      </c>
      <c r="L269" s="45">
        <f t="shared" ref="L269:L277" si="103">J269-K269</f>
        <v>0</v>
      </c>
      <c r="M269" s="7">
        <v>0</v>
      </c>
      <c r="N269" s="7">
        <v>0</v>
      </c>
      <c r="O269" s="7">
        <v>0</v>
      </c>
      <c r="P269" s="7">
        <v>0</v>
      </c>
    </row>
    <row r="270" spans="1:16" x14ac:dyDescent="0.25">
      <c r="A270" s="5" t="s">
        <v>516</v>
      </c>
      <c r="B270" s="536">
        <v>0</v>
      </c>
      <c r="C270" s="537"/>
      <c r="D270" s="536">
        <v>0</v>
      </c>
      <c r="E270" s="537"/>
      <c r="F270" s="536">
        <v>0</v>
      </c>
      <c r="G270" s="537"/>
      <c r="H270" s="42">
        <f t="shared" si="102"/>
        <v>0</v>
      </c>
      <c r="I270" s="43">
        <v>0</v>
      </c>
      <c r="J270" s="43">
        <v>0</v>
      </c>
      <c r="K270" s="44">
        <v>0</v>
      </c>
      <c r="L270" s="45">
        <f t="shared" si="103"/>
        <v>0</v>
      </c>
      <c r="M270" s="7">
        <v>0</v>
      </c>
      <c r="N270" s="7">
        <v>0</v>
      </c>
      <c r="O270" s="7">
        <v>0</v>
      </c>
      <c r="P270" s="7">
        <v>0</v>
      </c>
    </row>
    <row r="271" spans="1:16" x14ac:dyDescent="0.25">
      <c r="A271" s="5" t="s">
        <v>517</v>
      </c>
      <c r="B271" s="536">
        <v>0</v>
      </c>
      <c r="C271" s="537"/>
      <c r="D271" s="536">
        <v>0</v>
      </c>
      <c r="E271" s="537"/>
      <c r="F271" s="536">
        <v>0</v>
      </c>
      <c r="G271" s="537"/>
      <c r="H271" s="42">
        <f t="shared" si="102"/>
        <v>0</v>
      </c>
      <c r="I271" s="43">
        <v>0</v>
      </c>
      <c r="J271" s="43">
        <v>0</v>
      </c>
      <c r="K271" s="44">
        <v>0</v>
      </c>
      <c r="L271" s="45">
        <f t="shared" si="103"/>
        <v>0</v>
      </c>
      <c r="M271" s="7">
        <v>0</v>
      </c>
      <c r="N271" s="7">
        <v>0</v>
      </c>
      <c r="O271" s="7">
        <v>0</v>
      </c>
      <c r="P271" s="7">
        <v>0</v>
      </c>
    </row>
    <row r="272" spans="1:16" x14ac:dyDescent="0.25">
      <c r="A272" s="5" t="s">
        <v>504</v>
      </c>
      <c r="B272" s="536">
        <v>0</v>
      </c>
      <c r="C272" s="537"/>
      <c r="D272" s="536">
        <v>0</v>
      </c>
      <c r="E272" s="537"/>
      <c r="F272" s="536">
        <v>0</v>
      </c>
      <c r="G272" s="537"/>
      <c r="H272" s="42">
        <f t="shared" ref="H272:H274" si="104">AVERAGE(B272:G272)</f>
        <v>0</v>
      </c>
      <c r="I272" s="43">
        <v>0</v>
      </c>
      <c r="J272" s="43">
        <v>0</v>
      </c>
      <c r="K272" s="44">
        <v>0</v>
      </c>
      <c r="L272" s="45">
        <f t="shared" ref="L272:L274" si="105">J272-K272</f>
        <v>0</v>
      </c>
      <c r="M272" s="7">
        <v>0</v>
      </c>
      <c r="N272" s="7">
        <v>0</v>
      </c>
      <c r="O272" s="7">
        <v>0</v>
      </c>
      <c r="P272" s="7">
        <v>0</v>
      </c>
    </row>
    <row r="273" spans="1:16" x14ac:dyDescent="0.25">
      <c r="A273" s="5" t="s">
        <v>505</v>
      </c>
      <c r="B273" s="536">
        <v>0</v>
      </c>
      <c r="C273" s="537"/>
      <c r="D273" s="536">
        <v>0</v>
      </c>
      <c r="E273" s="537"/>
      <c r="F273" s="536">
        <v>0</v>
      </c>
      <c r="G273" s="537"/>
      <c r="H273" s="42">
        <f t="shared" si="104"/>
        <v>0</v>
      </c>
      <c r="I273" s="43">
        <v>0</v>
      </c>
      <c r="J273" s="43">
        <v>0</v>
      </c>
      <c r="K273" s="44">
        <v>0</v>
      </c>
      <c r="L273" s="45">
        <f t="shared" si="105"/>
        <v>0</v>
      </c>
      <c r="M273" s="7">
        <v>0</v>
      </c>
      <c r="N273" s="7">
        <v>0</v>
      </c>
      <c r="O273" s="7">
        <v>0</v>
      </c>
      <c r="P273" s="7">
        <v>0</v>
      </c>
    </row>
    <row r="274" spans="1:16" x14ac:dyDescent="0.25">
      <c r="A274" s="5" t="s">
        <v>506</v>
      </c>
      <c r="B274" s="536">
        <v>0</v>
      </c>
      <c r="C274" s="537"/>
      <c r="D274" s="536">
        <v>0</v>
      </c>
      <c r="E274" s="537"/>
      <c r="F274" s="536">
        <v>0</v>
      </c>
      <c r="G274" s="537"/>
      <c r="H274" s="42">
        <f t="shared" si="104"/>
        <v>0</v>
      </c>
      <c r="I274" s="43">
        <v>0</v>
      </c>
      <c r="J274" s="43">
        <v>0</v>
      </c>
      <c r="K274" s="44">
        <v>0</v>
      </c>
      <c r="L274" s="45">
        <f t="shared" si="105"/>
        <v>0</v>
      </c>
      <c r="M274" s="7">
        <v>0</v>
      </c>
      <c r="N274" s="7">
        <v>0</v>
      </c>
      <c r="O274" s="7">
        <v>0</v>
      </c>
      <c r="P274" s="7">
        <v>0</v>
      </c>
    </row>
    <row r="275" spans="1:16" x14ac:dyDescent="0.25">
      <c r="A275" s="5" t="s">
        <v>504</v>
      </c>
      <c r="B275" s="536">
        <v>0</v>
      </c>
      <c r="C275" s="537"/>
      <c r="D275" s="536">
        <v>0</v>
      </c>
      <c r="E275" s="537"/>
      <c r="F275" s="536">
        <v>0</v>
      </c>
      <c r="G275" s="537"/>
      <c r="H275" s="42">
        <f t="shared" si="102"/>
        <v>0</v>
      </c>
      <c r="I275" s="43">
        <v>0</v>
      </c>
      <c r="J275" s="43">
        <v>0</v>
      </c>
      <c r="K275" s="44">
        <v>0</v>
      </c>
      <c r="L275" s="45">
        <f t="shared" si="103"/>
        <v>0</v>
      </c>
      <c r="M275" s="7">
        <v>0</v>
      </c>
      <c r="N275" s="7">
        <v>0</v>
      </c>
      <c r="O275" s="7">
        <v>0</v>
      </c>
      <c r="P275" s="7">
        <v>0</v>
      </c>
    </row>
    <row r="276" spans="1:16" hidden="1" x14ac:dyDescent="0.25">
      <c r="A276" s="5" t="s">
        <v>505</v>
      </c>
      <c r="B276" s="536">
        <v>0</v>
      </c>
      <c r="C276" s="537"/>
      <c r="D276" s="536">
        <v>0</v>
      </c>
      <c r="E276" s="537"/>
      <c r="F276" s="536">
        <v>0</v>
      </c>
      <c r="G276" s="537"/>
      <c r="H276" s="42">
        <f t="shared" si="102"/>
        <v>0</v>
      </c>
      <c r="I276" s="43">
        <v>0</v>
      </c>
      <c r="J276" s="43">
        <v>0</v>
      </c>
      <c r="K276" s="44">
        <v>0</v>
      </c>
      <c r="L276" s="45">
        <f t="shared" si="103"/>
        <v>0</v>
      </c>
      <c r="M276" s="7">
        <v>0</v>
      </c>
      <c r="N276" s="7">
        <v>0</v>
      </c>
      <c r="O276" s="7">
        <v>0</v>
      </c>
      <c r="P276" s="7">
        <v>0</v>
      </c>
    </row>
    <row r="277" spans="1:16" hidden="1" x14ac:dyDescent="0.25">
      <c r="A277" s="5" t="s">
        <v>506</v>
      </c>
      <c r="B277" s="536">
        <v>0</v>
      </c>
      <c r="C277" s="537"/>
      <c r="D277" s="536">
        <v>0</v>
      </c>
      <c r="E277" s="537"/>
      <c r="F277" s="536">
        <v>0</v>
      </c>
      <c r="G277" s="537"/>
      <c r="H277" s="42">
        <f t="shared" si="102"/>
        <v>0</v>
      </c>
      <c r="I277" s="43">
        <v>0</v>
      </c>
      <c r="J277" s="43">
        <v>0</v>
      </c>
      <c r="K277" s="44">
        <v>0</v>
      </c>
      <c r="L277" s="45">
        <f t="shared" si="103"/>
        <v>0</v>
      </c>
      <c r="M277" s="7">
        <v>0</v>
      </c>
      <c r="N277" s="7">
        <v>0</v>
      </c>
      <c r="O277" s="7">
        <v>0</v>
      </c>
      <c r="P277" s="7">
        <v>0</v>
      </c>
    </row>
    <row r="278" spans="1:16" hidden="1" x14ac:dyDescent="0.25">
      <c r="A278" s="50" t="s">
        <v>507</v>
      </c>
      <c r="B278" s="534">
        <f>SUM(B269:B277)</f>
        <v>0</v>
      </c>
      <c r="C278" s="535"/>
      <c r="D278" s="534">
        <f>SUM(D269:D277)</f>
        <v>0</v>
      </c>
      <c r="E278" s="535"/>
      <c r="F278" s="534">
        <f>SUM(F269:F277)</f>
        <v>0</v>
      </c>
      <c r="G278" s="535"/>
      <c r="H278" s="42">
        <f t="shared" ref="H278:P278" si="106">SUM(H269:H277)</f>
        <v>0</v>
      </c>
      <c r="I278" s="42">
        <f t="shared" si="106"/>
        <v>0</v>
      </c>
      <c r="J278" s="42">
        <f t="shared" si="106"/>
        <v>0</v>
      </c>
      <c r="K278" s="42">
        <f t="shared" si="106"/>
        <v>0</v>
      </c>
      <c r="L278" s="42">
        <f t="shared" si="106"/>
        <v>0</v>
      </c>
      <c r="M278" s="10">
        <f t="shared" si="106"/>
        <v>0</v>
      </c>
      <c r="N278" s="10">
        <f t="shared" si="106"/>
        <v>0</v>
      </c>
      <c r="O278" s="8">
        <f t="shared" si="106"/>
        <v>0</v>
      </c>
      <c r="P278" s="8">
        <f t="shared" si="106"/>
        <v>0</v>
      </c>
    </row>
    <row r="279" spans="1:16" hidden="1" x14ac:dyDescent="0.25">
      <c r="A279" s="50" t="s">
        <v>496</v>
      </c>
      <c r="B279" s="534">
        <f>AVERAGE(B269:B277)</f>
        <v>0</v>
      </c>
      <c r="C279" s="535"/>
      <c r="D279" s="534">
        <f>AVERAGE(D269:D277)</f>
        <v>0</v>
      </c>
      <c r="E279" s="535"/>
      <c r="F279" s="534">
        <f>AVERAGE(F269:F277)</f>
        <v>0</v>
      </c>
      <c r="G279" s="535"/>
      <c r="H279" s="42">
        <f t="shared" ref="H279:N279" si="107">AVERAGE(H269:H277)</f>
        <v>0</v>
      </c>
      <c r="I279" s="42">
        <f t="shared" si="107"/>
        <v>0</v>
      </c>
      <c r="J279" s="42">
        <f t="shared" si="107"/>
        <v>0</v>
      </c>
      <c r="K279" s="42">
        <f t="shared" si="107"/>
        <v>0</v>
      </c>
      <c r="L279" s="42">
        <f t="shared" si="107"/>
        <v>0</v>
      </c>
      <c r="M279" s="10">
        <f t="shared" si="107"/>
        <v>0</v>
      </c>
      <c r="N279" s="10">
        <f t="shared" si="107"/>
        <v>0</v>
      </c>
      <c r="O279" s="52" t="e">
        <f>N278/O278</f>
        <v>#DIV/0!</v>
      </c>
      <c r="P279" s="52" t="e">
        <f>M278/P278</f>
        <v>#DIV/0!</v>
      </c>
    </row>
    <row r="280" spans="1:16" ht="38.25" hidden="1" x14ac:dyDescent="0.25">
      <c r="A280" s="50" t="s">
        <v>508</v>
      </c>
      <c r="B280" s="534">
        <f>B279+I279</f>
        <v>0</v>
      </c>
      <c r="C280" s="535"/>
      <c r="D280" s="534">
        <f>D279+I279</f>
        <v>0</v>
      </c>
      <c r="E280" s="535"/>
      <c r="F280" s="534">
        <f>F279+I279</f>
        <v>0</v>
      </c>
      <c r="G280" s="535"/>
      <c r="H280" s="42">
        <f>H279+I279</f>
        <v>0</v>
      </c>
      <c r="I280" s="462"/>
      <c r="J280" s="463"/>
      <c r="K280" s="463"/>
      <c r="L280" s="463"/>
      <c r="M280" s="463"/>
      <c r="N280" s="464"/>
      <c r="O280" s="6" t="s">
        <v>509</v>
      </c>
      <c r="P280" s="6" t="s">
        <v>510</v>
      </c>
    </row>
    <row r="281" spans="1:16" ht="18.75" hidden="1" x14ac:dyDescent="0.25">
      <c r="A281" s="466" t="s">
        <v>763</v>
      </c>
      <c r="B281" s="466"/>
      <c r="C281" s="466"/>
      <c r="D281" s="466"/>
      <c r="E281" s="466"/>
      <c r="F281" s="466"/>
      <c r="G281" s="466"/>
      <c r="H281" s="466"/>
      <c r="I281" s="466"/>
      <c r="J281" s="466"/>
      <c r="K281" s="466"/>
      <c r="L281" s="466"/>
      <c r="M281" s="466"/>
      <c r="N281" s="466"/>
      <c r="O281" s="466"/>
      <c r="P281" s="466"/>
    </row>
    <row r="282" spans="1:16" ht="25.5" hidden="1" x14ac:dyDescent="0.25">
      <c r="A282" s="467" t="s">
        <v>694</v>
      </c>
      <c r="B282" s="468"/>
      <c r="C282" s="469"/>
      <c r="D282" s="470"/>
      <c r="E282" s="471"/>
      <c r="F282" s="472"/>
      <c r="G282" s="4" t="s">
        <v>693</v>
      </c>
      <c r="H282" s="66" t="s">
        <v>852</v>
      </c>
      <c r="I282" s="51" t="s">
        <v>695</v>
      </c>
      <c r="J282" s="470" t="s">
        <v>852</v>
      </c>
      <c r="K282" s="471"/>
      <c r="L282" s="472"/>
      <c r="M282" s="51" t="s">
        <v>492</v>
      </c>
      <c r="N282" s="458" t="s">
        <v>569</v>
      </c>
      <c r="O282" s="459"/>
      <c r="P282" s="460"/>
    </row>
    <row r="283" spans="1:16" hidden="1" x14ac:dyDescent="0.25">
      <c r="A283" s="486" t="s">
        <v>494</v>
      </c>
      <c r="B283" s="486" t="s">
        <v>495</v>
      </c>
      <c r="C283" s="486"/>
      <c r="D283" s="486"/>
      <c r="E283" s="486"/>
      <c r="F283" s="486"/>
      <c r="G283" s="486"/>
      <c r="H283" s="461" t="s">
        <v>496</v>
      </c>
      <c r="I283" s="529" t="s">
        <v>685</v>
      </c>
      <c r="J283" s="461" t="s">
        <v>497</v>
      </c>
      <c r="K283" s="461" t="s">
        <v>498</v>
      </c>
      <c r="L283" s="461" t="s">
        <v>499</v>
      </c>
      <c r="M283" s="461" t="s">
        <v>500</v>
      </c>
      <c r="N283" s="461" t="s">
        <v>501</v>
      </c>
      <c r="O283" s="461" t="s">
        <v>502</v>
      </c>
      <c r="P283" s="461" t="s">
        <v>503</v>
      </c>
    </row>
    <row r="284" spans="1:16" hidden="1" x14ac:dyDescent="0.25">
      <c r="A284" s="486"/>
      <c r="B284" s="538">
        <v>5</v>
      </c>
      <c r="C284" s="539"/>
      <c r="D284" s="538">
        <v>15</v>
      </c>
      <c r="E284" s="539"/>
      <c r="F284" s="538">
        <v>25</v>
      </c>
      <c r="G284" s="539"/>
      <c r="H284" s="461"/>
      <c r="I284" s="530"/>
      <c r="J284" s="461"/>
      <c r="K284" s="461"/>
      <c r="L284" s="461"/>
      <c r="M284" s="461"/>
      <c r="N284" s="461"/>
      <c r="O284" s="461"/>
      <c r="P284" s="461"/>
    </row>
    <row r="285" spans="1:16" hidden="1" x14ac:dyDescent="0.25">
      <c r="A285" s="5" t="s">
        <v>515</v>
      </c>
      <c r="B285" s="536">
        <v>0</v>
      </c>
      <c r="C285" s="537"/>
      <c r="D285" s="536">
        <v>0</v>
      </c>
      <c r="E285" s="537"/>
      <c r="F285" s="536">
        <v>0</v>
      </c>
      <c r="G285" s="537"/>
      <c r="H285" s="42">
        <f t="shared" ref="H285:H290" si="108">AVERAGE(B285:G285)</f>
        <v>0</v>
      </c>
      <c r="I285" s="43">
        <v>0</v>
      </c>
      <c r="J285" s="43">
        <v>0</v>
      </c>
      <c r="K285" s="44">
        <v>0</v>
      </c>
      <c r="L285" s="45">
        <f t="shared" ref="L285:L290" si="109">J285-K285</f>
        <v>0</v>
      </c>
      <c r="M285" s="7">
        <v>0</v>
      </c>
      <c r="N285" s="7">
        <v>0</v>
      </c>
      <c r="O285" s="7">
        <v>0</v>
      </c>
      <c r="P285" s="7">
        <v>0</v>
      </c>
    </row>
    <row r="286" spans="1:16" hidden="1" x14ac:dyDescent="0.25">
      <c r="A286" s="5" t="s">
        <v>516</v>
      </c>
      <c r="B286" s="536">
        <v>0</v>
      </c>
      <c r="C286" s="537"/>
      <c r="D286" s="536">
        <v>0</v>
      </c>
      <c r="E286" s="537"/>
      <c r="F286" s="536">
        <v>0</v>
      </c>
      <c r="G286" s="537"/>
      <c r="H286" s="42">
        <f t="shared" si="108"/>
        <v>0</v>
      </c>
      <c r="I286" s="43">
        <v>0</v>
      </c>
      <c r="J286" s="43">
        <v>0</v>
      </c>
      <c r="K286" s="44">
        <v>0</v>
      </c>
      <c r="L286" s="45">
        <f t="shared" si="109"/>
        <v>0</v>
      </c>
      <c r="M286" s="7">
        <v>0</v>
      </c>
      <c r="N286" s="7">
        <v>0</v>
      </c>
      <c r="O286" s="7">
        <v>0</v>
      </c>
      <c r="P286" s="7">
        <v>0</v>
      </c>
    </row>
    <row r="287" spans="1:16" hidden="1" x14ac:dyDescent="0.25">
      <c r="A287" s="5" t="s">
        <v>517</v>
      </c>
      <c r="B287" s="536">
        <v>0</v>
      </c>
      <c r="C287" s="537"/>
      <c r="D287" s="536">
        <v>0</v>
      </c>
      <c r="E287" s="537"/>
      <c r="F287" s="536">
        <v>0</v>
      </c>
      <c r="G287" s="537"/>
      <c r="H287" s="42">
        <f t="shared" si="108"/>
        <v>0</v>
      </c>
      <c r="I287" s="43">
        <v>0</v>
      </c>
      <c r="J287" s="43">
        <v>0</v>
      </c>
      <c r="K287" s="44">
        <v>0</v>
      </c>
      <c r="L287" s="45">
        <f t="shared" si="109"/>
        <v>0</v>
      </c>
      <c r="M287" s="7">
        <v>0</v>
      </c>
      <c r="N287" s="7">
        <v>0</v>
      </c>
      <c r="O287" s="7">
        <v>0</v>
      </c>
      <c r="P287" s="7">
        <v>0</v>
      </c>
    </row>
    <row r="288" spans="1:16" hidden="1" x14ac:dyDescent="0.25">
      <c r="A288" s="5" t="s">
        <v>504</v>
      </c>
      <c r="B288" s="536">
        <v>0</v>
      </c>
      <c r="C288" s="537"/>
      <c r="D288" s="536">
        <v>0</v>
      </c>
      <c r="E288" s="537"/>
      <c r="F288" s="536">
        <v>0</v>
      </c>
      <c r="G288" s="537"/>
      <c r="H288" s="42">
        <f t="shared" si="108"/>
        <v>0</v>
      </c>
      <c r="I288" s="43">
        <v>0</v>
      </c>
      <c r="J288" s="43">
        <v>0</v>
      </c>
      <c r="K288" s="44">
        <v>0</v>
      </c>
      <c r="L288" s="45">
        <f t="shared" si="109"/>
        <v>0</v>
      </c>
      <c r="M288" s="7">
        <v>0</v>
      </c>
      <c r="N288" s="7">
        <v>0</v>
      </c>
      <c r="O288" s="7">
        <v>0</v>
      </c>
      <c r="P288" s="7">
        <v>0</v>
      </c>
    </row>
    <row r="289" spans="1:16" hidden="1" x14ac:dyDescent="0.25">
      <c r="A289" s="5" t="s">
        <v>505</v>
      </c>
      <c r="B289" s="536">
        <v>0</v>
      </c>
      <c r="C289" s="537"/>
      <c r="D289" s="536">
        <v>0</v>
      </c>
      <c r="E289" s="537"/>
      <c r="F289" s="536">
        <v>0</v>
      </c>
      <c r="G289" s="537"/>
      <c r="H289" s="42">
        <f t="shared" si="108"/>
        <v>0</v>
      </c>
      <c r="I289" s="43">
        <v>0</v>
      </c>
      <c r="J289" s="43">
        <v>0</v>
      </c>
      <c r="K289" s="44">
        <v>0</v>
      </c>
      <c r="L289" s="45">
        <f t="shared" si="109"/>
        <v>0</v>
      </c>
      <c r="M289" s="7">
        <v>0</v>
      </c>
      <c r="N289" s="7">
        <v>0</v>
      </c>
      <c r="O289" s="7">
        <v>0</v>
      </c>
      <c r="P289" s="7">
        <v>0</v>
      </c>
    </row>
    <row r="290" spans="1:16" hidden="1" x14ac:dyDescent="0.25">
      <c r="A290" s="5" t="s">
        <v>506</v>
      </c>
      <c r="B290" s="536">
        <v>0</v>
      </c>
      <c r="C290" s="537"/>
      <c r="D290" s="536">
        <v>0</v>
      </c>
      <c r="E290" s="537"/>
      <c r="F290" s="536">
        <v>0</v>
      </c>
      <c r="G290" s="537"/>
      <c r="H290" s="42">
        <f t="shared" si="108"/>
        <v>0</v>
      </c>
      <c r="I290" s="43">
        <v>0</v>
      </c>
      <c r="J290" s="43">
        <v>0</v>
      </c>
      <c r="K290" s="44">
        <v>0</v>
      </c>
      <c r="L290" s="45">
        <f t="shared" si="109"/>
        <v>0</v>
      </c>
      <c r="M290" s="7">
        <v>0</v>
      </c>
      <c r="N290" s="7">
        <v>0</v>
      </c>
      <c r="O290" s="7">
        <v>0</v>
      </c>
      <c r="P290" s="7">
        <v>0</v>
      </c>
    </row>
    <row r="291" spans="1:16" hidden="1" x14ac:dyDescent="0.25">
      <c r="A291" s="50" t="s">
        <v>507</v>
      </c>
      <c r="B291" s="534">
        <f t="shared" ref="B291" si="110">SUM(B285:B290)</f>
        <v>0</v>
      </c>
      <c r="C291" s="535"/>
      <c r="D291" s="534">
        <f t="shared" ref="D291" si="111">SUM(D285:D290)</f>
        <v>0</v>
      </c>
      <c r="E291" s="535"/>
      <c r="F291" s="534">
        <f t="shared" ref="F291" si="112">SUM(F285:F290)</f>
        <v>0</v>
      </c>
      <c r="G291" s="535"/>
      <c r="H291" s="42">
        <f t="shared" ref="H291:P291" si="113">SUM(H285:H290)</f>
        <v>0</v>
      </c>
      <c r="I291" s="42">
        <f t="shared" si="113"/>
        <v>0</v>
      </c>
      <c r="J291" s="42">
        <f t="shared" si="113"/>
        <v>0</v>
      </c>
      <c r="K291" s="42">
        <f t="shared" si="113"/>
        <v>0</v>
      </c>
      <c r="L291" s="42">
        <f t="shared" si="113"/>
        <v>0</v>
      </c>
      <c r="M291" s="10">
        <f t="shared" si="113"/>
        <v>0</v>
      </c>
      <c r="N291" s="10">
        <f t="shared" si="113"/>
        <v>0</v>
      </c>
      <c r="O291" s="8">
        <f t="shared" si="113"/>
        <v>0</v>
      </c>
      <c r="P291" s="8">
        <f t="shared" si="113"/>
        <v>0</v>
      </c>
    </row>
    <row r="292" spans="1:16" hidden="1" x14ac:dyDescent="0.25">
      <c r="A292" s="50" t="s">
        <v>496</v>
      </c>
      <c r="B292" s="534">
        <f t="shared" ref="B292" si="114">AVERAGE(B285:B290)</f>
        <v>0</v>
      </c>
      <c r="C292" s="535"/>
      <c r="D292" s="534">
        <f t="shared" ref="D292" si="115">AVERAGE(D285:D290)</f>
        <v>0</v>
      </c>
      <c r="E292" s="535"/>
      <c r="F292" s="534">
        <f t="shared" ref="F292" si="116">AVERAGE(F285:F290)</f>
        <v>0</v>
      </c>
      <c r="G292" s="535"/>
      <c r="H292" s="42">
        <f t="shared" ref="H292:N292" si="117">AVERAGE(H285:H290)</f>
        <v>0</v>
      </c>
      <c r="I292" s="42">
        <f t="shared" si="117"/>
        <v>0</v>
      </c>
      <c r="J292" s="42">
        <f t="shared" si="117"/>
        <v>0</v>
      </c>
      <c r="K292" s="42">
        <f t="shared" si="117"/>
        <v>0</v>
      </c>
      <c r="L292" s="42">
        <f t="shared" si="117"/>
        <v>0</v>
      </c>
      <c r="M292" s="10">
        <f t="shared" si="117"/>
        <v>0</v>
      </c>
      <c r="N292" s="10">
        <f t="shared" si="117"/>
        <v>0</v>
      </c>
      <c r="O292" s="52" t="e">
        <f>N291/O291</f>
        <v>#DIV/0!</v>
      </c>
      <c r="P292" s="52" t="e">
        <f>M291/P291</f>
        <v>#DIV/0!</v>
      </c>
    </row>
    <row r="293" spans="1:16" ht="38.25" hidden="1" x14ac:dyDescent="0.25">
      <c r="A293" s="50" t="s">
        <v>508</v>
      </c>
      <c r="B293" s="534">
        <f>B292+I292</f>
        <v>0</v>
      </c>
      <c r="C293" s="535"/>
      <c r="D293" s="534">
        <f>D292+I292</f>
        <v>0</v>
      </c>
      <c r="E293" s="535"/>
      <c r="F293" s="534">
        <f>F292+I292</f>
        <v>0</v>
      </c>
      <c r="G293" s="535"/>
      <c r="H293" s="42">
        <f>H292+I292</f>
        <v>0</v>
      </c>
      <c r="I293" s="462"/>
      <c r="J293" s="463"/>
      <c r="K293" s="463"/>
      <c r="L293" s="463"/>
      <c r="M293" s="463"/>
      <c r="N293" s="464"/>
      <c r="O293" s="6" t="s">
        <v>509</v>
      </c>
      <c r="P293" s="6" t="s">
        <v>510</v>
      </c>
    </row>
    <row r="294" spans="1:16" ht="18.75" hidden="1" x14ac:dyDescent="0.25">
      <c r="A294" s="466" t="s">
        <v>764</v>
      </c>
      <c r="B294" s="466"/>
      <c r="C294" s="466"/>
      <c r="D294" s="466"/>
      <c r="E294" s="466"/>
      <c r="F294" s="466"/>
      <c r="G294" s="466"/>
      <c r="H294" s="466"/>
      <c r="I294" s="466"/>
      <c r="J294" s="466"/>
      <c r="K294" s="466"/>
      <c r="L294" s="466"/>
      <c r="M294" s="466"/>
      <c r="N294" s="466"/>
      <c r="O294" s="466"/>
      <c r="P294" s="466"/>
    </row>
    <row r="295" spans="1:16" ht="25.5" hidden="1" x14ac:dyDescent="0.25">
      <c r="A295" s="467" t="s">
        <v>694</v>
      </c>
      <c r="B295" s="468"/>
      <c r="C295" s="469"/>
      <c r="D295" s="470"/>
      <c r="E295" s="471"/>
      <c r="F295" s="472"/>
      <c r="G295" s="4" t="s">
        <v>693</v>
      </c>
      <c r="H295" s="66" t="s">
        <v>852</v>
      </c>
      <c r="I295" s="51" t="s">
        <v>695</v>
      </c>
      <c r="J295" s="470" t="s">
        <v>852</v>
      </c>
      <c r="K295" s="471"/>
      <c r="L295" s="472"/>
      <c r="M295" s="51" t="s">
        <v>492</v>
      </c>
      <c r="N295" s="458" t="s">
        <v>569</v>
      </c>
      <c r="O295" s="459"/>
      <c r="P295" s="460"/>
    </row>
    <row r="296" spans="1:16" hidden="1" x14ac:dyDescent="0.25">
      <c r="A296" s="486" t="s">
        <v>494</v>
      </c>
      <c r="B296" s="486" t="s">
        <v>495</v>
      </c>
      <c r="C296" s="486"/>
      <c r="D296" s="486"/>
      <c r="E296" s="486"/>
      <c r="F296" s="486"/>
      <c r="G296" s="486"/>
      <c r="H296" s="461" t="s">
        <v>496</v>
      </c>
      <c r="I296" s="529" t="s">
        <v>685</v>
      </c>
      <c r="J296" s="461" t="s">
        <v>497</v>
      </c>
      <c r="K296" s="461" t="s">
        <v>498</v>
      </c>
      <c r="L296" s="461" t="s">
        <v>499</v>
      </c>
      <c r="M296" s="461" t="s">
        <v>500</v>
      </c>
      <c r="N296" s="461" t="s">
        <v>501</v>
      </c>
      <c r="O296" s="461" t="s">
        <v>502</v>
      </c>
      <c r="P296" s="461" t="s">
        <v>503</v>
      </c>
    </row>
    <row r="297" spans="1:16" hidden="1" x14ac:dyDescent="0.25">
      <c r="A297" s="486"/>
      <c r="B297" s="538">
        <v>5</v>
      </c>
      <c r="C297" s="539"/>
      <c r="D297" s="538">
        <v>15</v>
      </c>
      <c r="E297" s="539"/>
      <c r="F297" s="538">
        <v>25</v>
      </c>
      <c r="G297" s="539"/>
      <c r="H297" s="461"/>
      <c r="I297" s="530"/>
      <c r="J297" s="461"/>
      <c r="K297" s="461"/>
      <c r="L297" s="461"/>
      <c r="M297" s="461"/>
      <c r="N297" s="461"/>
      <c r="O297" s="461"/>
      <c r="P297" s="461"/>
    </row>
    <row r="298" spans="1:16" hidden="1" x14ac:dyDescent="0.25">
      <c r="A298" s="5" t="s">
        <v>515</v>
      </c>
      <c r="B298" s="536">
        <v>0</v>
      </c>
      <c r="C298" s="537"/>
      <c r="D298" s="536">
        <v>0</v>
      </c>
      <c r="E298" s="537"/>
      <c r="F298" s="536">
        <v>0</v>
      </c>
      <c r="G298" s="537"/>
      <c r="H298" s="42">
        <f t="shared" ref="H298:H303" si="118">AVERAGE(B298:G298)</f>
        <v>0</v>
      </c>
      <c r="I298" s="43">
        <v>0</v>
      </c>
      <c r="J298" s="43">
        <v>0</v>
      </c>
      <c r="K298" s="44">
        <v>0</v>
      </c>
      <c r="L298" s="45">
        <f t="shared" ref="L298:L303" si="119">J298-K298</f>
        <v>0</v>
      </c>
      <c r="M298" s="7">
        <v>0</v>
      </c>
      <c r="N298" s="7">
        <v>0</v>
      </c>
      <c r="O298" s="7">
        <v>0</v>
      </c>
      <c r="P298" s="7">
        <v>0</v>
      </c>
    </row>
    <row r="299" spans="1:16" hidden="1" x14ac:dyDescent="0.25">
      <c r="A299" s="5" t="s">
        <v>516</v>
      </c>
      <c r="B299" s="536">
        <v>0</v>
      </c>
      <c r="C299" s="537"/>
      <c r="D299" s="536">
        <v>0</v>
      </c>
      <c r="E299" s="537"/>
      <c r="F299" s="536">
        <v>0</v>
      </c>
      <c r="G299" s="537"/>
      <c r="H299" s="42">
        <f t="shared" si="118"/>
        <v>0</v>
      </c>
      <c r="I299" s="43">
        <v>0</v>
      </c>
      <c r="J299" s="43">
        <v>0</v>
      </c>
      <c r="K299" s="44">
        <v>0</v>
      </c>
      <c r="L299" s="45">
        <f t="shared" si="119"/>
        <v>0</v>
      </c>
      <c r="M299" s="7">
        <v>0</v>
      </c>
      <c r="N299" s="7">
        <v>0</v>
      </c>
      <c r="O299" s="7">
        <v>0</v>
      </c>
      <c r="P299" s="7">
        <v>0</v>
      </c>
    </row>
    <row r="300" spans="1:16" hidden="1" x14ac:dyDescent="0.25">
      <c r="A300" s="5" t="s">
        <v>517</v>
      </c>
      <c r="B300" s="536">
        <v>0</v>
      </c>
      <c r="C300" s="537"/>
      <c r="D300" s="536">
        <v>0</v>
      </c>
      <c r="E300" s="537"/>
      <c r="F300" s="536">
        <v>0</v>
      </c>
      <c r="G300" s="537"/>
      <c r="H300" s="42">
        <f t="shared" si="118"/>
        <v>0</v>
      </c>
      <c r="I300" s="43">
        <v>0</v>
      </c>
      <c r="J300" s="43">
        <v>0</v>
      </c>
      <c r="K300" s="44">
        <v>0</v>
      </c>
      <c r="L300" s="45">
        <f t="shared" si="119"/>
        <v>0</v>
      </c>
      <c r="M300" s="7">
        <v>0</v>
      </c>
      <c r="N300" s="7">
        <v>0</v>
      </c>
      <c r="O300" s="7">
        <v>0</v>
      </c>
      <c r="P300" s="7">
        <v>0</v>
      </c>
    </row>
    <row r="301" spans="1:16" hidden="1" x14ac:dyDescent="0.25">
      <c r="A301" s="5" t="s">
        <v>504</v>
      </c>
      <c r="B301" s="536">
        <v>0</v>
      </c>
      <c r="C301" s="537"/>
      <c r="D301" s="536">
        <v>0</v>
      </c>
      <c r="E301" s="537"/>
      <c r="F301" s="536">
        <v>0</v>
      </c>
      <c r="G301" s="537"/>
      <c r="H301" s="42">
        <f t="shared" si="118"/>
        <v>0</v>
      </c>
      <c r="I301" s="43">
        <v>0</v>
      </c>
      <c r="J301" s="43">
        <v>0</v>
      </c>
      <c r="K301" s="44">
        <v>0</v>
      </c>
      <c r="L301" s="45">
        <f t="shared" si="119"/>
        <v>0</v>
      </c>
      <c r="M301" s="7">
        <v>0</v>
      </c>
      <c r="N301" s="7">
        <v>0</v>
      </c>
      <c r="O301" s="7">
        <v>0</v>
      </c>
      <c r="P301" s="7">
        <v>0</v>
      </c>
    </row>
    <row r="302" spans="1:16" hidden="1" x14ac:dyDescent="0.25">
      <c r="A302" s="5" t="s">
        <v>505</v>
      </c>
      <c r="B302" s="536">
        <v>0</v>
      </c>
      <c r="C302" s="537"/>
      <c r="D302" s="536">
        <v>0</v>
      </c>
      <c r="E302" s="537"/>
      <c r="F302" s="536">
        <v>0</v>
      </c>
      <c r="G302" s="537"/>
      <c r="H302" s="42">
        <f t="shared" si="118"/>
        <v>0</v>
      </c>
      <c r="I302" s="43">
        <v>0</v>
      </c>
      <c r="J302" s="43">
        <v>0</v>
      </c>
      <c r="K302" s="44">
        <v>0</v>
      </c>
      <c r="L302" s="45">
        <f t="shared" si="119"/>
        <v>0</v>
      </c>
      <c r="M302" s="7">
        <v>0</v>
      </c>
      <c r="N302" s="7">
        <v>0</v>
      </c>
      <c r="O302" s="7">
        <v>0</v>
      </c>
      <c r="P302" s="7">
        <v>0</v>
      </c>
    </row>
    <row r="303" spans="1:16" hidden="1" x14ac:dyDescent="0.25">
      <c r="A303" s="5" t="s">
        <v>506</v>
      </c>
      <c r="B303" s="536">
        <v>0</v>
      </c>
      <c r="C303" s="537"/>
      <c r="D303" s="536">
        <v>0</v>
      </c>
      <c r="E303" s="537"/>
      <c r="F303" s="536">
        <v>0</v>
      </c>
      <c r="G303" s="537"/>
      <c r="H303" s="42">
        <f t="shared" si="118"/>
        <v>0</v>
      </c>
      <c r="I303" s="43">
        <v>0</v>
      </c>
      <c r="J303" s="43">
        <v>0</v>
      </c>
      <c r="K303" s="44">
        <v>0</v>
      </c>
      <c r="L303" s="45">
        <f t="shared" si="119"/>
        <v>0</v>
      </c>
      <c r="M303" s="7">
        <v>0</v>
      </c>
      <c r="N303" s="7">
        <v>0</v>
      </c>
      <c r="O303" s="7">
        <v>0</v>
      </c>
      <c r="P303" s="7">
        <v>0</v>
      </c>
    </row>
    <row r="304" spans="1:16" hidden="1" x14ac:dyDescent="0.25">
      <c r="A304" s="50" t="s">
        <v>507</v>
      </c>
      <c r="B304" s="534">
        <f t="shared" ref="B304" si="120">SUM(B298:B303)</f>
        <v>0</v>
      </c>
      <c r="C304" s="535"/>
      <c r="D304" s="534">
        <f t="shared" ref="D304" si="121">SUM(D298:D303)</f>
        <v>0</v>
      </c>
      <c r="E304" s="535"/>
      <c r="F304" s="534">
        <f t="shared" ref="F304" si="122">SUM(F298:F303)</f>
        <v>0</v>
      </c>
      <c r="G304" s="535"/>
      <c r="H304" s="42">
        <f t="shared" ref="H304:P304" si="123">SUM(H298:H303)</f>
        <v>0</v>
      </c>
      <c r="I304" s="42">
        <f t="shared" si="123"/>
        <v>0</v>
      </c>
      <c r="J304" s="42">
        <f t="shared" si="123"/>
        <v>0</v>
      </c>
      <c r="K304" s="42">
        <f t="shared" si="123"/>
        <v>0</v>
      </c>
      <c r="L304" s="42">
        <f t="shared" si="123"/>
        <v>0</v>
      </c>
      <c r="M304" s="10">
        <f t="shared" si="123"/>
        <v>0</v>
      </c>
      <c r="N304" s="10">
        <f t="shared" si="123"/>
        <v>0</v>
      </c>
      <c r="O304" s="8">
        <f t="shared" si="123"/>
        <v>0</v>
      </c>
      <c r="P304" s="8">
        <f t="shared" si="123"/>
        <v>0</v>
      </c>
    </row>
    <row r="305" spans="1:16" hidden="1" x14ac:dyDescent="0.25">
      <c r="A305" s="50" t="s">
        <v>496</v>
      </c>
      <c r="B305" s="534">
        <f t="shared" ref="B305" si="124">AVERAGE(B298:B303)</f>
        <v>0</v>
      </c>
      <c r="C305" s="535"/>
      <c r="D305" s="534">
        <f t="shared" ref="D305" si="125">AVERAGE(D298:D303)</f>
        <v>0</v>
      </c>
      <c r="E305" s="535"/>
      <c r="F305" s="534">
        <f t="shared" ref="F305" si="126">AVERAGE(F298:F303)</f>
        <v>0</v>
      </c>
      <c r="G305" s="535"/>
      <c r="H305" s="42">
        <f t="shared" ref="H305:N305" si="127">AVERAGE(H298:H303)</f>
        <v>0</v>
      </c>
      <c r="I305" s="42">
        <f t="shared" si="127"/>
        <v>0</v>
      </c>
      <c r="J305" s="42">
        <f t="shared" si="127"/>
        <v>0</v>
      </c>
      <c r="K305" s="42">
        <f t="shared" si="127"/>
        <v>0</v>
      </c>
      <c r="L305" s="42">
        <f t="shared" si="127"/>
        <v>0</v>
      </c>
      <c r="M305" s="10">
        <f t="shared" si="127"/>
        <v>0</v>
      </c>
      <c r="N305" s="10">
        <f t="shared" si="127"/>
        <v>0</v>
      </c>
      <c r="O305" s="52" t="e">
        <f>N304/O304</f>
        <v>#DIV/0!</v>
      </c>
      <c r="P305" s="52" t="e">
        <f>M304/P304</f>
        <v>#DIV/0!</v>
      </c>
    </row>
    <row r="306" spans="1:16" ht="38.25" hidden="1" x14ac:dyDescent="0.25">
      <c r="A306" s="50" t="s">
        <v>508</v>
      </c>
      <c r="B306" s="534">
        <f>B305+I305</f>
        <v>0</v>
      </c>
      <c r="C306" s="535"/>
      <c r="D306" s="534">
        <f>D305+I305</f>
        <v>0</v>
      </c>
      <c r="E306" s="535"/>
      <c r="F306" s="534">
        <f>F305+I305</f>
        <v>0</v>
      </c>
      <c r="G306" s="535"/>
      <c r="H306" s="42">
        <f>H305+I305</f>
        <v>0</v>
      </c>
      <c r="I306" s="462"/>
      <c r="J306" s="463"/>
      <c r="K306" s="463"/>
      <c r="L306" s="463"/>
      <c r="M306" s="463"/>
      <c r="N306" s="464"/>
      <c r="O306" s="6" t="s">
        <v>509</v>
      </c>
      <c r="P306" s="6" t="s">
        <v>510</v>
      </c>
    </row>
    <row r="307" spans="1:16" ht="18.75" hidden="1" x14ac:dyDescent="0.25">
      <c r="A307" s="466" t="s">
        <v>765</v>
      </c>
      <c r="B307" s="466"/>
      <c r="C307" s="466"/>
      <c r="D307" s="466"/>
      <c r="E307" s="466"/>
      <c r="F307" s="466"/>
      <c r="G307" s="466"/>
      <c r="H307" s="466"/>
      <c r="I307" s="466"/>
      <c r="J307" s="466"/>
      <c r="K307" s="466"/>
      <c r="L307" s="466"/>
      <c r="M307" s="466"/>
      <c r="N307" s="466"/>
      <c r="O307" s="466"/>
      <c r="P307" s="466"/>
    </row>
    <row r="308" spans="1:16" ht="25.5" hidden="1" x14ac:dyDescent="0.25">
      <c r="A308" s="467" t="s">
        <v>694</v>
      </c>
      <c r="B308" s="468"/>
      <c r="C308" s="469"/>
      <c r="D308" s="470"/>
      <c r="E308" s="471"/>
      <c r="F308" s="472"/>
      <c r="G308" s="4" t="s">
        <v>693</v>
      </c>
      <c r="H308" s="66" t="s">
        <v>852</v>
      </c>
      <c r="I308" s="51" t="s">
        <v>695</v>
      </c>
      <c r="J308" s="470" t="s">
        <v>852</v>
      </c>
      <c r="K308" s="471"/>
      <c r="L308" s="472"/>
      <c r="M308" s="51" t="s">
        <v>492</v>
      </c>
      <c r="N308" s="458" t="s">
        <v>569</v>
      </c>
      <c r="O308" s="459"/>
      <c r="P308" s="460"/>
    </row>
    <row r="309" spans="1:16" hidden="1" x14ac:dyDescent="0.25">
      <c r="A309" s="486" t="s">
        <v>494</v>
      </c>
      <c r="B309" s="486" t="s">
        <v>495</v>
      </c>
      <c r="C309" s="486"/>
      <c r="D309" s="486"/>
      <c r="E309" s="486"/>
      <c r="F309" s="486"/>
      <c r="G309" s="486"/>
      <c r="H309" s="461" t="s">
        <v>496</v>
      </c>
      <c r="I309" s="529" t="s">
        <v>685</v>
      </c>
      <c r="J309" s="461" t="s">
        <v>497</v>
      </c>
      <c r="K309" s="461" t="s">
        <v>498</v>
      </c>
      <c r="L309" s="461" t="s">
        <v>499</v>
      </c>
      <c r="M309" s="461" t="s">
        <v>500</v>
      </c>
      <c r="N309" s="461" t="s">
        <v>501</v>
      </c>
      <c r="O309" s="461" t="s">
        <v>502</v>
      </c>
      <c r="P309" s="461" t="s">
        <v>503</v>
      </c>
    </row>
    <row r="310" spans="1:16" hidden="1" x14ac:dyDescent="0.25">
      <c r="A310" s="486"/>
      <c r="B310" s="538">
        <v>5</v>
      </c>
      <c r="C310" s="539"/>
      <c r="D310" s="538">
        <v>15</v>
      </c>
      <c r="E310" s="539"/>
      <c r="F310" s="538">
        <v>25</v>
      </c>
      <c r="G310" s="539"/>
      <c r="H310" s="461"/>
      <c r="I310" s="530"/>
      <c r="J310" s="461"/>
      <c r="K310" s="461"/>
      <c r="L310" s="461"/>
      <c r="M310" s="461"/>
      <c r="N310" s="461"/>
      <c r="O310" s="461"/>
      <c r="P310" s="461"/>
    </row>
    <row r="311" spans="1:16" hidden="1" x14ac:dyDescent="0.25">
      <c r="A311" s="5" t="s">
        <v>515</v>
      </c>
      <c r="B311" s="536">
        <v>0</v>
      </c>
      <c r="C311" s="537"/>
      <c r="D311" s="536">
        <v>0</v>
      </c>
      <c r="E311" s="537"/>
      <c r="F311" s="536">
        <v>0</v>
      </c>
      <c r="G311" s="537"/>
      <c r="H311" s="42">
        <f t="shared" ref="H311:H316" si="128">AVERAGE(B311:G311)</f>
        <v>0</v>
      </c>
      <c r="I311" s="43">
        <v>0</v>
      </c>
      <c r="J311" s="43">
        <v>0</v>
      </c>
      <c r="K311" s="44">
        <v>0</v>
      </c>
      <c r="L311" s="45">
        <f t="shared" ref="L311:L316" si="129">J311-K311</f>
        <v>0</v>
      </c>
      <c r="M311" s="7">
        <v>0</v>
      </c>
      <c r="N311" s="7">
        <v>0</v>
      </c>
      <c r="O311" s="7">
        <v>0</v>
      </c>
      <c r="P311" s="7">
        <v>0</v>
      </c>
    </row>
    <row r="312" spans="1:16" hidden="1" x14ac:dyDescent="0.25">
      <c r="A312" s="5" t="s">
        <v>516</v>
      </c>
      <c r="B312" s="536">
        <v>0</v>
      </c>
      <c r="C312" s="537"/>
      <c r="D312" s="536">
        <v>0</v>
      </c>
      <c r="E312" s="537"/>
      <c r="F312" s="536">
        <v>0</v>
      </c>
      <c r="G312" s="537"/>
      <c r="H312" s="42">
        <f t="shared" si="128"/>
        <v>0</v>
      </c>
      <c r="I312" s="43">
        <v>0</v>
      </c>
      <c r="J312" s="43">
        <v>0</v>
      </c>
      <c r="K312" s="44">
        <v>0</v>
      </c>
      <c r="L312" s="45">
        <f t="shared" si="129"/>
        <v>0</v>
      </c>
      <c r="M312" s="7">
        <v>0</v>
      </c>
      <c r="N312" s="7">
        <v>0</v>
      </c>
      <c r="O312" s="7">
        <v>0</v>
      </c>
      <c r="P312" s="7">
        <v>0</v>
      </c>
    </row>
    <row r="313" spans="1:16" hidden="1" x14ac:dyDescent="0.25">
      <c r="A313" s="5" t="s">
        <v>517</v>
      </c>
      <c r="B313" s="536">
        <v>0</v>
      </c>
      <c r="C313" s="537"/>
      <c r="D313" s="536">
        <v>0</v>
      </c>
      <c r="E313" s="537"/>
      <c r="F313" s="536">
        <v>0</v>
      </c>
      <c r="G313" s="537"/>
      <c r="H313" s="42">
        <f t="shared" si="128"/>
        <v>0</v>
      </c>
      <c r="I313" s="43">
        <v>0</v>
      </c>
      <c r="J313" s="43">
        <v>0</v>
      </c>
      <c r="K313" s="44">
        <v>0</v>
      </c>
      <c r="L313" s="45">
        <f t="shared" si="129"/>
        <v>0</v>
      </c>
      <c r="M313" s="7">
        <v>0</v>
      </c>
      <c r="N313" s="7">
        <v>0</v>
      </c>
      <c r="O313" s="7">
        <v>0</v>
      </c>
      <c r="P313" s="7">
        <v>0</v>
      </c>
    </row>
    <row r="314" spans="1:16" hidden="1" x14ac:dyDescent="0.25">
      <c r="A314" s="5" t="s">
        <v>504</v>
      </c>
      <c r="B314" s="536">
        <v>0</v>
      </c>
      <c r="C314" s="537"/>
      <c r="D314" s="536">
        <v>0</v>
      </c>
      <c r="E314" s="537"/>
      <c r="F314" s="536">
        <v>0</v>
      </c>
      <c r="G314" s="537"/>
      <c r="H314" s="42">
        <f t="shared" si="128"/>
        <v>0</v>
      </c>
      <c r="I314" s="43">
        <v>0</v>
      </c>
      <c r="J314" s="43">
        <v>0</v>
      </c>
      <c r="K314" s="44">
        <v>0</v>
      </c>
      <c r="L314" s="45">
        <f t="shared" si="129"/>
        <v>0</v>
      </c>
      <c r="M314" s="7">
        <v>0</v>
      </c>
      <c r="N314" s="7">
        <v>0</v>
      </c>
      <c r="O314" s="7">
        <v>0</v>
      </c>
      <c r="P314" s="7">
        <v>0</v>
      </c>
    </row>
    <row r="315" spans="1:16" hidden="1" x14ac:dyDescent="0.25">
      <c r="A315" s="5" t="s">
        <v>505</v>
      </c>
      <c r="B315" s="536">
        <v>0</v>
      </c>
      <c r="C315" s="537"/>
      <c r="D315" s="536">
        <v>0</v>
      </c>
      <c r="E315" s="537"/>
      <c r="F315" s="536">
        <v>0</v>
      </c>
      <c r="G315" s="537"/>
      <c r="H315" s="42">
        <f t="shared" si="128"/>
        <v>0</v>
      </c>
      <c r="I315" s="43">
        <v>0</v>
      </c>
      <c r="J315" s="43">
        <v>0</v>
      </c>
      <c r="K315" s="44">
        <v>0</v>
      </c>
      <c r="L315" s="45">
        <f t="shared" si="129"/>
        <v>0</v>
      </c>
      <c r="M315" s="7">
        <v>0</v>
      </c>
      <c r="N315" s="7">
        <v>0</v>
      </c>
      <c r="O315" s="7">
        <v>0</v>
      </c>
      <c r="P315" s="7">
        <v>0</v>
      </c>
    </row>
    <row r="316" spans="1:16" hidden="1" x14ac:dyDescent="0.25">
      <c r="A316" s="5" t="s">
        <v>506</v>
      </c>
      <c r="B316" s="536">
        <v>0</v>
      </c>
      <c r="C316" s="537"/>
      <c r="D316" s="536">
        <v>0</v>
      </c>
      <c r="E316" s="537"/>
      <c r="F316" s="536">
        <v>0</v>
      </c>
      <c r="G316" s="537"/>
      <c r="H316" s="42">
        <f t="shared" si="128"/>
        <v>0</v>
      </c>
      <c r="I316" s="43">
        <v>0</v>
      </c>
      <c r="J316" s="43">
        <v>0</v>
      </c>
      <c r="K316" s="44">
        <v>0</v>
      </c>
      <c r="L316" s="45">
        <f t="shared" si="129"/>
        <v>0</v>
      </c>
      <c r="M316" s="7">
        <v>0</v>
      </c>
      <c r="N316" s="7">
        <v>0</v>
      </c>
      <c r="O316" s="7">
        <v>0</v>
      </c>
      <c r="P316" s="7">
        <v>0</v>
      </c>
    </row>
    <row r="317" spans="1:16" hidden="1" x14ac:dyDescent="0.25">
      <c r="A317" s="50" t="s">
        <v>507</v>
      </c>
      <c r="B317" s="534">
        <f t="shared" ref="B317" si="130">SUM(B311:B316)</f>
        <v>0</v>
      </c>
      <c r="C317" s="535"/>
      <c r="D317" s="534">
        <f t="shared" ref="D317" si="131">SUM(D311:D316)</f>
        <v>0</v>
      </c>
      <c r="E317" s="535"/>
      <c r="F317" s="534">
        <f t="shared" ref="F317" si="132">SUM(F311:F316)</f>
        <v>0</v>
      </c>
      <c r="G317" s="535"/>
      <c r="H317" s="42">
        <f t="shared" ref="H317:P317" si="133">SUM(H311:H316)</f>
        <v>0</v>
      </c>
      <c r="I317" s="42">
        <f t="shared" si="133"/>
        <v>0</v>
      </c>
      <c r="J317" s="42">
        <f t="shared" si="133"/>
        <v>0</v>
      </c>
      <c r="K317" s="42">
        <f t="shared" si="133"/>
        <v>0</v>
      </c>
      <c r="L317" s="42">
        <f t="shared" si="133"/>
        <v>0</v>
      </c>
      <c r="M317" s="10">
        <f t="shared" si="133"/>
        <v>0</v>
      </c>
      <c r="N317" s="10">
        <f t="shared" si="133"/>
        <v>0</v>
      </c>
      <c r="O317" s="8">
        <f t="shared" si="133"/>
        <v>0</v>
      </c>
      <c r="P317" s="8">
        <f t="shared" si="133"/>
        <v>0</v>
      </c>
    </row>
    <row r="318" spans="1:16" hidden="1" x14ac:dyDescent="0.25">
      <c r="A318" s="50" t="s">
        <v>496</v>
      </c>
      <c r="B318" s="534">
        <f t="shared" ref="B318" si="134">AVERAGE(B311:B316)</f>
        <v>0</v>
      </c>
      <c r="C318" s="535"/>
      <c r="D318" s="534">
        <f t="shared" ref="D318" si="135">AVERAGE(D311:D316)</f>
        <v>0</v>
      </c>
      <c r="E318" s="535"/>
      <c r="F318" s="534">
        <f t="shared" ref="F318" si="136">AVERAGE(F311:F316)</f>
        <v>0</v>
      </c>
      <c r="G318" s="535"/>
      <c r="H318" s="42">
        <f t="shared" ref="H318:N318" si="137">AVERAGE(H311:H316)</f>
        <v>0</v>
      </c>
      <c r="I318" s="42">
        <f t="shared" si="137"/>
        <v>0</v>
      </c>
      <c r="J318" s="42">
        <f t="shared" si="137"/>
        <v>0</v>
      </c>
      <c r="K318" s="42">
        <f t="shared" si="137"/>
        <v>0</v>
      </c>
      <c r="L318" s="42">
        <f t="shared" si="137"/>
        <v>0</v>
      </c>
      <c r="M318" s="10">
        <f t="shared" si="137"/>
        <v>0</v>
      </c>
      <c r="N318" s="10">
        <f t="shared" si="137"/>
        <v>0</v>
      </c>
      <c r="O318" s="52" t="e">
        <f>N317/O317</f>
        <v>#DIV/0!</v>
      </c>
      <c r="P318" s="52" t="e">
        <f>M317/P317</f>
        <v>#DIV/0!</v>
      </c>
    </row>
    <row r="319" spans="1:16" ht="38.25" hidden="1" x14ac:dyDescent="0.25">
      <c r="A319" s="50" t="s">
        <v>508</v>
      </c>
      <c r="B319" s="534">
        <f>B318+I318</f>
        <v>0</v>
      </c>
      <c r="C319" s="535"/>
      <c r="D319" s="534">
        <f>D318+I318</f>
        <v>0</v>
      </c>
      <c r="E319" s="535"/>
      <c r="F319" s="534">
        <f>F318+I318</f>
        <v>0</v>
      </c>
      <c r="G319" s="535"/>
      <c r="H319" s="42">
        <f>H318+I318</f>
        <v>0</v>
      </c>
      <c r="I319" s="462"/>
      <c r="J319" s="463"/>
      <c r="K319" s="463"/>
      <c r="L319" s="463"/>
      <c r="M319" s="463"/>
      <c r="N319" s="464"/>
      <c r="O319" s="6" t="s">
        <v>509</v>
      </c>
      <c r="P319" s="6" t="s">
        <v>510</v>
      </c>
    </row>
  </sheetData>
  <sheetProtection sheet="1" objects="1" scenarios="1" formatCells="0" formatColumns="0" formatRows="0"/>
  <mergeCells count="1116">
    <mergeCell ref="F80:G80"/>
    <mergeCell ref="B316:C316"/>
    <mergeCell ref="D316:E316"/>
    <mergeCell ref="F316:G316"/>
    <mergeCell ref="I319:N319"/>
    <mergeCell ref="B317:C317"/>
    <mergeCell ref="D317:E317"/>
    <mergeCell ref="F317:G317"/>
    <mergeCell ref="B318:C318"/>
    <mergeCell ref="D318:E318"/>
    <mergeCell ref="F318:G318"/>
    <mergeCell ref="B319:C319"/>
    <mergeCell ref="D319:E319"/>
    <mergeCell ref="F319:G319"/>
    <mergeCell ref="B313:C313"/>
    <mergeCell ref="D313:E313"/>
    <mergeCell ref="F313:G313"/>
    <mergeCell ref="B314:C314"/>
    <mergeCell ref="D314:E314"/>
    <mergeCell ref="F314:G314"/>
    <mergeCell ref="B315:C315"/>
    <mergeCell ref="D315:E315"/>
    <mergeCell ref="F315:G315"/>
    <mergeCell ref="B306:C306"/>
    <mergeCell ref="D306:E306"/>
    <mergeCell ref="F306:G306"/>
    <mergeCell ref="I306:N306"/>
    <mergeCell ref="A307:P307"/>
    <mergeCell ref="A308:C308"/>
    <mergeCell ref="D308:F308"/>
    <mergeCell ref="J308:L308"/>
    <mergeCell ref="N308:P308"/>
    <mergeCell ref="O309:O310"/>
    <mergeCell ref="P309:P310"/>
    <mergeCell ref="B310:C310"/>
    <mergeCell ref="D310:E310"/>
    <mergeCell ref="F310:G310"/>
    <mergeCell ref="B311:C311"/>
    <mergeCell ref="D311:E311"/>
    <mergeCell ref="F311:G311"/>
    <mergeCell ref="B312:C312"/>
    <mergeCell ref="D312:E312"/>
    <mergeCell ref="F312:G312"/>
    <mergeCell ref="A309:A310"/>
    <mergeCell ref="B309:G309"/>
    <mergeCell ref="H309:H310"/>
    <mergeCell ref="I309:I310"/>
    <mergeCell ref="J309:J310"/>
    <mergeCell ref="K309:K310"/>
    <mergeCell ref="L309:L310"/>
    <mergeCell ref="M309:M310"/>
    <mergeCell ref="N309:N310"/>
    <mergeCell ref="B303:C303"/>
    <mergeCell ref="D303:E303"/>
    <mergeCell ref="F303:G303"/>
    <mergeCell ref="B304:C304"/>
    <mergeCell ref="D304:E304"/>
    <mergeCell ref="F304:G304"/>
    <mergeCell ref="B305:C305"/>
    <mergeCell ref="D305:E305"/>
    <mergeCell ref="F305:G305"/>
    <mergeCell ref="B300:C300"/>
    <mergeCell ref="D300:E300"/>
    <mergeCell ref="F300:G300"/>
    <mergeCell ref="B301:C301"/>
    <mergeCell ref="D301:E301"/>
    <mergeCell ref="F301:G301"/>
    <mergeCell ref="B302:C302"/>
    <mergeCell ref="D302:E302"/>
    <mergeCell ref="F302:G302"/>
    <mergeCell ref="O296:O297"/>
    <mergeCell ref="P296:P297"/>
    <mergeCell ref="B297:C297"/>
    <mergeCell ref="D297:E297"/>
    <mergeCell ref="F297:G297"/>
    <mergeCell ref="B298:C298"/>
    <mergeCell ref="D298:E298"/>
    <mergeCell ref="F298:G298"/>
    <mergeCell ref="B299:C299"/>
    <mergeCell ref="D299:E299"/>
    <mergeCell ref="F299:G299"/>
    <mergeCell ref="A296:A297"/>
    <mergeCell ref="B296:G296"/>
    <mergeCell ref="H296:H297"/>
    <mergeCell ref="I296:I297"/>
    <mergeCell ref="J296:J297"/>
    <mergeCell ref="K296:K297"/>
    <mergeCell ref="L296:L297"/>
    <mergeCell ref="M296:M297"/>
    <mergeCell ref="N296:N297"/>
    <mergeCell ref="B293:C293"/>
    <mergeCell ref="D293:E293"/>
    <mergeCell ref="F293:G293"/>
    <mergeCell ref="I293:N293"/>
    <mergeCell ref="A294:P294"/>
    <mergeCell ref="A295:C295"/>
    <mergeCell ref="D295:F295"/>
    <mergeCell ref="J295:L295"/>
    <mergeCell ref="N295:P295"/>
    <mergeCell ref="B290:C290"/>
    <mergeCell ref="D290:E290"/>
    <mergeCell ref="F290:G290"/>
    <mergeCell ref="B291:C291"/>
    <mergeCell ref="D291:E291"/>
    <mergeCell ref="F291:G291"/>
    <mergeCell ref="B292:C292"/>
    <mergeCell ref="D292:E292"/>
    <mergeCell ref="F292:G292"/>
    <mergeCell ref="B287:C287"/>
    <mergeCell ref="D287:E287"/>
    <mergeCell ref="F287:G287"/>
    <mergeCell ref="B288:C288"/>
    <mergeCell ref="D288:E288"/>
    <mergeCell ref="F288:G288"/>
    <mergeCell ref="B289:C289"/>
    <mergeCell ref="D289:E289"/>
    <mergeCell ref="F289:G289"/>
    <mergeCell ref="O283:O284"/>
    <mergeCell ref="P283:P284"/>
    <mergeCell ref="B284:C284"/>
    <mergeCell ref="D284:E284"/>
    <mergeCell ref="F284:G284"/>
    <mergeCell ref="B285:C285"/>
    <mergeCell ref="D285:E285"/>
    <mergeCell ref="F285:G285"/>
    <mergeCell ref="B286:C286"/>
    <mergeCell ref="D286:E286"/>
    <mergeCell ref="F286:G286"/>
    <mergeCell ref="A283:A284"/>
    <mergeCell ref="B283:G283"/>
    <mergeCell ref="H283:H284"/>
    <mergeCell ref="I283:I284"/>
    <mergeCell ref="J283:J284"/>
    <mergeCell ref="K283:K284"/>
    <mergeCell ref="L283:L284"/>
    <mergeCell ref="M283:M284"/>
    <mergeCell ref="N283:N284"/>
    <mergeCell ref="B280:C280"/>
    <mergeCell ref="D280:E280"/>
    <mergeCell ref="F280:G280"/>
    <mergeCell ref="I280:N280"/>
    <mergeCell ref="A281:P281"/>
    <mergeCell ref="A282:C282"/>
    <mergeCell ref="D282:F282"/>
    <mergeCell ref="J282:L282"/>
    <mergeCell ref="N282:P282"/>
    <mergeCell ref="B277:C277"/>
    <mergeCell ref="D277:E277"/>
    <mergeCell ref="F277:G277"/>
    <mergeCell ref="B278:C278"/>
    <mergeCell ref="D278:E278"/>
    <mergeCell ref="F278:G278"/>
    <mergeCell ref="B279:C279"/>
    <mergeCell ref="D279:E279"/>
    <mergeCell ref="F279:G279"/>
    <mergeCell ref="B271:C271"/>
    <mergeCell ref="D271:E271"/>
    <mergeCell ref="F271:G271"/>
    <mergeCell ref="B275:C275"/>
    <mergeCell ref="D275:E275"/>
    <mergeCell ref="F275:G275"/>
    <mergeCell ref="B276:C276"/>
    <mergeCell ref="D276:E276"/>
    <mergeCell ref="F276:G276"/>
    <mergeCell ref="B272:C272"/>
    <mergeCell ref="D272:E272"/>
    <mergeCell ref="F272:G272"/>
    <mergeCell ref="B273:C273"/>
    <mergeCell ref="D273:E273"/>
    <mergeCell ref="F273:G273"/>
    <mergeCell ref="B274:C274"/>
    <mergeCell ref="D274:E274"/>
    <mergeCell ref="F274:G274"/>
    <mergeCell ref="O267:O268"/>
    <mergeCell ref="P267:P268"/>
    <mergeCell ref="B268:C268"/>
    <mergeCell ref="D268:E268"/>
    <mergeCell ref="F268:G268"/>
    <mergeCell ref="B269:C269"/>
    <mergeCell ref="D269:E269"/>
    <mergeCell ref="F269:G269"/>
    <mergeCell ref="B270:C270"/>
    <mergeCell ref="D270:E270"/>
    <mergeCell ref="F270:G270"/>
    <mergeCell ref="A267:A268"/>
    <mergeCell ref="B267:G267"/>
    <mergeCell ref="H267:H268"/>
    <mergeCell ref="I267:I268"/>
    <mergeCell ref="J267:J268"/>
    <mergeCell ref="K267:K268"/>
    <mergeCell ref="L267:L268"/>
    <mergeCell ref="M267:M268"/>
    <mergeCell ref="N267:N268"/>
    <mergeCell ref="B264:C264"/>
    <mergeCell ref="D264:E264"/>
    <mergeCell ref="F264:G264"/>
    <mergeCell ref="I264:N264"/>
    <mergeCell ref="A265:P265"/>
    <mergeCell ref="A266:C266"/>
    <mergeCell ref="D266:F266"/>
    <mergeCell ref="J266:L266"/>
    <mergeCell ref="N266:P266"/>
    <mergeCell ref="B261:C261"/>
    <mergeCell ref="D261:E261"/>
    <mergeCell ref="F261:G261"/>
    <mergeCell ref="B262:C262"/>
    <mergeCell ref="D262:E262"/>
    <mergeCell ref="F262:G262"/>
    <mergeCell ref="B263:C263"/>
    <mergeCell ref="D263:E263"/>
    <mergeCell ref="F263:G263"/>
    <mergeCell ref="B255:C255"/>
    <mergeCell ref="D255:E255"/>
    <mergeCell ref="F255:G255"/>
    <mergeCell ref="B259:C259"/>
    <mergeCell ref="D259:E259"/>
    <mergeCell ref="F259:G259"/>
    <mergeCell ref="B260:C260"/>
    <mergeCell ref="D260:E260"/>
    <mergeCell ref="F260:G260"/>
    <mergeCell ref="B256:C256"/>
    <mergeCell ref="D256:E256"/>
    <mergeCell ref="F256:G256"/>
    <mergeCell ref="B257:C257"/>
    <mergeCell ref="D257:E257"/>
    <mergeCell ref="F257:G257"/>
    <mergeCell ref="B258:C258"/>
    <mergeCell ref="D258:E258"/>
    <mergeCell ref="F258:G258"/>
    <mergeCell ref="O251:O252"/>
    <mergeCell ref="P251:P252"/>
    <mergeCell ref="B252:C252"/>
    <mergeCell ref="D252:E252"/>
    <mergeCell ref="F252:G252"/>
    <mergeCell ref="B253:C253"/>
    <mergeCell ref="D253:E253"/>
    <mergeCell ref="F253:G253"/>
    <mergeCell ref="B254:C254"/>
    <mergeCell ref="D254:E254"/>
    <mergeCell ref="F254:G254"/>
    <mergeCell ref="A251:A252"/>
    <mergeCell ref="B251:G251"/>
    <mergeCell ref="H251:H252"/>
    <mergeCell ref="I251:I252"/>
    <mergeCell ref="J251:J252"/>
    <mergeCell ref="K251:K252"/>
    <mergeCell ref="L251:L252"/>
    <mergeCell ref="M251:M252"/>
    <mergeCell ref="N251:N252"/>
    <mergeCell ref="B248:C248"/>
    <mergeCell ref="D248:E248"/>
    <mergeCell ref="F248:G248"/>
    <mergeCell ref="I248:N248"/>
    <mergeCell ref="A249:P249"/>
    <mergeCell ref="A250:C250"/>
    <mergeCell ref="D250:F250"/>
    <mergeCell ref="J250:L250"/>
    <mergeCell ref="N250:P250"/>
    <mergeCell ref="B245:C245"/>
    <mergeCell ref="D245:E245"/>
    <mergeCell ref="F245:G245"/>
    <mergeCell ref="B246:C246"/>
    <mergeCell ref="D246:E246"/>
    <mergeCell ref="F246:G246"/>
    <mergeCell ref="B247:C247"/>
    <mergeCell ref="D247:E247"/>
    <mergeCell ref="F247:G247"/>
    <mergeCell ref="B239:C239"/>
    <mergeCell ref="D239:E239"/>
    <mergeCell ref="F239:G239"/>
    <mergeCell ref="B243:C243"/>
    <mergeCell ref="D243:E243"/>
    <mergeCell ref="F243:G243"/>
    <mergeCell ref="B244:C244"/>
    <mergeCell ref="D244:E244"/>
    <mergeCell ref="F244:G244"/>
    <mergeCell ref="B240:C240"/>
    <mergeCell ref="D240:E240"/>
    <mergeCell ref="F240:G240"/>
    <mergeCell ref="B241:C241"/>
    <mergeCell ref="D241:E241"/>
    <mergeCell ref="F241:G241"/>
    <mergeCell ref="B242:C242"/>
    <mergeCell ref="D242:E242"/>
    <mergeCell ref="F242:G242"/>
    <mergeCell ref="O235:O236"/>
    <mergeCell ref="P235:P236"/>
    <mergeCell ref="B236:C236"/>
    <mergeCell ref="D236:E236"/>
    <mergeCell ref="F236:G236"/>
    <mergeCell ref="B237:C237"/>
    <mergeCell ref="D237:E237"/>
    <mergeCell ref="F237:G237"/>
    <mergeCell ref="B238:C238"/>
    <mergeCell ref="D238:E238"/>
    <mergeCell ref="F238:G238"/>
    <mergeCell ref="A235:A236"/>
    <mergeCell ref="B235:G235"/>
    <mergeCell ref="H235:H236"/>
    <mergeCell ref="I235:I236"/>
    <mergeCell ref="J235:J236"/>
    <mergeCell ref="K235:K236"/>
    <mergeCell ref="L235:L236"/>
    <mergeCell ref="M235:M236"/>
    <mergeCell ref="N235:N236"/>
    <mergeCell ref="B232:C232"/>
    <mergeCell ref="D232:E232"/>
    <mergeCell ref="F232:G232"/>
    <mergeCell ref="I232:N232"/>
    <mergeCell ref="A233:P233"/>
    <mergeCell ref="A234:C234"/>
    <mergeCell ref="D234:F234"/>
    <mergeCell ref="J234:L234"/>
    <mergeCell ref="N234:P234"/>
    <mergeCell ref="B229:C229"/>
    <mergeCell ref="D229:E229"/>
    <mergeCell ref="F229:G229"/>
    <mergeCell ref="B230:C230"/>
    <mergeCell ref="D230:E230"/>
    <mergeCell ref="F230:G230"/>
    <mergeCell ref="B231:C231"/>
    <mergeCell ref="D231:E231"/>
    <mergeCell ref="F231:G231"/>
    <mergeCell ref="B223:C223"/>
    <mergeCell ref="D223:E223"/>
    <mergeCell ref="F223:G223"/>
    <mergeCell ref="B227:C227"/>
    <mergeCell ref="D227:E227"/>
    <mergeCell ref="F227:G227"/>
    <mergeCell ref="B228:C228"/>
    <mergeCell ref="D228:E228"/>
    <mergeCell ref="F228:G228"/>
    <mergeCell ref="B224:C224"/>
    <mergeCell ref="D224:E224"/>
    <mergeCell ref="F224:G224"/>
    <mergeCell ref="B225:C225"/>
    <mergeCell ref="D225:E225"/>
    <mergeCell ref="F225:G225"/>
    <mergeCell ref="B226:C226"/>
    <mergeCell ref="D226:E226"/>
    <mergeCell ref="F226:G226"/>
    <mergeCell ref="O219:O220"/>
    <mergeCell ref="P219:P220"/>
    <mergeCell ref="B220:C220"/>
    <mergeCell ref="D220:E220"/>
    <mergeCell ref="F220:G220"/>
    <mergeCell ref="B221:C221"/>
    <mergeCell ref="D221:E221"/>
    <mergeCell ref="F221:G221"/>
    <mergeCell ref="B222:C222"/>
    <mergeCell ref="D222:E222"/>
    <mergeCell ref="F222:G222"/>
    <mergeCell ref="A219:A220"/>
    <mergeCell ref="B219:G219"/>
    <mergeCell ref="H219:H220"/>
    <mergeCell ref="I219:I220"/>
    <mergeCell ref="J219:J220"/>
    <mergeCell ref="K219:K220"/>
    <mergeCell ref="L219:L220"/>
    <mergeCell ref="M219:M220"/>
    <mergeCell ref="N219:N220"/>
    <mergeCell ref="B216:C216"/>
    <mergeCell ref="D216:E216"/>
    <mergeCell ref="F216:G216"/>
    <mergeCell ref="I216:N216"/>
    <mergeCell ref="A217:P217"/>
    <mergeCell ref="A218:C218"/>
    <mergeCell ref="D218:F218"/>
    <mergeCell ref="J218:L218"/>
    <mergeCell ref="N218:P218"/>
    <mergeCell ref="B213:C213"/>
    <mergeCell ref="D213:E213"/>
    <mergeCell ref="F213:G213"/>
    <mergeCell ref="B214:C214"/>
    <mergeCell ref="D214:E214"/>
    <mergeCell ref="F214:G214"/>
    <mergeCell ref="B215:C215"/>
    <mergeCell ref="D215:E215"/>
    <mergeCell ref="F215:G215"/>
    <mergeCell ref="B207:C207"/>
    <mergeCell ref="D207:E207"/>
    <mergeCell ref="F207:G207"/>
    <mergeCell ref="B211:C211"/>
    <mergeCell ref="D211:E211"/>
    <mergeCell ref="F211:G211"/>
    <mergeCell ref="B212:C212"/>
    <mergeCell ref="D212:E212"/>
    <mergeCell ref="F212:G212"/>
    <mergeCell ref="B208:C208"/>
    <mergeCell ref="D208:E208"/>
    <mergeCell ref="F208:G208"/>
    <mergeCell ref="B209:C209"/>
    <mergeCell ref="D209:E209"/>
    <mergeCell ref="F209:G209"/>
    <mergeCell ref="B210:C210"/>
    <mergeCell ref="D210:E210"/>
    <mergeCell ref="F210:G210"/>
    <mergeCell ref="O203:O204"/>
    <mergeCell ref="P203:P204"/>
    <mergeCell ref="B204:C204"/>
    <mergeCell ref="D204:E204"/>
    <mergeCell ref="F204:G204"/>
    <mergeCell ref="B205:C205"/>
    <mergeCell ref="D205:E205"/>
    <mergeCell ref="F205:G205"/>
    <mergeCell ref="B206:C206"/>
    <mergeCell ref="D206:E206"/>
    <mergeCell ref="F206:G206"/>
    <mergeCell ref="A203:A204"/>
    <mergeCell ref="B203:G203"/>
    <mergeCell ref="H203:H204"/>
    <mergeCell ref="I203:I204"/>
    <mergeCell ref="J203:J204"/>
    <mergeCell ref="K203:K204"/>
    <mergeCell ref="L203:L204"/>
    <mergeCell ref="M203:M204"/>
    <mergeCell ref="N203:N204"/>
    <mergeCell ref="B200:C200"/>
    <mergeCell ref="D200:E200"/>
    <mergeCell ref="F200:G200"/>
    <mergeCell ref="I200:N200"/>
    <mergeCell ref="A201:P201"/>
    <mergeCell ref="A202:C202"/>
    <mergeCell ref="D202:F202"/>
    <mergeCell ref="J202:L202"/>
    <mergeCell ref="N202:P202"/>
    <mergeCell ref="B197:C197"/>
    <mergeCell ref="D197:E197"/>
    <mergeCell ref="F197:G197"/>
    <mergeCell ref="B198:C198"/>
    <mergeCell ref="D198:E198"/>
    <mergeCell ref="F198:G198"/>
    <mergeCell ref="B199:C199"/>
    <mergeCell ref="D199:E199"/>
    <mergeCell ref="F199:G199"/>
    <mergeCell ref="B191:C191"/>
    <mergeCell ref="D191:E191"/>
    <mergeCell ref="F191:G191"/>
    <mergeCell ref="B195:C195"/>
    <mergeCell ref="D195:E195"/>
    <mergeCell ref="F195:G195"/>
    <mergeCell ref="B196:C196"/>
    <mergeCell ref="D196:E196"/>
    <mergeCell ref="F196:G196"/>
    <mergeCell ref="B192:C192"/>
    <mergeCell ref="D192:E192"/>
    <mergeCell ref="F192:G192"/>
    <mergeCell ref="B193:C193"/>
    <mergeCell ref="D193:E193"/>
    <mergeCell ref="F193:G193"/>
    <mergeCell ref="B194:C194"/>
    <mergeCell ref="D194:E194"/>
    <mergeCell ref="F194:G194"/>
    <mergeCell ref="O187:O188"/>
    <mergeCell ref="P187:P188"/>
    <mergeCell ref="B188:C188"/>
    <mergeCell ref="D188:E188"/>
    <mergeCell ref="F188:G188"/>
    <mergeCell ref="B189:C189"/>
    <mergeCell ref="D189:E189"/>
    <mergeCell ref="F189:G189"/>
    <mergeCell ref="B190:C190"/>
    <mergeCell ref="D190:E190"/>
    <mergeCell ref="F190:G190"/>
    <mergeCell ref="A187:A188"/>
    <mergeCell ref="B187:G187"/>
    <mergeCell ref="H187:H188"/>
    <mergeCell ref="I187:I188"/>
    <mergeCell ref="J187:J188"/>
    <mergeCell ref="K187:K188"/>
    <mergeCell ref="L187:L188"/>
    <mergeCell ref="M187:M188"/>
    <mergeCell ref="N187:N188"/>
    <mergeCell ref="B184:C184"/>
    <mergeCell ref="D184:E184"/>
    <mergeCell ref="F184:G184"/>
    <mergeCell ref="I184:N184"/>
    <mergeCell ref="A185:P185"/>
    <mergeCell ref="A186:C186"/>
    <mergeCell ref="D186:F186"/>
    <mergeCell ref="J186:L186"/>
    <mergeCell ref="N186:P186"/>
    <mergeCell ref="B181:C181"/>
    <mergeCell ref="D181:E181"/>
    <mergeCell ref="F181:G181"/>
    <mergeCell ref="B182:C182"/>
    <mergeCell ref="D182:E182"/>
    <mergeCell ref="F182:G182"/>
    <mergeCell ref="B183:C183"/>
    <mergeCell ref="D183:E183"/>
    <mergeCell ref="F183:G183"/>
    <mergeCell ref="B175:C175"/>
    <mergeCell ref="D175:E175"/>
    <mergeCell ref="F175:G175"/>
    <mergeCell ref="B179:C179"/>
    <mergeCell ref="D179:E179"/>
    <mergeCell ref="F179:G179"/>
    <mergeCell ref="B180:C180"/>
    <mergeCell ref="D180:E180"/>
    <mergeCell ref="F180:G180"/>
    <mergeCell ref="B176:C176"/>
    <mergeCell ref="D176:E176"/>
    <mergeCell ref="F176:G176"/>
    <mergeCell ref="B177:C177"/>
    <mergeCell ref="D177:E177"/>
    <mergeCell ref="F177:G177"/>
    <mergeCell ref="B178:C178"/>
    <mergeCell ref="D178:E178"/>
    <mergeCell ref="F178:G178"/>
    <mergeCell ref="O171:O172"/>
    <mergeCell ref="P171:P172"/>
    <mergeCell ref="B172:C172"/>
    <mergeCell ref="D172:E172"/>
    <mergeCell ref="F172:G172"/>
    <mergeCell ref="B173:C173"/>
    <mergeCell ref="D173:E173"/>
    <mergeCell ref="F173:G173"/>
    <mergeCell ref="B174:C174"/>
    <mergeCell ref="D174:E174"/>
    <mergeCell ref="F174:G174"/>
    <mergeCell ref="A171:A172"/>
    <mergeCell ref="B171:G171"/>
    <mergeCell ref="H171:H172"/>
    <mergeCell ref="I171:I172"/>
    <mergeCell ref="J171:J172"/>
    <mergeCell ref="K171:K172"/>
    <mergeCell ref="L171:L172"/>
    <mergeCell ref="M171:M172"/>
    <mergeCell ref="N171:N172"/>
    <mergeCell ref="B168:C168"/>
    <mergeCell ref="D168:E168"/>
    <mergeCell ref="F168:G168"/>
    <mergeCell ref="I168:N168"/>
    <mergeCell ref="A169:P169"/>
    <mergeCell ref="A170:C170"/>
    <mergeCell ref="D170:F170"/>
    <mergeCell ref="J170:L170"/>
    <mergeCell ref="N170:P170"/>
    <mergeCell ref="B165:C165"/>
    <mergeCell ref="D165:E165"/>
    <mergeCell ref="F165:G165"/>
    <mergeCell ref="B166:C166"/>
    <mergeCell ref="D166:E166"/>
    <mergeCell ref="F166:G166"/>
    <mergeCell ref="B167:C167"/>
    <mergeCell ref="D167:E167"/>
    <mergeCell ref="F167:G167"/>
    <mergeCell ref="B159:C159"/>
    <mergeCell ref="D159:E159"/>
    <mergeCell ref="F159:G159"/>
    <mergeCell ref="B163:C163"/>
    <mergeCell ref="D163:E163"/>
    <mergeCell ref="F163:G163"/>
    <mergeCell ref="B164:C164"/>
    <mergeCell ref="D164:E164"/>
    <mergeCell ref="F164:G164"/>
    <mergeCell ref="B160:C160"/>
    <mergeCell ref="D160:E160"/>
    <mergeCell ref="F160:G160"/>
    <mergeCell ref="B161:C161"/>
    <mergeCell ref="D161:E161"/>
    <mergeCell ref="F161:G161"/>
    <mergeCell ref="B162:C162"/>
    <mergeCell ref="D162:E162"/>
    <mergeCell ref="F162:G162"/>
    <mergeCell ref="O155:O156"/>
    <mergeCell ref="P155:P156"/>
    <mergeCell ref="B156:C156"/>
    <mergeCell ref="D156:E156"/>
    <mergeCell ref="F156:G156"/>
    <mergeCell ref="B157:C157"/>
    <mergeCell ref="D157:E157"/>
    <mergeCell ref="F157:G157"/>
    <mergeCell ref="B158:C158"/>
    <mergeCell ref="D158:E158"/>
    <mergeCell ref="F158:G158"/>
    <mergeCell ref="A155:A156"/>
    <mergeCell ref="B155:G155"/>
    <mergeCell ref="H155:H156"/>
    <mergeCell ref="I155:I156"/>
    <mergeCell ref="J155:J156"/>
    <mergeCell ref="K155:K156"/>
    <mergeCell ref="L155:L156"/>
    <mergeCell ref="M155:M156"/>
    <mergeCell ref="N155:N156"/>
    <mergeCell ref="B152:C152"/>
    <mergeCell ref="D152:E152"/>
    <mergeCell ref="F152:G152"/>
    <mergeCell ref="I152:N152"/>
    <mergeCell ref="A153:P153"/>
    <mergeCell ref="A154:C154"/>
    <mergeCell ref="D154:F154"/>
    <mergeCell ref="J154:L154"/>
    <mergeCell ref="N154:P154"/>
    <mergeCell ref="B149:C149"/>
    <mergeCell ref="D149:E149"/>
    <mergeCell ref="F149:G149"/>
    <mergeCell ref="B150:C150"/>
    <mergeCell ref="D150:E150"/>
    <mergeCell ref="F150:G150"/>
    <mergeCell ref="B151:C151"/>
    <mergeCell ref="D151:E151"/>
    <mergeCell ref="F151:G151"/>
    <mergeCell ref="B143:C143"/>
    <mergeCell ref="D143:E143"/>
    <mergeCell ref="F143:G143"/>
    <mergeCell ref="B147:C147"/>
    <mergeCell ref="D147:E147"/>
    <mergeCell ref="F147:G147"/>
    <mergeCell ref="B148:C148"/>
    <mergeCell ref="D148:E148"/>
    <mergeCell ref="F148:G148"/>
    <mergeCell ref="B144:C144"/>
    <mergeCell ref="D144:E144"/>
    <mergeCell ref="F144:G144"/>
    <mergeCell ref="B145:C145"/>
    <mergeCell ref="D145:E145"/>
    <mergeCell ref="F145:G145"/>
    <mergeCell ref="B146:C146"/>
    <mergeCell ref="D146:E146"/>
    <mergeCell ref="F146:G146"/>
    <mergeCell ref="O139:O140"/>
    <mergeCell ref="P139:P140"/>
    <mergeCell ref="B140:C140"/>
    <mergeCell ref="D140:E140"/>
    <mergeCell ref="F140:G140"/>
    <mergeCell ref="B141:C141"/>
    <mergeCell ref="D141:E141"/>
    <mergeCell ref="F141:G141"/>
    <mergeCell ref="B142:C142"/>
    <mergeCell ref="D142:E142"/>
    <mergeCell ref="F142:G142"/>
    <mergeCell ref="A139:A140"/>
    <mergeCell ref="B139:G139"/>
    <mergeCell ref="H139:H140"/>
    <mergeCell ref="I139:I140"/>
    <mergeCell ref="J139:J140"/>
    <mergeCell ref="K139:K140"/>
    <mergeCell ref="L139:L140"/>
    <mergeCell ref="M139:M140"/>
    <mergeCell ref="N139:N140"/>
    <mergeCell ref="B136:C136"/>
    <mergeCell ref="D136:E136"/>
    <mergeCell ref="F136:G136"/>
    <mergeCell ref="I136:N136"/>
    <mergeCell ref="A137:P137"/>
    <mergeCell ref="A138:C138"/>
    <mergeCell ref="D138:F138"/>
    <mergeCell ref="J138:L138"/>
    <mergeCell ref="N138:P138"/>
    <mergeCell ref="B133:C133"/>
    <mergeCell ref="D133:E133"/>
    <mergeCell ref="F133:G133"/>
    <mergeCell ref="B134:C134"/>
    <mergeCell ref="D134:E134"/>
    <mergeCell ref="F134:G134"/>
    <mergeCell ref="B135:C135"/>
    <mergeCell ref="D135:E135"/>
    <mergeCell ref="F135:G135"/>
    <mergeCell ref="B131:C131"/>
    <mergeCell ref="D131:E131"/>
    <mergeCell ref="F131:G131"/>
    <mergeCell ref="B132:C132"/>
    <mergeCell ref="D132:E132"/>
    <mergeCell ref="F132:G132"/>
    <mergeCell ref="O123:O124"/>
    <mergeCell ref="P123:P124"/>
    <mergeCell ref="B124:C124"/>
    <mergeCell ref="D124:E124"/>
    <mergeCell ref="F124:G124"/>
    <mergeCell ref="B125:C125"/>
    <mergeCell ref="D125:E125"/>
    <mergeCell ref="F125:G125"/>
    <mergeCell ref="B129:C129"/>
    <mergeCell ref="D129:E129"/>
    <mergeCell ref="F129:G129"/>
    <mergeCell ref="B126:C126"/>
    <mergeCell ref="D126:E126"/>
    <mergeCell ref="F126:G126"/>
    <mergeCell ref="B127:C127"/>
    <mergeCell ref="D127:E127"/>
    <mergeCell ref="F127:G127"/>
    <mergeCell ref="B128:C128"/>
    <mergeCell ref="D128:E128"/>
    <mergeCell ref="F128:G128"/>
    <mergeCell ref="H123:H124"/>
    <mergeCell ref="I123:I124"/>
    <mergeCell ref="J123:J124"/>
    <mergeCell ref="K123:K124"/>
    <mergeCell ref="L123:L124"/>
    <mergeCell ref="M123:M124"/>
    <mergeCell ref="N123:N124"/>
    <mergeCell ref="B120:C120"/>
    <mergeCell ref="D120:E120"/>
    <mergeCell ref="F120:G120"/>
    <mergeCell ref="I120:N120"/>
    <mergeCell ref="A121:P121"/>
    <mergeCell ref="A122:C122"/>
    <mergeCell ref="D122:F122"/>
    <mergeCell ref="J122:L122"/>
    <mergeCell ref="N122:P122"/>
    <mergeCell ref="B130:C130"/>
    <mergeCell ref="D130:E130"/>
    <mergeCell ref="F130:G130"/>
    <mergeCell ref="B118:C118"/>
    <mergeCell ref="D118:E118"/>
    <mergeCell ref="F118:G118"/>
    <mergeCell ref="B119:C119"/>
    <mergeCell ref="D119:E119"/>
    <mergeCell ref="F119:G119"/>
    <mergeCell ref="B114:C114"/>
    <mergeCell ref="D114:E114"/>
    <mergeCell ref="F114:G114"/>
    <mergeCell ref="B115:C115"/>
    <mergeCell ref="D115:E115"/>
    <mergeCell ref="F115:G115"/>
    <mergeCell ref="B116:C116"/>
    <mergeCell ref="D116:E116"/>
    <mergeCell ref="F116:G116"/>
    <mergeCell ref="A123:A124"/>
    <mergeCell ref="B123:G123"/>
    <mergeCell ref="B109:C109"/>
    <mergeCell ref="D109:E109"/>
    <mergeCell ref="F109:G109"/>
    <mergeCell ref="B113:C113"/>
    <mergeCell ref="D113:E113"/>
    <mergeCell ref="F113:G113"/>
    <mergeCell ref="B110:C110"/>
    <mergeCell ref="D110:E110"/>
    <mergeCell ref="F110:G110"/>
    <mergeCell ref="B111:C111"/>
    <mergeCell ref="D111:E111"/>
    <mergeCell ref="F111:G111"/>
    <mergeCell ref="B112:C112"/>
    <mergeCell ref="D112:E112"/>
    <mergeCell ref="F112:G112"/>
    <mergeCell ref="B117:C117"/>
    <mergeCell ref="D117:E117"/>
    <mergeCell ref="F117:G117"/>
    <mergeCell ref="A107:A108"/>
    <mergeCell ref="B107:G107"/>
    <mergeCell ref="H107:H108"/>
    <mergeCell ref="I107:I108"/>
    <mergeCell ref="J107:J108"/>
    <mergeCell ref="K107:K108"/>
    <mergeCell ref="L107:L108"/>
    <mergeCell ref="M107:M108"/>
    <mergeCell ref="N107:N108"/>
    <mergeCell ref="B104:C104"/>
    <mergeCell ref="D104:E104"/>
    <mergeCell ref="F104:G104"/>
    <mergeCell ref="I104:N104"/>
    <mergeCell ref="A105:P105"/>
    <mergeCell ref="A106:C106"/>
    <mergeCell ref="D106:F106"/>
    <mergeCell ref="J106:L106"/>
    <mergeCell ref="N106:P106"/>
    <mergeCell ref="O107:O108"/>
    <mergeCell ref="P107:P108"/>
    <mergeCell ref="B108:C108"/>
    <mergeCell ref="D108:E108"/>
    <mergeCell ref="F108:G108"/>
    <mergeCell ref="B101:C101"/>
    <mergeCell ref="D101:E101"/>
    <mergeCell ref="F101:G101"/>
    <mergeCell ref="B102:C102"/>
    <mergeCell ref="D102:E102"/>
    <mergeCell ref="F102:G102"/>
    <mergeCell ref="B103:C103"/>
    <mergeCell ref="D103:E103"/>
    <mergeCell ref="F103:G103"/>
    <mergeCell ref="B98:C98"/>
    <mergeCell ref="D98:E98"/>
    <mergeCell ref="F98:G98"/>
    <mergeCell ref="B99:C99"/>
    <mergeCell ref="D99:E99"/>
    <mergeCell ref="F99:G99"/>
    <mergeCell ref="B100:C100"/>
    <mergeCell ref="D100:E100"/>
    <mergeCell ref="F100:G100"/>
    <mergeCell ref="A27:A28"/>
    <mergeCell ref="B27:G27"/>
    <mergeCell ref="H27:H28"/>
    <mergeCell ref="J27:J28"/>
    <mergeCell ref="O91:O92"/>
    <mergeCell ref="P91:P92"/>
    <mergeCell ref="B92:C92"/>
    <mergeCell ref="D92:E92"/>
    <mergeCell ref="F92:G92"/>
    <mergeCell ref="B93:C93"/>
    <mergeCell ref="D93:E93"/>
    <mergeCell ref="F93:G93"/>
    <mergeCell ref="B97:C97"/>
    <mergeCell ref="D97:E97"/>
    <mergeCell ref="F97:G97"/>
    <mergeCell ref="B94:C94"/>
    <mergeCell ref="D94:E94"/>
    <mergeCell ref="F94:G94"/>
    <mergeCell ref="B95:C95"/>
    <mergeCell ref="D95:E95"/>
    <mergeCell ref="F95:G95"/>
    <mergeCell ref="B96:C96"/>
    <mergeCell ref="D96:E96"/>
    <mergeCell ref="F96:G96"/>
    <mergeCell ref="B78:C78"/>
    <mergeCell ref="D78:E78"/>
    <mergeCell ref="F78:G78"/>
    <mergeCell ref="B79:C79"/>
    <mergeCell ref="D79:E79"/>
    <mergeCell ref="F79:G79"/>
    <mergeCell ref="B80:C80"/>
    <mergeCell ref="D80:E80"/>
    <mergeCell ref="B23:C23"/>
    <mergeCell ref="B24:C24"/>
    <mergeCell ref="D23:E23"/>
    <mergeCell ref="D24:E24"/>
    <mergeCell ref="A91:A92"/>
    <mergeCell ref="B91:G91"/>
    <mergeCell ref="H91:H92"/>
    <mergeCell ref="I91:I92"/>
    <mergeCell ref="J91:J92"/>
    <mergeCell ref="K91:K92"/>
    <mergeCell ref="L91:L92"/>
    <mergeCell ref="M91:M92"/>
    <mergeCell ref="N91:N92"/>
    <mergeCell ref="A6:F6"/>
    <mergeCell ref="A89:P89"/>
    <mergeCell ref="A90:C90"/>
    <mergeCell ref="D90:F90"/>
    <mergeCell ref="J90:L90"/>
    <mergeCell ref="N90:P90"/>
    <mergeCell ref="D13:E13"/>
    <mergeCell ref="D14:E14"/>
    <mergeCell ref="D15:E15"/>
    <mergeCell ref="D16:E16"/>
    <mergeCell ref="D20:E20"/>
    <mergeCell ref="D21:E21"/>
    <mergeCell ref="F12:G12"/>
    <mergeCell ref="D12:E12"/>
    <mergeCell ref="B12:C12"/>
    <mergeCell ref="B13:C13"/>
    <mergeCell ref="B14:C14"/>
    <mergeCell ref="B15:C15"/>
    <mergeCell ref="A25:P25"/>
    <mergeCell ref="A1:P1"/>
    <mergeCell ref="A9:P9"/>
    <mergeCell ref="A11:A12"/>
    <mergeCell ref="B11:G11"/>
    <mergeCell ref="H11:H12"/>
    <mergeCell ref="J11:J12"/>
    <mergeCell ref="K11:K12"/>
    <mergeCell ref="G5:J5"/>
    <mergeCell ref="K5:M5"/>
    <mergeCell ref="N5:P5"/>
    <mergeCell ref="A10:C10"/>
    <mergeCell ref="D10:F10"/>
    <mergeCell ref="J10:L10"/>
    <mergeCell ref="L11:L12"/>
    <mergeCell ref="M11:M12"/>
    <mergeCell ref="N11:N12"/>
    <mergeCell ref="O11:O12"/>
    <mergeCell ref="P11:P12"/>
    <mergeCell ref="A2:F2"/>
    <mergeCell ref="G2:P2"/>
    <mergeCell ref="A3:F3"/>
    <mergeCell ref="N6:P6"/>
    <mergeCell ref="G7:J7"/>
    <mergeCell ref="K7:M7"/>
    <mergeCell ref="G3:P3"/>
    <mergeCell ref="G6:J6"/>
    <mergeCell ref="K6:M6"/>
    <mergeCell ref="F23:G23"/>
    <mergeCell ref="F24:G24"/>
    <mergeCell ref="F16:G16"/>
    <mergeCell ref="F20:G20"/>
    <mergeCell ref="F21:G21"/>
    <mergeCell ref="B22:C22"/>
    <mergeCell ref="D22:E22"/>
    <mergeCell ref="F22:G22"/>
    <mergeCell ref="B16:C16"/>
    <mergeCell ref="B20:C20"/>
    <mergeCell ref="B21:C21"/>
    <mergeCell ref="F13:G13"/>
    <mergeCell ref="F14:G14"/>
    <mergeCell ref="F15:G15"/>
    <mergeCell ref="A4:F4"/>
    <mergeCell ref="G4:P4"/>
    <mergeCell ref="A5:F5"/>
    <mergeCell ref="A7:F7"/>
    <mergeCell ref="N7:P7"/>
    <mergeCell ref="G8:J8"/>
    <mergeCell ref="K8:M8"/>
    <mergeCell ref="N8:P8"/>
    <mergeCell ref="A8:F8"/>
    <mergeCell ref="B17:C17"/>
    <mergeCell ref="D17:E17"/>
    <mergeCell ref="F17:G17"/>
    <mergeCell ref="B18:C18"/>
    <mergeCell ref="D18:E18"/>
    <mergeCell ref="F18:G18"/>
    <mergeCell ref="B19:C19"/>
    <mergeCell ref="D19:E19"/>
    <mergeCell ref="F19:G19"/>
    <mergeCell ref="A26:C26"/>
    <mergeCell ref="D26:F26"/>
    <mergeCell ref="J26:L26"/>
    <mergeCell ref="B29:C29"/>
    <mergeCell ref="D29:E29"/>
    <mergeCell ref="F29:G29"/>
    <mergeCell ref="B30:C30"/>
    <mergeCell ref="D30:E30"/>
    <mergeCell ref="F30:G30"/>
    <mergeCell ref="B28:C28"/>
    <mergeCell ref="D28:E28"/>
    <mergeCell ref="F28:G28"/>
    <mergeCell ref="B36:C36"/>
    <mergeCell ref="D36:E36"/>
    <mergeCell ref="F36:G36"/>
    <mergeCell ref="B37:C37"/>
    <mergeCell ref="D37:E37"/>
    <mergeCell ref="F37:G37"/>
    <mergeCell ref="B31:C31"/>
    <mergeCell ref="D31:E31"/>
    <mergeCell ref="F31:G31"/>
    <mergeCell ref="B35:C35"/>
    <mergeCell ref="D35:E35"/>
    <mergeCell ref="F35:G35"/>
    <mergeCell ref="B32:C32"/>
    <mergeCell ref="D32:E32"/>
    <mergeCell ref="F32:G32"/>
    <mergeCell ref="B33:C33"/>
    <mergeCell ref="D33:E33"/>
    <mergeCell ref="F33:G33"/>
    <mergeCell ref="B34:C34"/>
    <mergeCell ref="K27:K28"/>
    <mergeCell ref="D34:E34"/>
    <mergeCell ref="F34:G34"/>
    <mergeCell ref="B40:C40"/>
    <mergeCell ref="D40:E40"/>
    <mergeCell ref="F40:G40"/>
    <mergeCell ref="A41:P41"/>
    <mergeCell ref="A42:C42"/>
    <mergeCell ref="D42:F42"/>
    <mergeCell ref="J42:L42"/>
    <mergeCell ref="B38:C38"/>
    <mergeCell ref="D38:E38"/>
    <mergeCell ref="F38:G38"/>
    <mergeCell ref="B39:C39"/>
    <mergeCell ref="D39:E39"/>
    <mergeCell ref="F39:G39"/>
    <mergeCell ref="M43:M44"/>
    <mergeCell ref="N43:N44"/>
    <mergeCell ref="O43:O44"/>
    <mergeCell ref="I43:I44"/>
    <mergeCell ref="B44:C44"/>
    <mergeCell ref="D44:E44"/>
    <mergeCell ref="F44:G44"/>
    <mergeCell ref="A43:A44"/>
    <mergeCell ref="B43:G43"/>
    <mergeCell ref="H43:H44"/>
    <mergeCell ref="J43:J44"/>
    <mergeCell ref="K43:K44"/>
    <mergeCell ref="L43:L44"/>
    <mergeCell ref="B50:C50"/>
    <mergeCell ref="D50:E50"/>
    <mergeCell ref="F50:G50"/>
    <mergeCell ref="B51:C51"/>
    <mergeCell ref="D51:E51"/>
    <mergeCell ref="F51:G51"/>
    <mergeCell ref="B45:C45"/>
    <mergeCell ref="D45:E45"/>
    <mergeCell ref="F45:G45"/>
    <mergeCell ref="B46:C46"/>
    <mergeCell ref="D46:E46"/>
    <mergeCell ref="F46:G46"/>
    <mergeCell ref="B47:C47"/>
    <mergeCell ref="D47:E47"/>
    <mergeCell ref="F47:G47"/>
    <mergeCell ref="B48:C48"/>
    <mergeCell ref="D48:E48"/>
    <mergeCell ref="F48:G48"/>
    <mergeCell ref="B49:C49"/>
    <mergeCell ref="D49:E49"/>
    <mergeCell ref="F49:G49"/>
    <mergeCell ref="B54:C54"/>
    <mergeCell ref="D54:E54"/>
    <mergeCell ref="F54:G54"/>
    <mergeCell ref="B55:C55"/>
    <mergeCell ref="D55:E55"/>
    <mergeCell ref="F55:G55"/>
    <mergeCell ref="I56:N56"/>
    <mergeCell ref="N58:P58"/>
    <mergeCell ref="B52:C52"/>
    <mergeCell ref="D52:E52"/>
    <mergeCell ref="F52:G52"/>
    <mergeCell ref="B53:C53"/>
    <mergeCell ref="D53:E53"/>
    <mergeCell ref="F53:G53"/>
    <mergeCell ref="A59:A60"/>
    <mergeCell ref="B59:G59"/>
    <mergeCell ref="H59:H60"/>
    <mergeCell ref="J59:J60"/>
    <mergeCell ref="K59:K60"/>
    <mergeCell ref="L59:L60"/>
    <mergeCell ref="I59:I60"/>
    <mergeCell ref="B56:C56"/>
    <mergeCell ref="D56:E56"/>
    <mergeCell ref="F56:G56"/>
    <mergeCell ref="A57:P57"/>
    <mergeCell ref="A58:C58"/>
    <mergeCell ref="D58:F58"/>
    <mergeCell ref="J58:L58"/>
    <mergeCell ref="B61:C61"/>
    <mergeCell ref="D61:E61"/>
    <mergeCell ref="F61:G61"/>
    <mergeCell ref="B65:C65"/>
    <mergeCell ref="D65:E65"/>
    <mergeCell ref="F65:G65"/>
    <mergeCell ref="B60:C60"/>
    <mergeCell ref="D60:E60"/>
    <mergeCell ref="F60:G60"/>
    <mergeCell ref="B62:C62"/>
    <mergeCell ref="D62:E62"/>
    <mergeCell ref="F62:G62"/>
    <mergeCell ref="B63:C63"/>
    <mergeCell ref="D63:E63"/>
    <mergeCell ref="F63:G63"/>
    <mergeCell ref="B64:C64"/>
    <mergeCell ref="D64:E64"/>
    <mergeCell ref="F64:G64"/>
    <mergeCell ref="B69:C69"/>
    <mergeCell ref="D69:E69"/>
    <mergeCell ref="F69:G69"/>
    <mergeCell ref="B66:C66"/>
    <mergeCell ref="D66:E66"/>
    <mergeCell ref="F66:G66"/>
    <mergeCell ref="B67:C67"/>
    <mergeCell ref="D67:E67"/>
    <mergeCell ref="F67:G67"/>
    <mergeCell ref="F86:G86"/>
    <mergeCell ref="B87:C87"/>
    <mergeCell ref="D87:E87"/>
    <mergeCell ref="F87:G87"/>
    <mergeCell ref="B84:C84"/>
    <mergeCell ref="D84:E84"/>
    <mergeCell ref="F84:G84"/>
    <mergeCell ref="B85:C85"/>
    <mergeCell ref="D85:E85"/>
    <mergeCell ref="F85:G85"/>
    <mergeCell ref="B72:C72"/>
    <mergeCell ref="D72:E72"/>
    <mergeCell ref="F72:G72"/>
    <mergeCell ref="A73:P73"/>
    <mergeCell ref="O75:O76"/>
    <mergeCell ref="P75:P76"/>
    <mergeCell ref="A75:A76"/>
    <mergeCell ref="B70:C70"/>
    <mergeCell ref="D70:E70"/>
    <mergeCell ref="F70:G70"/>
    <mergeCell ref="I72:N72"/>
    <mergeCell ref="N74:P74"/>
    <mergeCell ref="B71:C71"/>
    <mergeCell ref="D71:E71"/>
    <mergeCell ref="F71:G71"/>
    <mergeCell ref="B68:C68"/>
    <mergeCell ref="D68:E68"/>
    <mergeCell ref="F68:G68"/>
    <mergeCell ref="B88:C88"/>
    <mergeCell ref="D88:E88"/>
    <mergeCell ref="F88:G88"/>
    <mergeCell ref="F77:G77"/>
    <mergeCell ref="B81:C81"/>
    <mergeCell ref="D81:E81"/>
    <mergeCell ref="F81:G81"/>
    <mergeCell ref="M75:M76"/>
    <mergeCell ref="N75:N76"/>
    <mergeCell ref="B76:C76"/>
    <mergeCell ref="D76:E76"/>
    <mergeCell ref="F76:G76"/>
    <mergeCell ref="B75:G75"/>
    <mergeCell ref="H75:H76"/>
    <mergeCell ref="B82:C82"/>
    <mergeCell ref="D82:E82"/>
    <mergeCell ref="F82:G82"/>
    <mergeCell ref="B83:C83"/>
    <mergeCell ref="D83:E83"/>
    <mergeCell ref="F83:G83"/>
    <mergeCell ref="B77:C77"/>
    <mergeCell ref="D77:E77"/>
    <mergeCell ref="B86:C86"/>
    <mergeCell ref="D86:E86"/>
    <mergeCell ref="A74:C74"/>
    <mergeCell ref="D74:F74"/>
    <mergeCell ref="J74:L74"/>
    <mergeCell ref="I75:I76"/>
    <mergeCell ref="I88:N88"/>
    <mergeCell ref="I11:I12"/>
    <mergeCell ref="N10:P10"/>
    <mergeCell ref="I24:N24"/>
    <mergeCell ref="N26:P26"/>
    <mergeCell ref="I27:I28"/>
    <mergeCell ref="I40:N40"/>
    <mergeCell ref="N42:P42"/>
    <mergeCell ref="M59:M60"/>
    <mergeCell ref="N59:N60"/>
    <mergeCell ref="O59:O60"/>
    <mergeCell ref="P59:P60"/>
    <mergeCell ref="P43:P44"/>
    <mergeCell ref="M27:M28"/>
    <mergeCell ref="N27:N28"/>
    <mergeCell ref="O27:O28"/>
    <mergeCell ref="P27:P28"/>
    <mergeCell ref="J75:J76"/>
    <mergeCell ref="K75:K76"/>
    <mergeCell ref="L75:L76"/>
    <mergeCell ref="L27:L28"/>
  </mergeCells>
  <dataValidations count="2">
    <dataValidation type="list" allowBlank="1" showInputMessage="1" showErrorMessage="1" sqref="N26 N308 N295 N282 N266 N250 N234 N218 N202 N186 N170 N154 N138 N122 N106 N90 N74 N10 N58 N42" xr:uid="{00000000-0002-0000-0B00-000000000000}">
      <formula1>$T$2:$T$13</formula1>
    </dataValidation>
    <dataValidation type="list" allowBlank="1" showInputMessage="1" showErrorMessage="1" sqref="A13:A21 A311:A316 A298:A303 A285:A290 A29:A37 A45:A53 A61:A69 A77:A85 A93:A101 A109:A117 A125:A133 A141:A149 A157:A165 A173:A181 A189:A197 A205:A213 A221:A229 A237:A245 A253:A261 A269:A277" xr:uid="{00000000-0002-0000-0B00-000001000000}">
      <formula1>$S$2:$S$13</formula1>
    </dataValidation>
  </dataValidations>
  <pageMargins left="0.7" right="0.7" top="0.75" bottom="0.75" header="0.3" footer="0.3"/>
  <pageSetup paperSize="9"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L140"/>
  <sheetViews>
    <sheetView zoomScaleNormal="100" workbookViewId="0">
      <selection activeCell="C4" sqref="C4"/>
    </sheetView>
  </sheetViews>
  <sheetFormatPr defaultRowHeight="15" x14ac:dyDescent="0.25"/>
  <cols>
    <col min="1" max="1" width="60.140625" bestFit="1" customWidth="1"/>
    <col min="2" max="2" width="19.140625" customWidth="1"/>
    <col min="3" max="3" width="20.42578125" customWidth="1"/>
    <col min="4" max="6" width="17.140625" customWidth="1"/>
    <col min="7" max="10" width="10.5703125" customWidth="1"/>
  </cols>
  <sheetData>
    <row r="1" spans="1:12" s="182" customFormat="1" ht="15.75" x14ac:dyDescent="0.25">
      <c r="A1" s="551" t="str">
        <f>_xlfn.CONCAT("Financial Plotting of ",Details!C9)</f>
        <v>Financial Plotting of 0</v>
      </c>
      <c r="B1" s="552"/>
      <c r="C1" s="552"/>
      <c r="D1" s="552"/>
      <c r="E1" s="552"/>
      <c r="F1" s="552"/>
      <c r="G1" s="552"/>
      <c r="H1" s="552"/>
      <c r="I1" s="552"/>
      <c r="J1" s="553"/>
    </row>
    <row r="2" spans="1:12" s="182" customFormat="1" ht="18.75" x14ac:dyDescent="0.3">
      <c r="A2" s="183" t="s">
        <v>797</v>
      </c>
      <c r="B2" s="184"/>
      <c r="C2" s="184"/>
      <c r="D2" s="184"/>
      <c r="E2" s="184"/>
      <c r="F2" s="184"/>
      <c r="G2" s="184"/>
      <c r="H2" s="184"/>
      <c r="I2" s="184"/>
      <c r="J2" s="185"/>
    </row>
    <row r="3" spans="1:12" s="182" customFormat="1" x14ac:dyDescent="0.25">
      <c r="A3" s="548" t="s">
        <v>589</v>
      </c>
      <c r="B3" s="215" t="s">
        <v>591</v>
      </c>
      <c r="C3" s="215" t="s">
        <v>591</v>
      </c>
      <c r="D3" s="215"/>
      <c r="E3" s="215"/>
      <c r="F3" s="215"/>
      <c r="G3" s="554" t="s">
        <v>1000</v>
      </c>
      <c r="H3" s="555"/>
      <c r="I3" s="555"/>
      <c r="J3" s="556"/>
      <c r="L3" s="214" t="s">
        <v>591</v>
      </c>
    </row>
    <row r="4" spans="1:12" s="182" customFormat="1" x14ac:dyDescent="0.25">
      <c r="A4" s="548"/>
      <c r="B4" s="353">
        <v>44197</v>
      </c>
      <c r="C4" s="353">
        <f>EOMONTH(B4,-12)</f>
        <v>43861</v>
      </c>
      <c r="D4" s="353">
        <f t="shared" ref="D4:F4" si="0">EOMONTH(C4,-12)</f>
        <v>43496</v>
      </c>
      <c r="E4" s="353">
        <f t="shared" si="0"/>
        <v>43131</v>
      </c>
      <c r="F4" s="353">
        <f t="shared" si="0"/>
        <v>42766</v>
      </c>
      <c r="G4" s="348" t="str">
        <f>YEAR(B4)&amp;"-"&amp;YEAR(C4)</f>
        <v>2021-2020</v>
      </c>
      <c r="H4" s="348" t="str">
        <f t="shared" ref="H4:J4" si="1">YEAR(C4)&amp;"-"&amp;YEAR(D4)</f>
        <v>2020-2019</v>
      </c>
      <c r="I4" s="348" t="str">
        <f t="shared" si="1"/>
        <v>2019-2018</v>
      </c>
      <c r="J4" s="348" t="str">
        <f t="shared" si="1"/>
        <v>2018-2017</v>
      </c>
      <c r="L4" s="214" t="s">
        <v>916</v>
      </c>
    </row>
    <row r="5" spans="1:12" s="182" customFormat="1" x14ac:dyDescent="0.25">
      <c r="A5" s="187" t="s">
        <v>592</v>
      </c>
      <c r="B5" s="188"/>
      <c r="C5" s="188"/>
      <c r="D5" s="188"/>
      <c r="E5" s="188"/>
      <c r="F5" s="188"/>
      <c r="G5" s="188"/>
      <c r="H5" s="188"/>
      <c r="I5" s="188"/>
      <c r="J5" s="189"/>
      <c r="L5" s="214" t="s">
        <v>1018</v>
      </c>
    </row>
    <row r="6" spans="1:12" x14ac:dyDescent="0.25">
      <c r="A6" s="238" t="s">
        <v>593</v>
      </c>
      <c r="B6" s="191"/>
      <c r="C6" s="191"/>
      <c r="D6" s="191"/>
      <c r="E6" s="191"/>
      <c r="F6" s="191"/>
      <c r="G6" s="192" t="e">
        <f t="shared" ref="G6:J10" si="2">(B6-C6)/C6</f>
        <v>#DIV/0!</v>
      </c>
      <c r="H6" s="192" t="e">
        <f t="shared" si="2"/>
        <v>#DIV/0!</v>
      </c>
      <c r="I6" s="192" t="e">
        <f t="shared" si="2"/>
        <v>#DIV/0!</v>
      </c>
      <c r="J6" s="192" t="e">
        <f t="shared" si="2"/>
        <v>#DIV/0!</v>
      </c>
    </row>
    <row r="7" spans="1:12" x14ac:dyDescent="0.25">
      <c r="A7" s="238" t="s">
        <v>594</v>
      </c>
      <c r="B7" s="193"/>
      <c r="C7" s="193"/>
      <c r="D7" s="193"/>
      <c r="E7" s="193"/>
      <c r="F7" s="193"/>
      <c r="G7" s="192" t="e">
        <f t="shared" si="2"/>
        <v>#DIV/0!</v>
      </c>
      <c r="H7" s="192" t="e">
        <f t="shared" si="2"/>
        <v>#DIV/0!</v>
      </c>
      <c r="I7" s="192" t="e">
        <f t="shared" si="2"/>
        <v>#DIV/0!</v>
      </c>
      <c r="J7" s="192" t="e">
        <f t="shared" si="2"/>
        <v>#DIV/0!</v>
      </c>
    </row>
    <row r="8" spans="1:12" s="196" customFormat="1" ht="12.75" x14ac:dyDescent="0.2">
      <c r="A8" s="194" t="s">
        <v>595</v>
      </c>
      <c r="B8" s="244">
        <f>B6-B7</f>
        <v>0</v>
      </c>
      <c r="C8" s="244">
        <f>C6-C7</f>
        <v>0</v>
      </c>
      <c r="D8" s="244">
        <f>D6-D7</f>
        <v>0</v>
      </c>
      <c r="E8" s="244">
        <f>E6-E7</f>
        <v>0</v>
      </c>
      <c r="F8" s="244">
        <f>F6-F7</f>
        <v>0</v>
      </c>
      <c r="G8" s="245" t="e">
        <f t="shared" si="2"/>
        <v>#DIV/0!</v>
      </c>
      <c r="H8" s="245" t="e">
        <f t="shared" si="2"/>
        <v>#DIV/0!</v>
      </c>
      <c r="I8" s="245" t="e">
        <f t="shared" si="2"/>
        <v>#DIV/0!</v>
      </c>
      <c r="J8" s="245" t="e">
        <f t="shared" si="2"/>
        <v>#DIV/0!</v>
      </c>
    </row>
    <row r="9" spans="1:12" x14ac:dyDescent="0.25">
      <c r="A9" s="238" t="s">
        <v>596</v>
      </c>
      <c r="B9" s="197">
        <v>0</v>
      </c>
      <c r="C9" s="197">
        <v>0</v>
      </c>
      <c r="D9" s="197"/>
      <c r="E9" s="197"/>
      <c r="F9" s="197"/>
      <c r="G9" s="192" t="e">
        <f t="shared" si="2"/>
        <v>#DIV/0!</v>
      </c>
      <c r="H9" s="192" t="e">
        <f t="shared" si="2"/>
        <v>#DIV/0!</v>
      </c>
      <c r="I9" s="192" t="e">
        <f t="shared" si="2"/>
        <v>#DIV/0!</v>
      </c>
      <c r="J9" s="192" t="e">
        <f t="shared" si="2"/>
        <v>#DIV/0!</v>
      </c>
    </row>
    <row r="10" spans="1:12" s="196" customFormat="1" ht="12.75" x14ac:dyDescent="0.2">
      <c r="A10" s="194" t="s">
        <v>597</v>
      </c>
      <c r="B10" s="244">
        <f>B8+B9</f>
        <v>0</v>
      </c>
      <c r="C10" s="244">
        <f>C8+C9</f>
        <v>0</v>
      </c>
      <c r="D10" s="244">
        <f>D8+D9</f>
        <v>0</v>
      </c>
      <c r="E10" s="244">
        <f>E8+E9</f>
        <v>0</v>
      </c>
      <c r="F10" s="244">
        <f>F8+F9</f>
        <v>0</v>
      </c>
      <c r="G10" s="245" t="e">
        <f t="shared" si="2"/>
        <v>#DIV/0!</v>
      </c>
      <c r="H10" s="245" t="e">
        <f t="shared" si="2"/>
        <v>#DIV/0!</v>
      </c>
      <c r="I10" s="245" t="e">
        <f t="shared" si="2"/>
        <v>#DIV/0!</v>
      </c>
      <c r="J10" s="245" t="e">
        <f t="shared" si="2"/>
        <v>#DIV/0!</v>
      </c>
    </row>
    <row r="11" spans="1:12" s="182" customFormat="1" x14ac:dyDescent="0.25">
      <c r="A11" s="187" t="s">
        <v>598</v>
      </c>
      <c r="B11" s="198"/>
      <c r="C11" s="198"/>
      <c r="D11" s="198"/>
      <c r="E11" s="198"/>
      <c r="F11" s="198"/>
      <c r="G11" s="246"/>
      <c r="H11" s="246"/>
      <c r="I11" s="246"/>
      <c r="J11" s="247"/>
    </row>
    <row r="12" spans="1:12" x14ac:dyDescent="0.25">
      <c r="A12" s="238" t="s">
        <v>599</v>
      </c>
      <c r="B12" s="193">
        <v>0</v>
      </c>
      <c r="C12" s="193">
        <v>0</v>
      </c>
      <c r="D12" s="193"/>
      <c r="E12" s="193"/>
      <c r="F12" s="193"/>
      <c r="G12" s="192" t="e">
        <f t="shared" ref="G12:J16" si="3">(B12-C12)/C12</f>
        <v>#DIV/0!</v>
      </c>
      <c r="H12" s="192" t="e">
        <f t="shared" si="3"/>
        <v>#DIV/0!</v>
      </c>
      <c r="I12" s="192" t="e">
        <f t="shared" si="3"/>
        <v>#DIV/0!</v>
      </c>
      <c r="J12" s="192" t="e">
        <f t="shared" si="3"/>
        <v>#DIV/0!</v>
      </c>
    </row>
    <row r="13" spans="1:12" x14ac:dyDescent="0.25">
      <c r="A13" s="238" t="s">
        <v>600</v>
      </c>
      <c r="B13" s="193">
        <v>0</v>
      </c>
      <c r="C13" s="193">
        <v>0</v>
      </c>
      <c r="D13" s="193"/>
      <c r="E13" s="193"/>
      <c r="F13" s="193"/>
      <c r="G13" s="192" t="e">
        <f t="shared" si="3"/>
        <v>#DIV/0!</v>
      </c>
      <c r="H13" s="192" t="e">
        <f t="shared" si="3"/>
        <v>#DIV/0!</v>
      </c>
      <c r="I13" s="192" t="e">
        <f t="shared" si="3"/>
        <v>#DIV/0!</v>
      </c>
      <c r="J13" s="192" t="e">
        <f t="shared" si="3"/>
        <v>#DIV/0!</v>
      </c>
    </row>
    <row r="14" spans="1:12" x14ac:dyDescent="0.25">
      <c r="A14" s="238" t="s">
        <v>607</v>
      </c>
      <c r="B14" s="193">
        <v>0</v>
      </c>
      <c r="C14" s="191">
        <v>0</v>
      </c>
      <c r="D14" s="193"/>
      <c r="E14" s="193"/>
      <c r="F14" s="191"/>
      <c r="G14" s="192" t="e">
        <f t="shared" si="3"/>
        <v>#DIV/0!</v>
      </c>
      <c r="H14" s="192" t="e">
        <f t="shared" si="3"/>
        <v>#DIV/0!</v>
      </c>
      <c r="I14" s="192" t="e">
        <f t="shared" si="3"/>
        <v>#DIV/0!</v>
      </c>
      <c r="J14" s="192" t="e">
        <f t="shared" si="3"/>
        <v>#DIV/0!</v>
      </c>
    </row>
    <row r="15" spans="1:12" s="196" customFormat="1" ht="12.75" x14ac:dyDescent="0.2">
      <c r="A15" s="194" t="s">
        <v>601</v>
      </c>
      <c r="B15" s="244">
        <f>SUM(B12:B14)</f>
        <v>0</v>
      </c>
      <c r="C15" s="244">
        <f>SUM(C12:C14)</f>
        <v>0</v>
      </c>
      <c r="D15" s="244">
        <f>SUM(D12:D14)</f>
        <v>0</v>
      </c>
      <c r="E15" s="244">
        <f>SUM(E12:E14)</f>
        <v>0</v>
      </c>
      <c r="F15" s="244">
        <f>SUM(F12:F14)</f>
        <v>0</v>
      </c>
      <c r="G15" s="245" t="e">
        <f t="shared" si="3"/>
        <v>#DIV/0!</v>
      </c>
      <c r="H15" s="245" t="e">
        <f t="shared" si="3"/>
        <v>#DIV/0!</v>
      </c>
      <c r="I15" s="245" t="e">
        <f t="shared" si="3"/>
        <v>#DIV/0!</v>
      </c>
      <c r="J15" s="245" t="e">
        <f t="shared" si="3"/>
        <v>#DIV/0!</v>
      </c>
    </row>
    <row r="16" spans="1:12" s="182" customFormat="1" x14ac:dyDescent="0.25">
      <c r="A16" s="199" t="s">
        <v>260</v>
      </c>
      <c r="B16" s="249">
        <f>B10-B15</f>
        <v>0</v>
      </c>
      <c r="C16" s="249">
        <f>C10-C15</f>
        <v>0</v>
      </c>
      <c r="D16" s="249">
        <f>D10-D15</f>
        <v>0</v>
      </c>
      <c r="E16" s="249">
        <f>E10-E15</f>
        <v>0</v>
      </c>
      <c r="F16" s="249">
        <f>F10-F15</f>
        <v>0</v>
      </c>
      <c r="G16" s="248" t="e">
        <f t="shared" si="3"/>
        <v>#DIV/0!</v>
      </c>
      <c r="H16" s="248" t="e">
        <f t="shared" si="3"/>
        <v>#DIV/0!</v>
      </c>
      <c r="I16" s="248" t="e">
        <f t="shared" si="3"/>
        <v>#DIV/0!</v>
      </c>
      <c r="J16" s="248" t="e">
        <f t="shared" si="3"/>
        <v>#DIV/0!</v>
      </c>
    </row>
    <row r="17" spans="1:10" s="182" customFormat="1" x14ac:dyDescent="0.25">
      <c r="A17" s="187" t="s">
        <v>602</v>
      </c>
      <c r="B17" s="198"/>
      <c r="C17" s="198"/>
      <c r="D17" s="198"/>
      <c r="E17" s="198"/>
      <c r="F17" s="198"/>
      <c r="G17" s="246"/>
      <c r="H17" s="246"/>
      <c r="I17" s="246"/>
      <c r="J17" s="247"/>
    </row>
    <row r="18" spans="1:10" x14ac:dyDescent="0.25">
      <c r="A18" s="238" t="s">
        <v>603</v>
      </c>
      <c r="B18" s="193">
        <v>0</v>
      </c>
      <c r="C18" s="193">
        <v>0</v>
      </c>
      <c r="D18" s="193"/>
      <c r="E18" s="193"/>
      <c r="F18" s="193"/>
      <c r="G18" s="192" t="e">
        <f t="shared" ref="G18:J35" si="4">(B18-C18)/C18</f>
        <v>#DIV/0!</v>
      </c>
      <c r="H18" s="192" t="e">
        <f t="shared" si="4"/>
        <v>#DIV/0!</v>
      </c>
      <c r="I18" s="192" t="e">
        <f t="shared" si="4"/>
        <v>#DIV/0!</v>
      </c>
      <c r="J18" s="192" t="e">
        <f t="shared" si="4"/>
        <v>#DIV/0!</v>
      </c>
    </row>
    <row r="19" spans="1:10" x14ac:dyDescent="0.25">
      <c r="A19" s="238" t="s">
        <v>604</v>
      </c>
      <c r="B19" s="193"/>
      <c r="C19" s="193"/>
      <c r="D19" s="193"/>
      <c r="E19" s="193"/>
      <c r="F19" s="193"/>
      <c r="G19" s="192" t="e">
        <f t="shared" si="4"/>
        <v>#DIV/0!</v>
      </c>
      <c r="H19" s="192" t="e">
        <f t="shared" si="4"/>
        <v>#DIV/0!</v>
      </c>
      <c r="I19" s="192" t="e">
        <f t="shared" si="4"/>
        <v>#DIV/0!</v>
      </c>
      <c r="J19" s="192" t="e">
        <f t="shared" si="4"/>
        <v>#DIV/0!</v>
      </c>
    </row>
    <row r="20" spans="1:10" s="196" customFormat="1" ht="12.75" x14ac:dyDescent="0.2">
      <c r="A20" s="194" t="s">
        <v>605</v>
      </c>
      <c r="B20" s="244">
        <f>SUM(B18:B19)</f>
        <v>0</v>
      </c>
      <c r="C20" s="244">
        <f>SUM(C18:C19)</f>
        <v>0</v>
      </c>
      <c r="D20" s="244">
        <f>SUM(D18:D19)</f>
        <v>0</v>
      </c>
      <c r="E20" s="244">
        <f>SUM(E18:E19)</f>
        <v>0</v>
      </c>
      <c r="F20" s="244">
        <f>SUM(F18:F19)</f>
        <v>0</v>
      </c>
      <c r="G20" s="245" t="e">
        <f t="shared" si="4"/>
        <v>#DIV/0!</v>
      </c>
      <c r="H20" s="245" t="e">
        <f t="shared" si="4"/>
        <v>#DIV/0!</v>
      </c>
      <c r="I20" s="245" t="e">
        <f t="shared" si="4"/>
        <v>#DIV/0!</v>
      </c>
      <c r="J20" s="245" t="e">
        <f t="shared" si="4"/>
        <v>#DIV/0!</v>
      </c>
    </row>
    <row r="21" spans="1:10" s="182" customFormat="1" x14ac:dyDescent="0.25">
      <c r="A21" s="199" t="s">
        <v>606</v>
      </c>
      <c r="B21" s="249">
        <f>B10-B15-B20+B14</f>
        <v>0</v>
      </c>
      <c r="C21" s="249">
        <f>C10-C15-C20+C14</f>
        <v>0</v>
      </c>
      <c r="D21" s="249">
        <f>D10-D15-D20+D14</f>
        <v>0</v>
      </c>
      <c r="E21" s="249">
        <f>E10-E15-E20+E14</f>
        <v>0</v>
      </c>
      <c r="F21" s="249">
        <f>F10-F15-F20+F14</f>
        <v>0</v>
      </c>
      <c r="G21" s="248" t="e">
        <f t="shared" si="4"/>
        <v>#DIV/0!</v>
      </c>
      <c r="H21" s="248" t="e">
        <f t="shared" si="4"/>
        <v>#DIV/0!</v>
      </c>
      <c r="I21" s="248" t="e">
        <f t="shared" si="4"/>
        <v>#DIV/0!</v>
      </c>
      <c r="J21" s="248" t="e">
        <f t="shared" si="4"/>
        <v>#DIV/0!</v>
      </c>
    </row>
    <row r="22" spans="1:10" s="182" customFormat="1" x14ac:dyDescent="0.25">
      <c r="A22" s="199" t="s">
        <v>608</v>
      </c>
      <c r="B22" s="249">
        <f>B21-B14</f>
        <v>0</v>
      </c>
      <c r="C22" s="249">
        <f>C21-C14</f>
        <v>0</v>
      </c>
      <c r="D22" s="249">
        <f>D21-D14</f>
        <v>0</v>
      </c>
      <c r="E22" s="249">
        <f>E21-E14</f>
        <v>0</v>
      </c>
      <c r="F22" s="249">
        <f>F21-F14</f>
        <v>0</v>
      </c>
      <c r="G22" s="248" t="e">
        <f t="shared" si="4"/>
        <v>#DIV/0!</v>
      </c>
      <c r="H22" s="248" t="e">
        <f t="shared" si="4"/>
        <v>#DIV/0!</v>
      </c>
      <c r="I22" s="248" t="e">
        <f t="shared" si="4"/>
        <v>#DIV/0!</v>
      </c>
      <c r="J22" s="248" t="e">
        <f t="shared" si="4"/>
        <v>#DIV/0!</v>
      </c>
    </row>
    <row r="23" spans="1:10" x14ac:dyDescent="0.25">
      <c r="A23" s="238" t="s">
        <v>609</v>
      </c>
      <c r="B23" s="193">
        <v>0</v>
      </c>
      <c r="C23" s="193">
        <v>0</v>
      </c>
      <c r="D23" s="193"/>
      <c r="E23" s="193"/>
      <c r="F23" s="193"/>
      <c r="G23" s="192" t="e">
        <f t="shared" si="4"/>
        <v>#DIV/0!</v>
      </c>
      <c r="H23" s="192" t="e">
        <f t="shared" si="4"/>
        <v>#DIV/0!</v>
      </c>
      <c r="I23" s="192" t="e">
        <f t="shared" si="4"/>
        <v>#DIV/0!</v>
      </c>
      <c r="J23" s="192" t="e">
        <f t="shared" si="4"/>
        <v>#DIV/0!</v>
      </c>
    </row>
    <row r="24" spans="1:10" s="182" customFormat="1" x14ac:dyDescent="0.25">
      <c r="A24" s="199" t="s">
        <v>610</v>
      </c>
      <c r="B24" s="249">
        <f>B22-B23</f>
        <v>0</v>
      </c>
      <c r="C24" s="249">
        <f>C22-C23</f>
        <v>0</v>
      </c>
      <c r="D24" s="249">
        <f>D22-D23</f>
        <v>0</v>
      </c>
      <c r="E24" s="249">
        <f>E22-E23</f>
        <v>0</v>
      </c>
      <c r="F24" s="249">
        <f>F22-F23</f>
        <v>0</v>
      </c>
      <c r="G24" s="248" t="e">
        <f t="shared" si="4"/>
        <v>#DIV/0!</v>
      </c>
      <c r="H24" s="248" t="e">
        <f t="shared" si="4"/>
        <v>#DIV/0!</v>
      </c>
      <c r="I24" s="248" t="e">
        <f t="shared" si="4"/>
        <v>#DIV/0!</v>
      </c>
      <c r="J24" s="248" t="e">
        <f t="shared" si="4"/>
        <v>#DIV/0!</v>
      </c>
    </row>
    <row r="25" spans="1:10" x14ac:dyDescent="0.25">
      <c r="A25" s="238" t="s">
        <v>611</v>
      </c>
      <c r="B25" s="193">
        <v>0</v>
      </c>
      <c r="C25" s="193">
        <v>0</v>
      </c>
      <c r="D25" s="193"/>
      <c r="E25" s="193"/>
      <c r="F25" s="193"/>
      <c r="G25" s="192" t="e">
        <f t="shared" si="4"/>
        <v>#DIV/0!</v>
      </c>
      <c r="H25" s="192" t="e">
        <f t="shared" si="4"/>
        <v>#DIV/0!</v>
      </c>
      <c r="I25" s="192" t="e">
        <f t="shared" si="4"/>
        <v>#DIV/0!</v>
      </c>
      <c r="J25" s="192" t="e">
        <f t="shared" si="4"/>
        <v>#DIV/0!</v>
      </c>
    </row>
    <row r="26" spans="1:10" x14ac:dyDescent="0.25">
      <c r="A26" s="238" t="s">
        <v>612</v>
      </c>
      <c r="B26" s="193"/>
      <c r="C26" s="193"/>
      <c r="D26" s="193"/>
      <c r="E26" s="193"/>
      <c r="F26" s="193"/>
      <c r="G26" s="192" t="e">
        <f t="shared" si="4"/>
        <v>#DIV/0!</v>
      </c>
      <c r="H26" s="192" t="e">
        <f t="shared" si="4"/>
        <v>#DIV/0!</v>
      </c>
      <c r="I26" s="192" t="e">
        <f t="shared" si="4"/>
        <v>#DIV/0!</v>
      </c>
      <c r="J26" s="192" t="e">
        <f t="shared" si="4"/>
        <v>#DIV/0!</v>
      </c>
    </row>
    <row r="27" spans="1:10" s="182" customFormat="1" x14ac:dyDescent="0.25">
      <c r="A27" s="199" t="s">
        <v>613</v>
      </c>
      <c r="B27" s="249">
        <f>B24+B25-B26</f>
        <v>0</v>
      </c>
      <c r="C27" s="249">
        <f>C24+C25-C26</f>
        <v>0</v>
      </c>
      <c r="D27" s="249">
        <f>D24+D25-D26</f>
        <v>0</v>
      </c>
      <c r="E27" s="249">
        <f>E24+E25-E26</f>
        <v>0</v>
      </c>
      <c r="F27" s="249">
        <f>F24+F25-F26</f>
        <v>0</v>
      </c>
      <c r="G27" s="248" t="e">
        <f t="shared" si="4"/>
        <v>#DIV/0!</v>
      </c>
      <c r="H27" s="248" t="e">
        <f t="shared" si="4"/>
        <v>#DIV/0!</v>
      </c>
      <c r="I27" s="248" t="e">
        <f t="shared" si="4"/>
        <v>#DIV/0!</v>
      </c>
      <c r="J27" s="248" t="e">
        <f t="shared" si="4"/>
        <v>#DIV/0!</v>
      </c>
    </row>
    <row r="28" spans="1:10" x14ac:dyDescent="0.25">
      <c r="A28" s="239" t="s">
        <v>614</v>
      </c>
      <c r="B28" s="193">
        <v>0</v>
      </c>
      <c r="C28" s="193">
        <v>0</v>
      </c>
      <c r="D28" s="191"/>
      <c r="E28" s="193"/>
      <c r="F28" s="193"/>
      <c r="G28" s="192" t="e">
        <f t="shared" si="4"/>
        <v>#DIV/0!</v>
      </c>
      <c r="H28" s="192" t="e">
        <f t="shared" si="4"/>
        <v>#DIV/0!</v>
      </c>
      <c r="I28" s="192" t="e">
        <f t="shared" si="4"/>
        <v>#DIV/0!</v>
      </c>
      <c r="J28" s="192" t="e">
        <f t="shared" si="4"/>
        <v>#DIV/0!</v>
      </c>
    </row>
    <row r="29" spans="1:10" s="182" customFormat="1" x14ac:dyDescent="0.25">
      <c r="A29" s="199" t="s">
        <v>615</v>
      </c>
      <c r="B29" s="249">
        <f>B27-B28</f>
        <v>0</v>
      </c>
      <c r="C29" s="249">
        <f>C27-C28</f>
        <v>0</v>
      </c>
      <c r="D29" s="249">
        <f>D27-D28</f>
        <v>0</v>
      </c>
      <c r="E29" s="249">
        <f>E27-E28</f>
        <v>0</v>
      </c>
      <c r="F29" s="249">
        <f>F27-F28</f>
        <v>0</v>
      </c>
      <c r="G29" s="248" t="e">
        <f t="shared" si="4"/>
        <v>#DIV/0!</v>
      </c>
      <c r="H29" s="248" t="e">
        <f t="shared" si="4"/>
        <v>#DIV/0!</v>
      </c>
      <c r="I29" s="248" t="e">
        <f t="shared" si="4"/>
        <v>#DIV/0!</v>
      </c>
      <c r="J29" s="248" t="e">
        <f t="shared" si="4"/>
        <v>#DIV/0!</v>
      </c>
    </row>
    <row r="30" spans="1:10" s="182" customFormat="1" x14ac:dyDescent="0.25">
      <c r="A30" s="199" t="s">
        <v>616</v>
      </c>
      <c r="B30" s="249">
        <f>B29+B14+B19+B32+B33</f>
        <v>0</v>
      </c>
      <c r="C30" s="249">
        <f>C29+C14+C19+C32+C33</f>
        <v>0</v>
      </c>
      <c r="D30" s="249">
        <f>D29+D14+D19+D32+D33</f>
        <v>0</v>
      </c>
      <c r="E30" s="249">
        <f>E29+E14+E19+E32+E33</f>
        <v>0</v>
      </c>
      <c r="F30" s="249">
        <f>F29+F14+F19+F32+F33</f>
        <v>0</v>
      </c>
      <c r="G30" s="248" t="e">
        <f t="shared" si="4"/>
        <v>#DIV/0!</v>
      </c>
      <c r="H30" s="248" t="e">
        <f t="shared" si="4"/>
        <v>#DIV/0!</v>
      </c>
      <c r="I30" s="248" t="e">
        <f t="shared" si="4"/>
        <v>#DIV/0!</v>
      </c>
      <c r="J30" s="248" t="e">
        <f t="shared" si="4"/>
        <v>#DIV/0!</v>
      </c>
    </row>
    <row r="31" spans="1:10" x14ac:dyDescent="0.25">
      <c r="A31" s="238" t="s">
        <v>617</v>
      </c>
      <c r="B31" s="191"/>
      <c r="C31" s="191"/>
      <c r="D31" s="191"/>
      <c r="E31" s="191"/>
      <c r="F31" s="191"/>
      <c r="G31" s="192" t="e">
        <f t="shared" si="4"/>
        <v>#DIV/0!</v>
      </c>
      <c r="H31" s="192" t="e">
        <f t="shared" si="4"/>
        <v>#DIV/0!</v>
      </c>
      <c r="I31" s="192" t="e">
        <f t="shared" si="4"/>
        <v>#DIV/0!</v>
      </c>
      <c r="J31" s="192" t="e">
        <f t="shared" si="4"/>
        <v>#DIV/0!</v>
      </c>
    </row>
    <row r="32" spans="1:10" x14ac:dyDescent="0.25">
      <c r="A32" s="238" t="s">
        <v>618</v>
      </c>
      <c r="B32" s="191"/>
      <c r="C32" s="191"/>
      <c r="D32" s="191"/>
      <c r="E32" s="191"/>
      <c r="F32" s="191"/>
      <c r="G32" s="192" t="e">
        <f t="shared" si="4"/>
        <v>#DIV/0!</v>
      </c>
      <c r="H32" s="192" t="e">
        <f t="shared" si="4"/>
        <v>#DIV/0!</v>
      </c>
      <c r="I32" s="192" t="e">
        <f t="shared" si="4"/>
        <v>#DIV/0!</v>
      </c>
      <c r="J32" s="192" t="e">
        <f t="shared" si="4"/>
        <v>#DIV/0!</v>
      </c>
    </row>
    <row r="33" spans="1:10" x14ac:dyDescent="0.25">
      <c r="A33" s="238" t="s">
        <v>619</v>
      </c>
      <c r="B33" s="191"/>
      <c r="C33" s="191"/>
      <c r="D33" s="191"/>
      <c r="E33" s="191"/>
      <c r="F33" s="191"/>
      <c r="G33" s="192" t="e">
        <f t="shared" si="4"/>
        <v>#DIV/0!</v>
      </c>
      <c r="H33" s="192" t="e">
        <f t="shared" si="4"/>
        <v>#DIV/0!</v>
      </c>
      <c r="I33" s="192" t="e">
        <f t="shared" si="4"/>
        <v>#DIV/0!</v>
      </c>
      <c r="J33" s="192" t="e">
        <f t="shared" si="4"/>
        <v>#DIV/0!</v>
      </c>
    </row>
    <row r="34" spans="1:10" x14ac:dyDescent="0.25">
      <c r="A34" s="238" t="s">
        <v>620</v>
      </c>
      <c r="B34" s="191"/>
      <c r="C34" s="191"/>
      <c r="D34" s="191"/>
      <c r="E34" s="191"/>
      <c r="F34" s="191"/>
      <c r="G34" s="192" t="e">
        <f t="shared" si="4"/>
        <v>#DIV/0!</v>
      </c>
      <c r="H34" s="192" t="e">
        <f t="shared" si="4"/>
        <v>#DIV/0!</v>
      </c>
      <c r="I34" s="192" t="e">
        <f t="shared" si="4"/>
        <v>#DIV/0!</v>
      </c>
      <c r="J34" s="192" t="e">
        <f t="shared" si="4"/>
        <v>#DIV/0!</v>
      </c>
    </row>
    <row r="35" spans="1:10" s="182" customFormat="1" x14ac:dyDescent="0.25">
      <c r="A35" s="199" t="s">
        <v>621</v>
      </c>
      <c r="B35" s="249">
        <f>B30-B31-B32-B33</f>
        <v>0</v>
      </c>
      <c r="C35" s="249">
        <f>C30-C31-C32-C33</f>
        <v>0</v>
      </c>
      <c r="D35" s="249">
        <f>D30-D31-D32-D33</f>
        <v>0</v>
      </c>
      <c r="E35" s="249">
        <f>E30-E31-E32-E33</f>
        <v>0</v>
      </c>
      <c r="F35" s="249">
        <f>F30-F31-F32-F33</f>
        <v>0</v>
      </c>
      <c r="G35" s="248" t="e">
        <f t="shared" si="4"/>
        <v>#DIV/0!</v>
      </c>
      <c r="H35" s="248" t="e">
        <f t="shared" si="4"/>
        <v>#DIV/0!</v>
      </c>
      <c r="I35" s="248" t="e">
        <f t="shared" si="4"/>
        <v>#DIV/0!</v>
      </c>
      <c r="J35" s="248" t="e">
        <f t="shared" si="4"/>
        <v>#DIV/0!</v>
      </c>
    </row>
    <row r="36" spans="1:10" ht="18.75" x14ac:dyDescent="0.3">
      <c r="A36" s="183" t="s">
        <v>798</v>
      </c>
      <c r="B36" s="184"/>
      <c r="C36" s="184"/>
      <c r="D36" s="184"/>
      <c r="E36" s="184"/>
      <c r="F36" s="184"/>
      <c r="G36" s="184"/>
      <c r="H36" s="184"/>
      <c r="I36" s="184"/>
      <c r="J36" s="185"/>
    </row>
    <row r="37" spans="1:10" x14ac:dyDescent="0.25">
      <c r="A37" s="557" t="s">
        <v>791</v>
      </c>
      <c r="B37" s="186" t="str">
        <f>B$3</f>
        <v>Audited</v>
      </c>
      <c r="C37" s="186" t="str">
        <f t="shared" ref="C37:F37" si="5">C$3</f>
        <v>Audited</v>
      </c>
      <c r="D37" s="186">
        <f t="shared" si="5"/>
        <v>0</v>
      </c>
      <c r="E37" s="186">
        <f t="shared" si="5"/>
        <v>0</v>
      </c>
      <c r="F37" s="186">
        <f t="shared" si="5"/>
        <v>0</v>
      </c>
      <c r="G37" s="554" t="s">
        <v>1000</v>
      </c>
      <c r="H37" s="555"/>
      <c r="I37" s="555"/>
      <c r="J37" s="556"/>
    </row>
    <row r="38" spans="1:10" x14ac:dyDescent="0.25">
      <c r="A38" s="558"/>
      <c r="B38" s="349">
        <f>B$4</f>
        <v>44197</v>
      </c>
      <c r="C38" s="349">
        <f t="shared" ref="C38:F38" si="6">C$4</f>
        <v>43861</v>
      </c>
      <c r="D38" s="349">
        <f t="shared" si="6"/>
        <v>43496</v>
      </c>
      <c r="E38" s="349">
        <f t="shared" si="6"/>
        <v>43131</v>
      </c>
      <c r="F38" s="349">
        <f t="shared" si="6"/>
        <v>42766</v>
      </c>
      <c r="G38" s="349" t="str">
        <f>G4</f>
        <v>2021-2020</v>
      </c>
      <c r="H38" s="349" t="str">
        <f t="shared" ref="H38:J38" si="7">H4</f>
        <v>2020-2019</v>
      </c>
      <c r="I38" s="349" t="str">
        <f t="shared" si="7"/>
        <v>2019-2018</v>
      </c>
      <c r="J38" s="349" t="str">
        <f t="shared" si="7"/>
        <v>2018-2017</v>
      </c>
    </row>
    <row r="39" spans="1:10" s="182" customFormat="1" x14ac:dyDescent="0.25">
      <c r="A39" s="187" t="s">
        <v>788</v>
      </c>
      <c r="B39" s="188"/>
      <c r="C39" s="188"/>
      <c r="D39" s="188"/>
      <c r="E39" s="188"/>
      <c r="F39" s="188"/>
      <c r="G39" s="188"/>
      <c r="H39" s="188"/>
      <c r="I39" s="188"/>
      <c r="J39" s="189"/>
    </row>
    <row r="40" spans="1:10" x14ac:dyDescent="0.25">
      <c r="A40" s="238" t="s">
        <v>1006</v>
      </c>
      <c r="B40" s="191">
        <v>0</v>
      </c>
      <c r="C40" s="191">
        <v>0</v>
      </c>
      <c r="D40" s="191"/>
      <c r="E40" s="191"/>
      <c r="F40" s="191"/>
      <c r="G40" s="192" t="e">
        <f t="shared" ref="G40:J46" si="8">(B40-C40)/C40</f>
        <v>#DIV/0!</v>
      </c>
      <c r="H40" s="192" t="e">
        <f t="shared" si="8"/>
        <v>#DIV/0!</v>
      </c>
      <c r="I40" s="192" t="e">
        <f t="shared" si="8"/>
        <v>#DIV/0!</v>
      </c>
      <c r="J40" s="192" t="e">
        <f t="shared" si="8"/>
        <v>#DIV/0!</v>
      </c>
    </row>
    <row r="41" spans="1:10" x14ac:dyDescent="0.25">
      <c r="A41" s="238" t="s">
        <v>622</v>
      </c>
      <c r="B41" s="191">
        <v>0</v>
      </c>
      <c r="C41" s="191">
        <v>0</v>
      </c>
      <c r="D41" s="191"/>
      <c r="E41" s="191"/>
      <c r="F41" s="191"/>
      <c r="G41" s="192" t="e">
        <f t="shared" si="8"/>
        <v>#DIV/0!</v>
      </c>
      <c r="H41" s="192" t="e">
        <f t="shared" si="8"/>
        <v>#DIV/0!</v>
      </c>
      <c r="I41" s="192" t="e">
        <f t="shared" si="8"/>
        <v>#DIV/0!</v>
      </c>
      <c r="J41" s="192" t="e">
        <f t="shared" si="8"/>
        <v>#DIV/0!</v>
      </c>
    </row>
    <row r="42" spans="1:10" x14ac:dyDescent="0.25">
      <c r="A42" s="194" t="s">
        <v>623</v>
      </c>
      <c r="B42" s="244">
        <f>B40+B41</f>
        <v>0</v>
      </c>
      <c r="C42" s="244">
        <f>C40+C41</f>
        <v>0</v>
      </c>
      <c r="D42" s="244">
        <f>D40+D41</f>
        <v>0</v>
      </c>
      <c r="E42" s="244">
        <f>E40+E41</f>
        <v>0</v>
      </c>
      <c r="F42" s="244">
        <f>F40+F41</f>
        <v>0</v>
      </c>
      <c r="G42" s="195" t="e">
        <f t="shared" si="8"/>
        <v>#DIV/0!</v>
      </c>
      <c r="H42" s="195" t="e">
        <f t="shared" si="8"/>
        <v>#DIV/0!</v>
      </c>
      <c r="I42" s="195" t="e">
        <f t="shared" si="8"/>
        <v>#DIV/0!</v>
      </c>
      <c r="J42" s="195" t="e">
        <f t="shared" si="8"/>
        <v>#DIV/0!</v>
      </c>
    </row>
    <row r="43" spans="1:10" x14ac:dyDescent="0.25">
      <c r="A43" s="238" t="s">
        <v>624</v>
      </c>
      <c r="B43" s="191"/>
      <c r="C43" s="191"/>
      <c r="D43" s="191"/>
      <c r="E43" s="191"/>
      <c r="F43" s="191"/>
      <c r="G43" s="192" t="e">
        <f t="shared" si="8"/>
        <v>#DIV/0!</v>
      </c>
      <c r="H43" s="192" t="e">
        <f t="shared" si="8"/>
        <v>#DIV/0!</v>
      </c>
      <c r="I43" s="192" t="e">
        <f t="shared" si="8"/>
        <v>#DIV/0!</v>
      </c>
      <c r="J43" s="192" t="e">
        <f t="shared" si="8"/>
        <v>#DIV/0!</v>
      </c>
    </row>
    <row r="44" spans="1:10" x14ac:dyDescent="0.25">
      <c r="A44" s="238" t="s">
        <v>625</v>
      </c>
      <c r="B44" s="191"/>
      <c r="C44" s="191"/>
      <c r="D44" s="191"/>
      <c r="E44" s="191"/>
      <c r="F44" s="191"/>
      <c r="G44" s="192" t="e">
        <f t="shared" si="8"/>
        <v>#DIV/0!</v>
      </c>
      <c r="H44" s="192" t="e">
        <f t="shared" si="8"/>
        <v>#DIV/0!</v>
      </c>
      <c r="I44" s="192" t="e">
        <f t="shared" si="8"/>
        <v>#DIV/0!</v>
      </c>
      <c r="J44" s="192" t="e">
        <f t="shared" si="8"/>
        <v>#DIV/0!</v>
      </c>
    </row>
    <row r="45" spans="1:10" x14ac:dyDescent="0.25">
      <c r="A45" s="238" t="s">
        <v>626</v>
      </c>
      <c r="B45" s="191"/>
      <c r="C45" s="191"/>
      <c r="D45" s="191"/>
      <c r="E45" s="191"/>
      <c r="F45" s="191"/>
      <c r="G45" s="192" t="e">
        <f t="shared" si="8"/>
        <v>#DIV/0!</v>
      </c>
      <c r="H45" s="192" t="e">
        <f t="shared" si="8"/>
        <v>#DIV/0!</v>
      </c>
      <c r="I45" s="192" t="e">
        <f t="shared" si="8"/>
        <v>#DIV/0!</v>
      </c>
      <c r="J45" s="192" t="e">
        <f t="shared" si="8"/>
        <v>#DIV/0!</v>
      </c>
    </row>
    <row r="46" spans="1:10" x14ac:dyDescent="0.25">
      <c r="A46" s="194" t="s">
        <v>627</v>
      </c>
      <c r="B46" s="244">
        <f>B42-B43-B44-B45-B81</f>
        <v>0</v>
      </c>
      <c r="C46" s="244">
        <f>C42-C43-C44-C45-C81</f>
        <v>0</v>
      </c>
      <c r="D46" s="244">
        <f>D42-D43-D44-D45-D81</f>
        <v>0</v>
      </c>
      <c r="E46" s="244">
        <f>E42-E43-E44-E45-E81</f>
        <v>0</v>
      </c>
      <c r="F46" s="244">
        <f>F42-F43-F44-F45-F81</f>
        <v>0</v>
      </c>
      <c r="G46" s="195" t="e">
        <f t="shared" si="8"/>
        <v>#DIV/0!</v>
      </c>
      <c r="H46" s="195" t="e">
        <f t="shared" si="8"/>
        <v>#DIV/0!</v>
      </c>
      <c r="I46" s="195" t="e">
        <f t="shared" si="8"/>
        <v>#DIV/0!</v>
      </c>
      <c r="J46" s="195" t="e">
        <f t="shared" si="8"/>
        <v>#DIV/0!</v>
      </c>
    </row>
    <row r="47" spans="1:10" s="182" customFormat="1" x14ac:dyDescent="0.25">
      <c r="A47" s="187" t="s">
        <v>789</v>
      </c>
      <c r="B47" s="198"/>
      <c r="C47" s="198"/>
      <c r="D47" s="198"/>
      <c r="E47" s="198"/>
      <c r="F47" s="198"/>
      <c r="G47" s="188"/>
      <c r="H47" s="188"/>
      <c r="I47" s="188"/>
      <c r="J47" s="189"/>
    </row>
    <row r="48" spans="1:10" x14ac:dyDescent="0.25">
      <c r="A48" s="238" t="s">
        <v>628</v>
      </c>
      <c r="B48" s="191"/>
      <c r="C48" s="191"/>
      <c r="D48" s="191"/>
      <c r="E48" s="191"/>
      <c r="F48" s="191"/>
      <c r="G48" s="192" t="e">
        <f t="shared" ref="G48:J54" si="9">(B48-C48)/C48</f>
        <v>#DIV/0!</v>
      </c>
      <c r="H48" s="192" t="e">
        <f t="shared" si="9"/>
        <v>#DIV/0!</v>
      </c>
      <c r="I48" s="192" t="e">
        <f t="shared" si="9"/>
        <v>#DIV/0!</v>
      </c>
      <c r="J48" s="192" t="e">
        <f t="shared" si="9"/>
        <v>#DIV/0!</v>
      </c>
    </row>
    <row r="49" spans="1:10" x14ac:dyDescent="0.25">
      <c r="A49" s="238" t="s">
        <v>630</v>
      </c>
      <c r="B49" s="191">
        <v>0</v>
      </c>
      <c r="C49" s="191">
        <v>0</v>
      </c>
      <c r="D49" s="191"/>
      <c r="E49" s="191"/>
      <c r="F49" s="191"/>
      <c r="G49" s="192" t="e">
        <f t="shared" si="9"/>
        <v>#DIV/0!</v>
      </c>
      <c r="H49" s="192" t="e">
        <f t="shared" si="9"/>
        <v>#DIV/0!</v>
      </c>
      <c r="I49" s="192" t="e">
        <f t="shared" si="9"/>
        <v>#DIV/0!</v>
      </c>
      <c r="J49" s="192" t="e">
        <f t="shared" si="9"/>
        <v>#DIV/0!</v>
      </c>
    </row>
    <row r="50" spans="1:10" x14ac:dyDescent="0.25">
      <c r="A50" s="238" t="s">
        <v>631</v>
      </c>
      <c r="B50" s="191">
        <v>0</v>
      </c>
      <c r="C50" s="191">
        <v>0</v>
      </c>
      <c r="D50" s="191"/>
      <c r="E50" s="191"/>
      <c r="F50" s="191"/>
      <c r="G50" s="192" t="e">
        <f t="shared" si="9"/>
        <v>#DIV/0!</v>
      </c>
      <c r="H50" s="192" t="e">
        <f t="shared" si="9"/>
        <v>#DIV/0!</v>
      </c>
      <c r="I50" s="192" t="e">
        <f t="shared" si="9"/>
        <v>#DIV/0!</v>
      </c>
      <c r="J50" s="192" t="e">
        <f t="shared" si="9"/>
        <v>#DIV/0!</v>
      </c>
    </row>
    <row r="51" spans="1:10" x14ac:dyDescent="0.25">
      <c r="A51" s="238" t="s">
        <v>1007</v>
      </c>
      <c r="B51" s="197"/>
      <c r="C51" s="197"/>
      <c r="D51" s="197"/>
      <c r="E51" s="197"/>
      <c r="F51" s="197"/>
      <c r="G51" s="192" t="e">
        <f t="shared" si="9"/>
        <v>#DIV/0!</v>
      </c>
      <c r="H51" s="192" t="e">
        <f t="shared" si="9"/>
        <v>#DIV/0!</v>
      </c>
      <c r="I51" s="192" t="e">
        <f t="shared" si="9"/>
        <v>#DIV/0!</v>
      </c>
      <c r="J51" s="192" t="e">
        <f t="shared" si="9"/>
        <v>#DIV/0!</v>
      </c>
    </row>
    <row r="52" spans="1:10" x14ac:dyDescent="0.25">
      <c r="A52" s="238" t="s">
        <v>1008</v>
      </c>
      <c r="B52" s="197"/>
      <c r="C52" s="197"/>
      <c r="D52" s="197"/>
      <c r="E52" s="197"/>
      <c r="F52" s="197"/>
      <c r="G52" s="192" t="e">
        <f t="shared" si="9"/>
        <v>#DIV/0!</v>
      </c>
      <c r="H52" s="192" t="e">
        <f t="shared" si="9"/>
        <v>#DIV/0!</v>
      </c>
      <c r="I52" s="192" t="e">
        <f t="shared" si="9"/>
        <v>#DIV/0!</v>
      </c>
      <c r="J52" s="192" t="e">
        <f t="shared" si="9"/>
        <v>#DIV/0!</v>
      </c>
    </row>
    <row r="53" spans="1:10" x14ac:dyDescent="0.25">
      <c r="A53" s="238" t="s">
        <v>1009</v>
      </c>
      <c r="B53" s="197"/>
      <c r="C53" s="197"/>
      <c r="D53" s="197"/>
      <c r="E53" s="197"/>
      <c r="F53" s="197"/>
      <c r="G53" s="192" t="e">
        <f t="shared" si="9"/>
        <v>#DIV/0!</v>
      </c>
      <c r="H53" s="192" t="e">
        <f t="shared" si="9"/>
        <v>#DIV/0!</v>
      </c>
      <c r="I53" s="192" t="e">
        <f t="shared" si="9"/>
        <v>#DIV/0!</v>
      </c>
      <c r="J53" s="192" t="e">
        <f t="shared" si="9"/>
        <v>#DIV/0!</v>
      </c>
    </row>
    <row r="54" spans="1:10" x14ac:dyDescent="0.25">
      <c r="A54" s="194" t="s">
        <v>632</v>
      </c>
      <c r="B54" s="244">
        <f>SUM(B48:B53)</f>
        <v>0</v>
      </c>
      <c r="C54" s="244">
        <f>SUM(C48:C53)</f>
        <v>0</v>
      </c>
      <c r="D54" s="244">
        <f>SUM(D48:D53)</f>
        <v>0</v>
      </c>
      <c r="E54" s="244">
        <f>SUM(E48:E53)</f>
        <v>0</v>
      </c>
      <c r="F54" s="244">
        <f>SUM(F48:F53)</f>
        <v>0</v>
      </c>
      <c r="G54" s="195" t="e">
        <f t="shared" si="9"/>
        <v>#DIV/0!</v>
      </c>
      <c r="H54" s="195" t="e">
        <f t="shared" si="9"/>
        <v>#DIV/0!</v>
      </c>
      <c r="I54" s="195" t="e">
        <f t="shared" si="9"/>
        <v>#DIV/0!</v>
      </c>
      <c r="J54" s="195" t="e">
        <f t="shared" si="9"/>
        <v>#DIV/0!</v>
      </c>
    </row>
    <row r="55" spans="1:10" s="182" customFormat="1" x14ac:dyDescent="0.25">
      <c r="A55" s="187" t="s">
        <v>790</v>
      </c>
      <c r="B55" s="198"/>
      <c r="C55" s="198"/>
      <c r="D55" s="198"/>
      <c r="E55" s="198"/>
      <c r="F55" s="198"/>
      <c r="G55" s="188"/>
      <c r="H55" s="188"/>
      <c r="I55" s="188"/>
      <c r="J55" s="189"/>
    </row>
    <row r="56" spans="1:10" x14ac:dyDescent="0.25">
      <c r="A56" s="238" t="s">
        <v>633</v>
      </c>
      <c r="B56" s="191"/>
      <c r="C56" s="191"/>
      <c r="D56" s="191"/>
      <c r="E56" s="191"/>
      <c r="F56" s="191"/>
      <c r="G56" s="192" t="e">
        <f t="shared" ref="G56:J67" si="10">(B56-C56)/C56</f>
        <v>#DIV/0!</v>
      </c>
      <c r="H56" s="192" t="e">
        <f t="shared" si="10"/>
        <v>#DIV/0!</v>
      </c>
      <c r="I56" s="192" t="e">
        <f t="shared" si="10"/>
        <v>#DIV/0!</v>
      </c>
      <c r="J56" s="192" t="e">
        <f t="shared" si="10"/>
        <v>#DIV/0!</v>
      </c>
    </row>
    <row r="57" spans="1:10" x14ac:dyDescent="0.25">
      <c r="A57" s="238" t="s">
        <v>634</v>
      </c>
      <c r="B57" s="191">
        <v>0</v>
      </c>
      <c r="C57" s="191">
        <v>0</v>
      </c>
      <c r="D57" s="191"/>
      <c r="E57" s="191"/>
      <c r="F57" s="191"/>
      <c r="G57" s="192" t="e">
        <f t="shared" si="10"/>
        <v>#DIV/0!</v>
      </c>
      <c r="H57" s="192" t="e">
        <f t="shared" si="10"/>
        <v>#DIV/0!</v>
      </c>
      <c r="I57" s="192" t="e">
        <f t="shared" si="10"/>
        <v>#DIV/0!</v>
      </c>
      <c r="J57" s="192" t="e">
        <f t="shared" si="10"/>
        <v>#DIV/0!</v>
      </c>
    </row>
    <row r="58" spans="1:10" x14ac:dyDescent="0.25">
      <c r="A58" s="238" t="s">
        <v>635</v>
      </c>
      <c r="B58" s="191"/>
      <c r="C58" s="191"/>
      <c r="D58" s="191"/>
      <c r="E58" s="191"/>
      <c r="F58" s="191"/>
      <c r="G58" s="192" t="e">
        <f t="shared" si="10"/>
        <v>#DIV/0!</v>
      </c>
      <c r="H58" s="192" t="e">
        <f t="shared" si="10"/>
        <v>#DIV/0!</v>
      </c>
      <c r="I58" s="192" t="e">
        <f t="shared" si="10"/>
        <v>#DIV/0!</v>
      </c>
      <c r="J58" s="192" t="e">
        <f t="shared" si="10"/>
        <v>#DIV/0!</v>
      </c>
    </row>
    <row r="59" spans="1:10" x14ac:dyDescent="0.25">
      <c r="A59" s="238" t="s">
        <v>629</v>
      </c>
      <c r="B59" s="191"/>
      <c r="C59" s="191"/>
      <c r="D59" s="191"/>
      <c r="E59" s="191"/>
      <c r="F59" s="191"/>
      <c r="G59" s="192" t="e">
        <f t="shared" si="10"/>
        <v>#DIV/0!</v>
      </c>
      <c r="H59" s="192" t="e">
        <f t="shared" si="10"/>
        <v>#DIV/0!</v>
      </c>
      <c r="I59" s="192" t="e">
        <f t="shared" si="10"/>
        <v>#DIV/0!</v>
      </c>
      <c r="J59" s="192" t="e">
        <f t="shared" si="10"/>
        <v>#DIV/0!</v>
      </c>
    </row>
    <row r="60" spans="1:10" x14ac:dyDescent="0.25">
      <c r="A60" s="238" t="s">
        <v>637</v>
      </c>
      <c r="B60" s="191"/>
      <c r="C60" s="191"/>
      <c r="D60" s="191"/>
      <c r="E60" s="191"/>
      <c r="F60" s="191"/>
      <c r="G60" s="192" t="e">
        <f t="shared" si="10"/>
        <v>#DIV/0!</v>
      </c>
      <c r="H60" s="192" t="e">
        <f t="shared" si="10"/>
        <v>#DIV/0!</v>
      </c>
      <c r="I60" s="192" t="e">
        <f t="shared" si="10"/>
        <v>#DIV/0!</v>
      </c>
      <c r="J60" s="192" t="e">
        <f t="shared" si="10"/>
        <v>#DIV/0!</v>
      </c>
    </row>
    <row r="61" spans="1:10" x14ac:dyDescent="0.25">
      <c r="A61" s="238" t="s">
        <v>636</v>
      </c>
      <c r="B61" s="191"/>
      <c r="C61" s="191"/>
      <c r="D61" s="191"/>
      <c r="E61" s="191"/>
      <c r="F61" s="191"/>
      <c r="G61" s="192" t="e">
        <f t="shared" si="10"/>
        <v>#DIV/0!</v>
      </c>
      <c r="H61" s="192" t="e">
        <f t="shared" si="10"/>
        <v>#DIV/0!</v>
      </c>
      <c r="I61" s="192" t="e">
        <f t="shared" si="10"/>
        <v>#DIV/0!</v>
      </c>
      <c r="J61" s="192" t="e">
        <f t="shared" si="10"/>
        <v>#DIV/0!</v>
      </c>
    </row>
    <row r="62" spans="1:10" x14ac:dyDescent="0.25">
      <c r="A62" s="238" t="s">
        <v>848</v>
      </c>
      <c r="B62" s="191">
        <v>0</v>
      </c>
      <c r="C62" s="191">
        <v>0</v>
      </c>
      <c r="D62" s="191"/>
      <c r="E62" s="191"/>
      <c r="F62" s="191"/>
      <c r="G62" s="192" t="e">
        <f t="shared" si="10"/>
        <v>#DIV/0!</v>
      </c>
      <c r="H62" s="192" t="e">
        <f t="shared" si="10"/>
        <v>#DIV/0!</v>
      </c>
      <c r="I62" s="192" t="e">
        <f t="shared" si="10"/>
        <v>#DIV/0!</v>
      </c>
      <c r="J62" s="192" t="e">
        <f t="shared" si="10"/>
        <v>#DIV/0!</v>
      </c>
    </row>
    <row r="63" spans="1:10" x14ac:dyDescent="0.25">
      <c r="A63" s="238" t="s">
        <v>849</v>
      </c>
      <c r="B63" s="191"/>
      <c r="C63" s="191"/>
      <c r="D63" s="191"/>
      <c r="E63" s="191"/>
      <c r="F63" s="191"/>
      <c r="G63" s="192" t="e">
        <f t="shared" si="10"/>
        <v>#DIV/0!</v>
      </c>
      <c r="H63" s="192" t="e">
        <f t="shared" si="10"/>
        <v>#DIV/0!</v>
      </c>
      <c r="I63" s="192" t="e">
        <f t="shared" si="10"/>
        <v>#DIV/0!</v>
      </c>
      <c r="J63" s="192" t="e">
        <f t="shared" si="10"/>
        <v>#DIV/0!</v>
      </c>
    </row>
    <row r="64" spans="1:10" x14ac:dyDescent="0.25">
      <c r="A64" s="238" t="s">
        <v>850</v>
      </c>
      <c r="B64" s="191"/>
      <c r="C64" s="191"/>
      <c r="D64" s="191"/>
      <c r="E64" s="191"/>
      <c r="F64" s="191"/>
      <c r="G64" s="192" t="e">
        <f t="shared" si="10"/>
        <v>#DIV/0!</v>
      </c>
      <c r="H64" s="192" t="e">
        <f t="shared" si="10"/>
        <v>#DIV/0!</v>
      </c>
      <c r="I64" s="192" t="e">
        <f t="shared" si="10"/>
        <v>#DIV/0!</v>
      </c>
      <c r="J64" s="192" t="e">
        <f t="shared" si="10"/>
        <v>#DIV/0!</v>
      </c>
    </row>
    <row r="65" spans="1:10" x14ac:dyDescent="0.25">
      <c r="A65" s="194" t="s">
        <v>638</v>
      </c>
      <c r="B65" s="244">
        <f>SUM(B56:B64)</f>
        <v>0</v>
      </c>
      <c r="C65" s="244">
        <f>SUM(C56:C64)</f>
        <v>0</v>
      </c>
      <c r="D65" s="244">
        <f>SUM(D56:D64)</f>
        <v>0</v>
      </c>
      <c r="E65" s="244">
        <f>SUM(E56:E64)</f>
        <v>0</v>
      </c>
      <c r="F65" s="244">
        <f>SUM(F56:F64)</f>
        <v>0</v>
      </c>
      <c r="G65" s="195" t="e">
        <f t="shared" si="10"/>
        <v>#DIV/0!</v>
      </c>
      <c r="H65" s="195" t="e">
        <f t="shared" si="10"/>
        <v>#DIV/0!</v>
      </c>
      <c r="I65" s="195" t="e">
        <f t="shared" si="10"/>
        <v>#DIV/0!</v>
      </c>
      <c r="J65" s="195" t="e">
        <f t="shared" si="10"/>
        <v>#DIV/0!</v>
      </c>
    </row>
    <row r="66" spans="1:10" x14ac:dyDescent="0.25">
      <c r="A66" s="194" t="s">
        <v>639</v>
      </c>
      <c r="B66" s="244">
        <f>B54+B65</f>
        <v>0</v>
      </c>
      <c r="C66" s="244">
        <f>C54+C65</f>
        <v>0</v>
      </c>
      <c r="D66" s="244">
        <f>D54+D65</f>
        <v>0</v>
      </c>
      <c r="E66" s="244">
        <f>E54+E65</f>
        <v>0</v>
      </c>
      <c r="F66" s="244">
        <f>F54+F65</f>
        <v>0</v>
      </c>
      <c r="G66" s="195" t="e">
        <f t="shared" si="10"/>
        <v>#DIV/0!</v>
      </c>
      <c r="H66" s="195" t="e">
        <f t="shared" si="10"/>
        <v>#DIV/0!</v>
      </c>
      <c r="I66" s="195" t="e">
        <f t="shared" si="10"/>
        <v>#DIV/0!</v>
      </c>
      <c r="J66" s="195" t="e">
        <f t="shared" si="10"/>
        <v>#DIV/0!</v>
      </c>
    </row>
    <row r="67" spans="1:10" s="182" customFormat="1" x14ac:dyDescent="0.25">
      <c r="A67" s="200" t="s">
        <v>792</v>
      </c>
      <c r="B67" s="250">
        <f>B42+B66</f>
        <v>0</v>
      </c>
      <c r="C67" s="250">
        <f>C42+C66</f>
        <v>0</v>
      </c>
      <c r="D67" s="250">
        <f>D42+D66</f>
        <v>0</v>
      </c>
      <c r="E67" s="250">
        <f>E42+E66</f>
        <v>0</v>
      </c>
      <c r="F67" s="250">
        <f>F42+F66</f>
        <v>0</v>
      </c>
      <c r="G67" s="237" t="e">
        <f t="shared" si="10"/>
        <v>#DIV/0!</v>
      </c>
      <c r="H67" s="237" t="e">
        <f t="shared" si="10"/>
        <v>#DIV/0!</v>
      </c>
      <c r="I67" s="237" t="e">
        <f t="shared" si="10"/>
        <v>#DIV/0!</v>
      </c>
      <c r="J67" s="237" t="e">
        <f t="shared" si="10"/>
        <v>#DIV/0!</v>
      </c>
    </row>
    <row r="68" spans="1:10" s="182" customFormat="1" x14ac:dyDescent="0.25">
      <c r="A68" s="559" t="s">
        <v>793</v>
      </c>
      <c r="B68" s="186" t="str">
        <f>B$3</f>
        <v>Audited</v>
      </c>
      <c r="C68" s="186" t="str">
        <f t="shared" ref="C68:F68" si="11">C$3</f>
        <v>Audited</v>
      </c>
      <c r="D68" s="186">
        <f t="shared" si="11"/>
        <v>0</v>
      </c>
      <c r="E68" s="186">
        <f t="shared" si="11"/>
        <v>0</v>
      </c>
      <c r="F68" s="186">
        <f t="shared" si="11"/>
        <v>0</v>
      </c>
      <c r="G68" s="561" t="s">
        <v>1000</v>
      </c>
      <c r="H68" s="562"/>
      <c r="I68" s="562"/>
      <c r="J68" s="563"/>
    </row>
    <row r="69" spans="1:10" s="182" customFormat="1" x14ac:dyDescent="0.25">
      <c r="A69" s="560"/>
      <c r="B69" s="349">
        <f>B$4</f>
        <v>44197</v>
      </c>
      <c r="C69" s="349">
        <f t="shared" ref="C69:F69" si="12">C$4</f>
        <v>43861</v>
      </c>
      <c r="D69" s="349">
        <f t="shared" si="12"/>
        <v>43496</v>
      </c>
      <c r="E69" s="349">
        <f t="shared" si="12"/>
        <v>43131</v>
      </c>
      <c r="F69" s="349">
        <f t="shared" si="12"/>
        <v>42766</v>
      </c>
      <c r="G69" s="349" t="str">
        <f>G4</f>
        <v>2021-2020</v>
      </c>
      <c r="H69" s="349" t="str">
        <f t="shared" ref="H69:J69" si="13">H4</f>
        <v>2020-2019</v>
      </c>
      <c r="I69" s="349" t="str">
        <f t="shared" si="13"/>
        <v>2019-2018</v>
      </c>
      <c r="J69" s="349" t="str">
        <f t="shared" si="13"/>
        <v>2018-2017</v>
      </c>
    </row>
    <row r="70" spans="1:10" s="201" customFormat="1" ht="16.5" customHeight="1" x14ac:dyDescent="0.2">
      <c r="A70" s="238" t="s">
        <v>640</v>
      </c>
      <c r="B70" s="191">
        <v>0</v>
      </c>
      <c r="C70" s="191">
        <v>0</v>
      </c>
      <c r="D70" s="191"/>
      <c r="E70" s="191"/>
      <c r="F70" s="191"/>
      <c r="G70" s="192" t="e">
        <f t="shared" ref="G70:J92" si="14">(B70-C70)/C70</f>
        <v>#DIV/0!</v>
      </c>
      <c r="H70" s="192" t="e">
        <f t="shared" si="14"/>
        <v>#DIV/0!</v>
      </c>
      <c r="I70" s="192" t="e">
        <f t="shared" si="14"/>
        <v>#DIV/0!</v>
      </c>
      <c r="J70" s="192" t="e">
        <f t="shared" si="14"/>
        <v>#DIV/0!</v>
      </c>
    </row>
    <row r="71" spans="1:10" s="201" customFormat="1" ht="16.5" customHeight="1" x14ac:dyDescent="0.2">
      <c r="A71" s="238" t="s">
        <v>641</v>
      </c>
      <c r="B71" s="191"/>
      <c r="C71" s="191"/>
      <c r="D71" s="191"/>
      <c r="E71" s="191"/>
      <c r="F71" s="191"/>
      <c r="G71" s="192" t="e">
        <f t="shared" si="14"/>
        <v>#DIV/0!</v>
      </c>
      <c r="H71" s="192" t="e">
        <f t="shared" si="14"/>
        <v>#DIV/0!</v>
      </c>
      <c r="I71" s="192" t="e">
        <f t="shared" si="14"/>
        <v>#DIV/0!</v>
      </c>
      <c r="J71" s="192" t="e">
        <f t="shared" si="14"/>
        <v>#DIV/0!</v>
      </c>
    </row>
    <row r="72" spans="1:10" s="196" customFormat="1" ht="16.5" customHeight="1" x14ac:dyDescent="0.2">
      <c r="A72" s="194" t="s">
        <v>642</v>
      </c>
      <c r="B72" s="244">
        <f>B70-B71</f>
        <v>0</v>
      </c>
      <c r="C72" s="244">
        <f>C70-C71</f>
        <v>0</v>
      </c>
      <c r="D72" s="244">
        <f>D70-D71</f>
        <v>0</v>
      </c>
      <c r="E72" s="244">
        <f>E70-E71</f>
        <v>0</v>
      </c>
      <c r="F72" s="244">
        <f>F70-F71</f>
        <v>0</v>
      </c>
      <c r="G72" s="195" t="e">
        <f t="shared" si="14"/>
        <v>#DIV/0!</v>
      </c>
      <c r="H72" s="195" t="e">
        <f t="shared" si="14"/>
        <v>#DIV/0!</v>
      </c>
      <c r="I72" s="195" t="e">
        <f t="shared" si="14"/>
        <v>#DIV/0!</v>
      </c>
      <c r="J72" s="195" t="e">
        <f t="shared" si="14"/>
        <v>#DIV/0!</v>
      </c>
    </row>
    <row r="73" spans="1:10" s="201" customFormat="1" ht="16.5" customHeight="1" x14ac:dyDescent="0.2">
      <c r="A73" s="238" t="s">
        <v>643</v>
      </c>
      <c r="B73" s="191"/>
      <c r="C73" s="191"/>
      <c r="D73" s="191"/>
      <c r="E73" s="191"/>
      <c r="F73" s="191"/>
      <c r="G73" s="192" t="e">
        <f t="shared" si="14"/>
        <v>#DIV/0!</v>
      </c>
      <c r="H73" s="192" t="e">
        <f t="shared" si="14"/>
        <v>#DIV/0!</v>
      </c>
      <c r="I73" s="192" t="e">
        <f t="shared" si="14"/>
        <v>#DIV/0!</v>
      </c>
      <c r="J73" s="192" t="e">
        <f t="shared" si="14"/>
        <v>#DIV/0!</v>
      </c>
    </row>
    <row r="74" spans="1:10" s="201" customFormat="1" ht="16.5" customHeight="1" x14ac:dyDescent="0.2">
      <c r="A74" s="238" t="s">
        <v>644</v>
      </c>
      <c r="B74" s="191"/>
      <c r="C74" s="191"/>
      <c r="D74" s="191"/>
      <c r="E74" s="191"/>
      <c r="F74" s="191"/>
      <c r="G74" s="192" t="e">
        <f t="shared" si="14"/>
        <v>#DIV/0!</v>
      </c>
      <c r="H74" s="192" t="e">
        <f t="shared" si="14"/>
        <v>#DIV/0!</v>
      </c>
      <c r="I74" s="192" t="e">
        <f t="shared" si="14"/>
        <v>#DIV/0!</v>
      </c>
      <c r="J74" s="192" t="e">
        <f t="shared" si="14"/>
        <v>#DIV/0!</v>
      </c>
    </row>
    <row r="75" spans="1:10" s="201" customFormat="1" ht="16.5" customHeight="1" x14ac:dyDescent="0.2">
      <c r="A75" s="238" t="s">
        <v>645</v>
      </c>
      <c r="B75" s="191">
        <v>0</v>
      </c>
      <c r="C75" s="191"/>
      <c r="D75" s="191"/>
      <c r="E75" s="191"/>
      <c r="F75" s="191"/>
      <c r="G75" s="192" t="e">
        <f t="shared" si="14"/>
        <v>#DIV/0!</v>
      </c>
      <c r="H75" s="192" t="e">
        <f t="shared" si="14"/>
        <v>#DIV/0!</v>
      </c>
      <c r="I75" s="192" t="e">
        <f t="shared" si="14"/>
        <v>#DIV/0!</v>
      </c>
      <c r="J75" s="192" t="e">
        <f t="shared" si="14"/>
        <v>#DIV/0!</v>
      </c>
    </row>
    <row r="76" spans="1:10" s="196" customFormat="1" ht="16.5" customHeight="1" x14ac:dyDescent="0.2">
      <c r="A76" s="194" t="s">
        <v>1010</v>
      </c>
      <c r="B76" s="244">
        <f>B77+B78+B79+B80+B81</f>
        <v>0</v>
      </c>
      <c r="C76" s="244">
        <f>C77+C78+C79+C80+C81</f>
        <v>0</v>
      </c>
      <c r="D76" s="244">
        <f>D77+D78+D79+D80+D81</f>
        <v>0</v>
      </c>
      <c r="E76" s="244">
        <f>E77+E78+E79+E80+E81</f>
        <v>0</v>
      </c>
      <c r="F76" s="244">
        <f>F77+F78+F79+F80+F81</f>
        <v>0</v>
      </c>
      <c r="G76" s="195" t="e">
        <f t="shared" si="14"/>
        <v>#DIV/0!</v>
      </c>
      <c r="H76" s="195" t="e">
        <f t="shared" si="14"/>
        <v>#DIV/0!</v>
      </c>
      <c r="I76" s="195" t="e">
        <f t="shared" si="14"/>
        <v>#DIV/0!</v>
      </c>
      <c r="J76" s="195" t="e">
        <f t="shared" si="14"/>
        <v>#DIV/0!</v>
      </c>
    </row>
    <row r="77" spans="1:10" s="201" customFormat="1" ht="16.5" customHeight="1" x14ac:dyDescent="0.2">
      <c r="A77" s="238" t="s">
        <v>650</v>
      </c>
      <c r="B77" s="191"/>
      <c r="C77" s="191"/>
      <c r="D77" s="191"/>
      <c r="E77" s="191"/>
      <c r="F77" s="191"/>
      <c r="G77" s="192" t="e">
        <f t="shared" si="14"/>
        <v>#DIV/0!</v>
      </c>
      <c r="H77" s="192" t="e">
        <f t="shared" si="14"/>
        <v>#DIV/0!</v>
      </c>
      <c r="I77" s="192" t="e">
        <f t="shared" si="14"/>
        <v>#DIV/0!</v>
      </c>
      <c r="J77" s="192" t="e">
        <f t="shared" si="14"/>
        <v>#DIV/0!</v>
      </c>
    </row>
    <row r="78" spans="1:10" s="201" customFormat="1" ht="16.5" customHeight="1" x14ac:dyDescent="0.2">
      <c r="A78" s="238" t="s">
        <v>654</v>
      </c>
      <c r="B78" s="191"/>
      <c r="C78" s="191"/>
      <c r="D78" s="191"/>
      <c r="E78" s="191"/>
      <c r="F78" s="191"/>
      <c r="G78" s="192" t="e">
        <f t="shared" si="14"/>
        <v>#DIV/0!</v>
      </c>
      <c r="H78" s="192" t="e">
        <f t="shared" si="14"/>
        <v>#DIV/0!</v>
      </c>
      <c r="I78" s="192" t="e">
        <f t="shared" si="14"/>
        <v>#DIV/0!</v>
      </c>
      <c r="J78" s="192" t="e">
        <f t="shared" si="14"/>
        <v>#DIV/0!</v>
      </c>
    </row>
    <row r="79" spans="1:10" s="201" customFormat="1" ht="16.5" customHeight="1" x14ac:dyDescent="0.2">
      <c r="A79" s="238" t="s">
        <v>1011</v>
      </c>
      <c r="B79" s="191"/>
      <c r="C79" s="191"/>
      <c r="D79" s="191"/>
      <c r="E79" s="191"/>
      <c r="F79" s="191"/>
      <c r="G79" s="192" t="e">
        <f t="shared" si="14"/>
        <v>#DIV/0!</v>
      </c>
      <c r="H79" s="192" t="e">
        <f t="shared" si="14"/>
        <v>#DIV/0!</v>
      </c>
      <c r="I79" s="192" t="e">
        <f t="shared" si="14"/>
        <v>#DIV/0!</v>
      </c>
      <c r="J79" s="192" t="e">
        <f t="shared" si="14"/>
        <v>#DIV/0!</v>
      </c>
    </row>
    <row r="80" spans="1:10" s="201" customFormat="1" ht="16.5" customHeight="1" x14ac:dyDescent="0.2">
      <c r="A80" s="238" t="s">
        <v>1012</v>
      </c>
      <c r="B80" s="191"/>
      <c r="C80" s="191"/>
      <c r="D80" s="191"/>
      <c r="E80" s="191"/>
      <c r="F80" s="191"/>
      <c r="G80" s="192" t="e">
        <f t="shared" si="14"/>
        <v>#DIV/0!</v>
      </c>
      <c r="H80" s="192" t="e">
        <f t="shared" si="14"/>
        <v>#DIV/0!</v>
      </c>
      <c r="I80" s="192" t="e">
        <f t="shared" si="14"/>
        <v>#DIV/0!</v>
      </c>
      <c r="J80" s="192" t="e">
        <f t="shared" si="14"/>
        <v>#DIV/0!</v>
      </c>
    </row>
    <row r="81" spans="1:10" s="201" customFormat="1" ht="16.5" customHeight="1" x14ac:dyDescent="0.2">
      <c r="A81" s="238" t="s">
        <v>647</v>
      </c>
      <c r="B81" s="191">
        <v>0</v>
      </c>
      <c r="C81" s="191">
        <v>0</v>
      </c>
      <c r="D81" s="191"/>
      <c r="E81" s="191"/>
      <c r="F81" s="191"/>
      <c r="G81" s="192" t="e">
        <f t="shared" si="14"/>
        <v>#DIV/0!</v>
      </c>
      <c r="H81" s="192" t="e">
        <f t="shared" si="14"/>
        <v>#DIV/0!</v>
      </c>
      <c r="I81" s="192" t="e">
        <f t="shared" si="14"/>
        <v>#DIV/0!</v>
      </c>
      <c r="J81" s="192" t="e">
        <f t="shared" si="14"/>
        <v>#DIV/0!</v>
      </c>
    </row>
    <row r="82" spans="1:10" s="196" customFormat="1" ht="16.5" customHeight="1" x14ac:dyDescent="0.2">
      <c r="A82" s="194" t="s">
        <v>646</v>
      </c>
      <c r="B82" s="244">
        <f>B83+B85+B86+B87</f>
        <v>0</v>
      </c>
      <c r="C82" s="244">
        <f>C83+C85+C86+C87</f>
        <v>0</v>
      </c>
      <c r="D82" s="244">
        <f>D83+D85+D86+D87</f>
        <v>0</v>
      </c>
      <c r="E82" s="244">
        <f>E83+E85+E86+E87</f>
        <v>0</v>
      </c>
      <c r="F82" s="244">
        <f>F83+F85+F86+F87</f>
        <v>0</v>
      </c>
      <c r="G82" s="195" t="e">
        <f t="shared" si="14"/>
        <v>#DIV/0!</v>
      </c>
      <c r="H82" s="195" t="e">
        <f t="shared" si="14"/>
        <v>#DIV/0!</v>
      </c>
      <c r="I82" s="195" t="e">
        <f t="shared" si="14"/>
        <v>#DIV/0!</v>
      </c>
      <c r="J82" s="195" t="e">
        <f t="shared" si="14"/>
        <v>#DIV/0!</v>
      </c>
    </row>
    <row r="83" spans="1:10" s="201" customFormat="1" ht="16.5" customHeight="1" x14ac:dyDescent="0.2">
      <c r="A83" s="238" t="s">
        <v>648</v>
      </c>
      <c r="B83" s="191">
        <v>0</v>
      </c>
      <c r="C83" s="191">
        <v>0</v>
      </c>
      <c r="D83" s="191"/>
      <c r="E83" s="191"/>
      <c r="F83" s="191"/>
      <c r="G83" s="192" t="e">
        <f t="shared" si="14"/>
        <v>#DIV/0!</v>
      </c>
      <c r="H83" s="192" t="e">
        <f t="shared" si="14"/>
        <v>#DIV/0!</v>
      </c>
      <c r="I83" s="192" t="e">
        <f t="shared" si="14"/>
        <v>#DIV/0!</v>
      </c>
      <c r="J83" s="192" t="e">
        <f t="shared" si="14"/>
        <v>#DIV/0!</v>
      </c>
    </row>
    <row r="84" spans="1:10" s="196" customFormat="1" ht="16.5" customHeight="1" x14ac:dyDescent="0.2">
      <c r="A84" s="194" t="s">
        <v>649</v>
      </c>
      <c r="B84" s="244">
        <f>B85+B77</f>
        <v>0</v>
      </c>
      <c r="C84" s="244">
        <f>C85+C77</f>
        <v>0</v>
      </c>
      <c r="D84" s="244">
        <f>D85+D77</f>
        <v>0</v>
      </c>
      <c r="E84" s="244">
        <f>E85+E77</f>
        <v>0</v>
      </c>
      <c r="F84" s="244">
        <f>F85+F77</f>
        <v>0</v>
      </c>
      <c r="G84" s="195" t="e">
        <f t="shared" si="14"/>
        <v>#DIV/0!</v>
      </c>
      <c r="H84" s="195" t="e">
        <f t="shared" si="14"/>
        <v>#DIV/0!</v>
      </c>
      <c r="I84" s="195" t="e">
        <f t="shared" si="14"/>
        <v>#DIV/0!</v>
      </c>
      <c r="J84" s="195" t="e">
        <f t="shared" si="14"/>
        <v>#DIV/0!</v>
      </c>
    </row>
    <row r="85" spans="1:10" s="201" customFormat="1" ht="16.5" customHeight="1" x14ac:dyDescent="0.2">
      <c r="A85" s="238" t="s">
        <v>651</v>
      </c>
      <c r="B85" s="191">
        <v>0</v>
      </c>
      <c r="C85" s="191">
        <v>0</v>
      </c>
      <c r="D85" s="191"/>
      <c r="E85" s="191"/>
      <c r="F85" s="191"/>
      <c r="G85" s="192" t="e">
        <f t="shared" si="14"/>
        <v>#DIV/0!</v>
      </c>
      <c r="H85" s="192" t="e">
        <f t="shared" si="14"/>
        <v>#DIV/0!</v>
      </c>
      <c r="I85" s="192" t="e">
        <f t="shared" si="14"/>
        <v>#DIV/0!</v>
      </c>
      <c r="J85" s="192" t="e">
        <f t="shared" si="14"/>
        <v>#DIV/0!</v>
      </c>
    </row>
    <row r="86" spans="1:10" s="201" customFormat="1" ht="16.5" customHeight="1" x14ac:dyDescent="0.2">
      <c r="A86" s="238" t="s">
        <v>652</v>
      </c>
      <c r="B86" s="191">
        <v>0</v>
      </c>
      <c r="C86" s="191">
        <v>0</v>
      </c>
      <c r="D86" s="191"/>
      <c r="E86" s="191"/>
      <c r="F86" s="191"/>
      <c r="G86" s="192" t="e">
        <f t="shared" si="14"/>
        <v>#DIV/0!</v>
      </c>
      <c r="H86" s="192" t="e">
        <f t="shared" si="14"/>
        <v>#DIV/0!</v>
      </c>
      <c r="I86" s="192" t="e">
        <f t="shared" si="14"/>
        <v>#DIV/0!</v>
      </c>
      <c r="J86" s="192" t="e">
        <f t="shared" si="14"/>
        <v>#DIV/0!</v>
      </c>
    </row>
    <row r="87" spans="1:10" s="196" customFormat="1" ht="16.5" customHeight="1" x14ac:dyDescent="0.2">
      <c r="A87" s="194" t="s">
        <v>844</v>
      </c>
      <c r="B87" s="244">
        <f>B88+B89+B90+B91</f>
        <v>0</v>
      </c>
      <c r="C87" s="244">
        <f>C88+C89+C90+C91</f>
        <v>0</v>
      </c>
      <c r="D87" s="244">
        <f>D88+D89+D90+D91</f>
        <v>0</v>
      </c>
      <c r="E87" s="244">
        <f>E88+E89+E90+E91</f>
        <v>0</v>
      </c>
      <c r="F87" s="244">
        <f>F88+F89+F90+F91</f>
        <v>0</v>
      </c>
      <c r="G87" s="195" t="e">
        <f t="shared" si="14"/>
        <v>#DIV/0!</v>
      </c>
      <c r="H87" s="195" t="e">
        <f t="shared" si="14"/>
        <v>#DIV/0!</v>
      </c>
      <c r="I87" s="195" t="e">
        <f t="shared" si="14"/>
        <v>#DIV/0!</v>
      </c>
      <c r="J87" s="195" t="e">
        <f t="shared" si="14"/>
        <v>#DIV/0!</v>
      </c>
    </row>
    <row r="88" spans="1:10" s="201" customFormat="1" ht="16.5" customHeight="1" x14ac:dyDescent="0.2">
      <c r="A88" s="238" t="s">
        <v>655</v>
      </c>
      <c r="B88" s="191">
        <v>0</v>
      </c>
      <c r="C88" s="191">
        <v>0</v>
      </c>
      <c r="D88" s="191"/>
      <c r="E88" s="191"/>
      <c r="F88" s="191"/>
      <c r="G88" s="192" t="e">
        <f t="shared" si="14"/>
        <v>#DIV/0!</v>
      </c>
      <c r="H88" s="192" t="e">
        <f t="shared" si="14"/>
        <v>#DIV/0!</v>
      </c>
      <c r="I88" s="192" t="e">
        <f t="shared" si="14"/>
        <v>#DIV/0!</v>
      </c>
      <c r="J88" s="192" t="e">
        <f t="shared" si="14"/>
        <v>#DIV/0!</v>
      </c>
    </row>
    <row r="89" spans="1:10" s="201" customFormat="1" ht="16.5" customHeight="1" x14ac:dyDescent="0.2">
      <c r="A89" s="238" t="s">
        <v>845</v>
      </c>
      <c r="B89" s="191">
        <v>0</v>
      </c>
      <c r="C89" s="191">
        <v>0</v>
      </c>
      <c r="D89" s="191"/>
      <c r="E89" s="191"/>
      <c r="F89" s="191"/>
      <c r="G89" s="192" t="e">
        <f t="shared" si="14"/>
        <v>#DIV/0!</v>
      </c>
      <c r="H89" s="192" t="e">
        <f t="shared" si="14"/>
        <v>#DIV/0!</v>
      </c>
      <c r="I89" s="192" t="e">
        <f t="shared" si="14"/>
        <v>#DIV/0!</v>
      </c>
      <c r="J89" s="192" t="e">
        <f t="shared" si="14"/>
        <v>#DIV/0!</v>
      </c>
    </row>
    <row r="90" spans="1:10" s="201" customFormat="1" ht="16.5" customHeight="1" x14ac:dyDescent="0.2">
      <c r="A90" s="238" t="s">
        <v>847</v>
      </c>
      <c r="B90" s="191"/>
      <c r="C90" s="191"/>
      <c r="D90" s="191"/>
      <c r="E90" s="191"/>
      <c r="F90" s="191"/>
      <c r="G90" s="192" t="e">
        <f t="shared" si="14"/>
        <v>#DIV/0!</v>
      </c>
      <c r="H90" s="192" t="e">
        <f t="shared" si="14"/>
        <v>#DIV/0!</v>
      </c>
      <c r="I90" s="192" t="e">
        <f t="shared" si="14"/>
        <v>#DIV/0!</v>
      </c>
      <c r="J90" s="192" t="e">
        <f t="shared" si="14"/>
        <v>#DIV/0!</v>
      </c>
    </row>
    <row r="91" spans="1:10" s="201" customFormat="1" ht="16.5" customHeight="1" x14ac:dyDescent="0.2">
      <c r="A91" s="238" t="s">
        <v>846</v>
      </c>
      <c r="B91" s="191"/>
      <c r="C91" s="191"/>
      <c r="D91" s="191"/>
      <c r="E91" s="191"/>
      <c r="F91" s="191"/>
      <c r="G91" s="192" t="e">
        <f t="shared" si="14"/>
        <v>#DIV/0!</v>
      </c>
      <c r="H91" s="192" t="e">
        <f t="shared" si="14"/>
        <v>#DIV/0!</v>
      </c>
      <c r="I91" s="192" t="e">
        <f t="shared" si="14"/>
        <v>#DIV/0!</v>
      </c>
      <c r="J91" s="192" t="e">
        <f t="shared" si="14"/>
        <v>#DIV/0!</v>
      </c>
    </row>
    <row r="92" spans="1:10" s="182" customFormat="1" ht="16.5" customHeight="1" x14ac:dyDescent="0.25">
      <c r="A92" s="199" t="s">
        <v>794</v>
      </c>
      <c r="B92" s="249">
        <f>B72+B73+B74+B75+B76+B82</f>
        <v>0</v>
      </c>
      <c r="C92" s="249">
        <f>C72+C73+C74+C75+C76+C82</f>
        <v>0</v>
      </c>
      <c r="D92" s="249">
        <f>D72+D73+D74+D75+D76+D82</f>
        <v>0</v>
      </c>
      <c r="E92" s="249">
        <f>E72+E73+E74+E75+E76+E82</f>
        <v>0</v>
      </c>
      <c r="F92" s="249">
        <f>F72+F73+F74+F75+F76+F82</f>
        <v>0</v>
      </c>
      <c r="G92" s="236" t="e">
        <f t="shared" si="14"/>
        <v>#DIV/0!</v>
      </c>
      <c r="H92" s="236" t="e">
        <f t="shared" si="14"/>
        <v>#DIV/0!</v>
      </c>
      <c r="I92" s="236" t="e">
        <f t="shared" si="14"/>
        <v>#DIV/0!</v>
      </c>
      <c r="J92" s="236" t="e">
        <f t="shared" si="14"/>
        <v>#DIV/0!</v>
      </c>
    </row>
    <row r="93" spans="1:10" s="182" customFormat="1" ht="16.5" customHeight="1" x14ac:dyDescent="0.25">
      <c r="A93" s="202" t="s">
        <v>1013</v>
      </c>
      <c r="B93" s="251">
        <f>B92-B67</f>
        <v>0</v>
      </c>
      <c r="C93" s="251">
        <f>C92-C67</f>
        <v>0</v>
      </c>
      <c r="D93" s="251">
        <f>D92-D67</f>
        <v>0</v>
      </c>
      <c r="E93" s="251">
        <f>E92-E67</f>
        <v>0</v>
      </c>
      <c r="F93" s="251">
        <f>F92-F67</f>
        <v>0</v>
      </c>
      <c r="G93" s="203"/>
      <c r="H93" s="203"/>
      <c r="I93" s="203"/>
      <c r="J93" s="203"/>
    </row>
    <row r="94" spans="1:10" ht="18.75" x14ac:dyDescent="0.3">
      <c r="A94" s="204" t="s">
        <v>799</v>
      </c>
      <c r="B94" s="205"/>
      <c r="C94" s="205"/>
      <c r="D94" s="205"/>
      <c r="E94" s="205"/>
      <c r="F94" s="205"/>
      <c r="G94" s="205"/>
      <c r="H94" s="205"/>
      <c r="I94" s="205"/>
      <c r="J94" s="206"/>
    </row>
    <row r="95" spans="1:10" x14ac:dyDescent="0.25">
      <c r="A95" s="548" t="s">
        <v>795</v>
      </c>
      <c r="B95" s="186" t="str">
        <f>B$3</f>
        <v>Audited</v>
      </c>
      <c r="C95" s="186" t="str">
        <f t="shared" ref="C95:F95" si="15">C$3</f>
        <v>Audited</v>
      </c>
      <c r="D95" s="186">
        <f t="shared" si="15"/>
        <v>0</v>
      </c>
      <c r="E95" s="186">
        <f t="shared" si="15"/>
        <v>0</v>
      </c>
      <c r="F95" s="186">
        <f t="shared" si="15"/>
        <v>0</v>
      </c>
      <c r="G95" s="549" t="s">
        <v>590</v>
      </c>
      <c r="H95" s="549" t="s">
        <v>590</v>
      </c>
      <c r="I95" s="549" t="s">
        <v>590</v>
      </c>
      <c r="J95" s="549" t="s">
        <v>590</v>
      </c>
    </row>
    <row r="96" spans="1:10" x14ac:dyDescent="0.25">
      <c r="A96" s="548"/>
      <c r="B96" s="349">
        <f>B$4</f>
        <v>44197</v>
      </c>
      <c r="C96" s="349">
        <f t="shared" ref="C96:F96" si="16">C$4</f>
        <v>43861</v>
      </c>
      <c r="D96" s="349">
        <f t="shared" si="16"/>
        <v>43496</v>
      </c>
      <c r="E96" s="349">
        <f t="shared" si="16"/>
        <v>43131</v>
      </c>
      <c r="F96" s="349">
        <f t="shared" si="16"/>
        <v>42766</v>
      </c>
      <c r="G96" s="550"/>
      <c r="H96" s="550"/>
      <c r="I96" s="550"/>
      <c r="J96" s="550"/>
    </row>
    <row r="97" spans="1:10" x14ac:dyDescent="0.25">
      <c r="A97" s="240" t="s">
        <v>656</v>
      </c>
      <c r="B97" s="241" t="e">
        <f>(B66-B51)/(B46+B51-B78)</f>
        <v>#DIV/0!</v>
      </c>
      <c r="C97" s="241" t="e">
        <f>(C66-C51)/(C46+C51-C78)</f>
        <v>#DIV/0!</v>
      </c>
      <c r="D97" s="241" t="e">
        <f>(D66-D51)/(D46+D51-D78)</f>
        <v>#DIV/0!</v>
      </c>
      <c r="E97" s="241" t="e">
        <f>(E66-E51)/(E46+E51-E78)</f>
        <v>#DIV/0!</v>
      </c>
      <c r="F97" s="241" t="e">
        <f>(F66-F51)/(F46+F51-F78)</f>
        <v>#DIV/0!</v>
      </c>
      <c r="G97" s="242" t="e">
        <f t="shared" ref="G97:J118" si="17">(B97-C97)/C97</f>
        <v>#DIV/0!</v>
      </c>
      <c r="H97" s="242" t="e">
        <f t="shared" si="17"/>
        <v>#DIV/0!</v>
      </c>
      <c r="I97" s="242" t="e">
        <f t="shared" si="17"/>
        <v>#DIV/0!</v>
      </c>
      <c r="J97" s="242" t="e">
        <f t="shared" si="17"/>
        <v>#DIV/0!</v>
      </c>
    </row>
    <row r="98" spans="1:10" x14ac:dyDescent="0.25">
      <c r="A98" s="240" t="s">
        <v>657</v>
      </c>
      <c r="B98" s="243" t="e">
        <f>(B27+B23)/(B46+B54+B56+B58+B59+B60)</f>
        <v>#DIV/0!</v>
      </c>
      <c r="C98" s="243" t="e">
        <f>(C27+C23)/(C46+C54+C56+C58+C59+C60)</f>
        <v>#DIV/0!</v>
      </c>
      <c r="D98" s="243" t="e">
        <f>(D27+D23)/(D46+D54+D56+D58+D59+D60)</f>
        <v>#DIV/0!</v>
      </c>
      <c r="E98" s="243" t="e">
        <f>(E27+E23)/(E46+E54+E56+E58+E59+E60)</f>
        <v>#DIV/0!</v>
      </c>
      <c r="F98" s="243" t="e">
        <f>(F27+F23)/(F46+F54+F56+F58+F59+F60)</f>
        <v>#DIV/0!</v>
      </c>
      <c r="G98" s="242" t="e">
        <f t="shared" si="17"/>
        <v>#DIV/0!</v>
      </c>
      <c r="H98" s="242" t="e">
        <f t="shared" si="17"/>
        <v>#DIV/0!</v>
      </c>
      <c r="I98" s="242" t="e">
        <f t="shared" si="17"/>
        <v>#DIV/0!</v>
      </c>
      <c r="J98" s="242" t="e">
        <f t="shared" si="17"/>
        <v>#DIV/0!</v>
      </c>
    </row>
    <row r="99" spans="1:10" x14ac:dyDescent="0.25">
      <c r="A99" s="240" t="s">
        <v>658</v>
      </c>
      <c r="B99" s="243" t="e">
        <f>(B21)/B10</f>
        <v>#DIV/0!</v>
      </c>
      <c r="C99" s="243" t="e">
        <f>(C21)/C10</f>
        <v>#DIV/0!</v>
      </c>
      <c r="D99" s="243" t="e">
        <f>(D21)/D10</f>
        <v>#DIV/0!</v>
      </c>
      <c r="E99" s="243" t="e">
        <f>(E21)/E10</f>
        <v>#DIV/0!</v>
      </c>
      <c r="F99" s="243" t="e">
        <f>(F21)/F10</f>
        <v>#DIV/0!</v>
      </c>
      <c r="G99" s="242" t="e">
        <f t="shared" si="17"/>
        <v>#DIV/0!</v>
      </c>
      <c r="H99" s="242" t="e">
        <f t="shared" si="17"/>
        <v>#DIV/0!</v>
      </c>
      <c r="I99" s="242" t="e">
        <f t="shared" si="17"/>
        <v>#DIV/0!</v>
      </c>
      <c r="J99" s="242" t="e">
        <f t="shared" si="17"/>
        <v>#DIV/0!</v>
      </c>
    </row>
    <row r="100" spans="1:10" x14ac:dyDescent="0.25">
      <c r="A100" s="240" t="s">
        <v>1014</v>
      </c>
      <c r="B100" s="241" t="e">
        <f>(B21)/B23</f>
        <v>#DIV/0!</v>
      </c>
      <c r="C100" s="241" t="e">
        <f>(C21)/C23</f>
        <v>#DIV/0!</v>
      </c>
      <c r="D100" s="241" t="e">
        <f>(D21)/D23</f>
        <v>#DIV/0!</v>
      </c>
      <c r="E100" s="241" t="e">
        <f>(E21)/E23</f>
        <v>#DIV/0!</v>
      </c>
      <c r="F100" s="241" t="e">
        <f>(F21)/F23</f>
        <v>#DIV/0!</v>
      </c>
      <c r="G100" s="242" t="e">
        <f t="shared" si="17"/>
        <v>#DIV/0!</v>
      </c>
      <c r="H100" s="242" t="e">
        <f t="shared" si="17"/>
        <v>#DIV/0!</v>
      </c>
      <c r="I100" s="242" t="e">
        <f t="shared" si="17"/>
        <v>#DIV/0!</v>
      </c>
      <c r="J100" s="242" t="e">
        <f t="shared" si="17"/>
        <v>#DIV/0!</v>
      </c>
    </row>
    <row r="101" spans="1:10" x14ac:dyDescent="0.25">
      <c r="A101" s="240" t="s">
        <v>659</v>
      </c>
      <c r="B101" s="241" t="e">
        <f>B10/((C72+B72)/2)</f>
        <v>#DIV/0!</v>
      </c>
      <c r="C101" s="241" t="e">
        <f>C10/((D72+C72)/2)</f>
        <v>#DIV/0!</v>
      </c>
      <c r="D101" s="241" t="e">
        <f>D10/((E72+D72)/2)</f>
        <v>#DIV/0!</v>
      </c>
      <c r="E101" s="241" t="e">
        <f>E10/((F72+E72)/2)</f>
        <v>#DIV/0!</v>
      </c>
      <c r="F101" s="241" t="e">
        <f>F10/((F70+F72)/2)</f>
        <v>#DIV/0!</v>
      </c>
      <c r="G101" s="242" t="e">
        <f t="shared" si="17"/>
        <v>#DIV/0!</v>
      </c>
      <c r="H101" s="242" t="e">
        <f t="shared" si="17"/>
        <v>#DIV/0!</v>
      </c>
      <c r="I101" s="242" t="e">
        <f t="shared" si="17"/>
        <v>#DIV/0!</v>
      </c>
      <c r="J101" s="242" t="e">
        <f t="shared" si="17"/>
        <v>#DIV/0!</v>
      </c>
    </row>
    <row r="102" spans="1:10" x14ac:dyDescent="0.25">
      <c r="A102" s="240" t="s">
        <v>660</v>
      </c>
      <c r="B102" s="241" t="e">
        <f>B57/(B12)*365</f>
        <v>#DIV/0!</v>
      </c>
      <c r="C102" s="241" t="e">
        <f>C57/(C12)*365</f>
        <v>#DIV/0!</v>
      </c>
      <c r="D102" s="241" t="e">
        <f>D57/(D12)*365</f>
        <v>#DIV/0!</v>
      </c>
      <c r="E102" s="241" t="e">
        <f>E57/(E12)*365</f>
        <v>#DIV/0!</v>
      </c>
      <c r="F102" s="241" t="e">
        <f>F57/(F12)*365</f>
        <v>#DIV/0!</v>
      </c>
      <c r="G102" s="242" t="e">
        <f t="shared" si="17"/>
        <v>#DIV/0!</v>
      </c>
      <c r="H102" s="242" t="e">
        <f t="shared" si="17"/>
        <v>#DIV/0!</v>
      </c>
      <c r="I102" s="242" t="e">
        <f t="shared" si="17"/>
        <v>#DIV/0!</v>
      </c>
      <c r="J102" s="242" t="e">
        <f t="shared" si="17"/>
        <v>#DIV/0!</v>
      </c>
    </row>
    <row r="103" spans="1:10" x14ac:dyDescent="0.25">
      <c r="A103" s="240" t="s">
        <v>661</v>
      </c>
      <c r="B103" s="254">
        <f>B82-B65+B59</f>
        <v>0</v>
      </c>
      <c r="C103" s="254">
        <f>C82-C65+C59</f>
        <v>0</v>
      </c>
      <c r="D103" s="254">
        <f>D82-D65+D59</f>
        <v>0</v>
      </c>
      <c r="E103" s="254">
        <f>E82-E65+E59</f>
        <v>0</v>
      </c>
      <c r="F103" s="254">
        <f>F82-F65+F59</f>
        <v>0</v>
      </c>
      <c r="G103" s="242" t="e">
        <f t="shared" si="17"/>
        <v>#DIV/0!</v>
      </c>
      <c r="H103" s="242" t="e">
        <f t="shared" si="17"/>
        <v>#DIV/0!</v>
      </c>
      <c r="I103" s="242" t="e">
        <f t="shared" si="17"/>
        <v>#DIV/0!</v>
      </c>
      <c r="J103" s="242" t="e">
        <f t="shared" si="17"/>
        <v>#DIV/0!</v>
      </c>
    </row>
    <row r="104" spans="1:10" x14ac:dyDescent="0.25">
      <c r="A104" s="240" t="s">
        <v>662</v>
      </c>
      <c r="B104" s="241" t="e">
        <f>((B85+B77)/(B6)*365)</f>
        <v>#DIV/0!</v>
      </c>
      <c r="C104" s="241" t="e">
        <f>((C85+C77)/(C6)*365)</f>
        <v>#DIV/0!</v>
      </c>
      <c r="D104" s="241" t="e">
        <f>((D85+D77)/(D6)*365)</f>
        <v>#DIV/0!</v>
      </c>
      <c r="E104" s="241" t="e">
        <f>((E85+E77)/(E6)*365)</f>
        <v>#DIV/0!</v>
      </c>
      <c r="F104" s="241" t="e">
        <f>((F85+F77)/(F6)*365)</f>
        <v>#DIV/0!</v>
      </c>
      <c r="G104" s="242" t="e">
        <f t="shared" si="17"/>
        <v>#DIV/0!</v>
      </c>
      <c r="H104" s="242" t="e">
        <f t="shared" si="17"/>
        <v>#DIV/0!</v>
      </c>
      <c r="I104" s="242" t="e">
        <f t="shared" si="17"/>
        <v>#DIV/0!</v>
      </c>
      <c r="J104" s="242" t="e">
        <f t="shared" si="17"/>
        <v>#DIV/0!</v>
      </c>
    </row>
    <row r="105" spans="1:10" x14ac:dyDescent="0.25">
      <c r="A105" s="240" t="s">
        <v>663</v>
      </c>
      <c r="B105" s="241" t="e">
        <f>(B83/B6)*365</f>
        <v>#DIV/0!</v>
      </c>
      <c r="C105" s="241" t="e">
        <f>(C83/C6)*365</f>
        <v>#DIV/0!</v>
      </c>
      <c r="D105" s="241" t="e">
        <f>(D83/D6)*365</f>
        <v>#DIV/0!</v>
      </c>
      <c r="E105" s="241" t="e">
        <f>(E83/E6)*365</f>
        <v>#DIV/0!</v>
      </c>
      <c r="F105" s="241" t="e">
        <f>(F83/F6)*365</f>
        <v>#DIV/0!</v>
      </c>
      <c r="G105" s="242" t="e">
        <f t="shared" si="17"/>
        <v>#DIV/0!</v>
      </c>
      <c r="H105" s="242" t="e">
        <f t="shared" si="17"/>
        <v>#DIV/0!</v>
      </c>
      <c r="I105" s="242" t="e">
        <f t="shared" si="17"/>
        <v>#DIV/0!</v>
      </c>
      <c r="J105" s="242" t="e">
        <f t="shared" si="17"/>
        <v>#DIV/0!</v>
      </c>
    </row>
    <row r="106" spans="1:10" x14ac:dyDescent="0.25">
      <c r="A106" s="240" t="s">
        <v>664</v>
      </c>
      <c r="B106" s="241" t="e">
        <f>B83/(B15+B14)</f>
        <v>#DIV/0!</v>
      </c>
      <c r="C106" s="241" t="e">
        <f>C83/(C15+C14)</f>
        <v>#DIV/0!</v>
      </c>
      <c r="D106" s="241" t="e">
        <f>D83/(D15+D14)</f>
        <v>#DIV/0!</v>
      </c>
      <c r="E106" s="241" t="e">
        <f>E83/(E15+E14)</f>
        <v>#DIV/0!</v>
      </c>
      <c r="F106" s="241" t="e">
        <f>F83/(F15+F14)</f>
        <v>#DIV/0!</v>
      </c>
      <c r="G106" s="242" t="e">
        <f t="shared" si="17"/>
        <v>#DIV/0!</v>
      </c>
      <c r="H106" s="242" t="e">
        <f t="shared" si="17"/>
        <v>#DIV/0!</v>
      </c>
      <c r="I106" s="242" t="e">
        <f t="shared" si="17"/>
        <v>#DIV/0!</v>
      </c>
      <c r="J106" s="242" t="e">
        <f t="shared" si="17"/>
        <v>#DIV/0!</v>
      </c>
    </row>
    <row r="107" spans="1:10" x14ac:dyDescent="0.25">
      <c r="A107" s="240" t="s">
        <v>665</v>
      </c>
      <c r="B107" s="241" t="e">
        <f>B82/B65</f>
        <v>#DIV/0!</v>
      </c>
      <c r="C107" s="241" t="e">
        <f>C82/C65</f>
        <v>#DIV/0!</v>
      </c>
      <c r="D107" s="241" t="e">
        <f>D82/D65</f>
        <v>#DIV/0!</v>
      </c>
      <c r="E107" s="241" t="e">
        <f>E82/E65</f>
        <v>#DIV/0!</v>
      </c>
      <c r="F107" s="241" t="e">
        <f>F82/F65</f>
        <v>#DIV/0!</v>
      </c>
      <c r="G107" s="242" t="e">
        <f t="shared" si="17"/>
        <v>#DIV/0!</v>
      </c>
      <c r="H107" s="242" t="e">
        <f t="shared" si="17"/>
        <v>#DIV/0!</v>
      </c>
      <c r="I107" s="242" t="e">
        <f t="shared" si="17"/>
        <v>#DIV/0!</v>
      </c>
      <c r="J107" s="242" t="e">
        <f t="shared" si="17"/>
        <v>#DIV/0!</v>
      </c>
    </row>
    <row r="108" spans="1:10" x14ac:dyDescent="0.25">
      <c r="A108" s="240" t="s">
        <v>666</v>
      </c>
      <c r="B108" s="241" t="e">
        <f>(B82-B83)/B65</f>
        <v>#DIV/0!</v>
      </c>
      <c r="C108" s="241" t="e">
        <f>(C82-C83)/C65</f>
        <v>#DIV/0!</v>
      </c>
      <c r="D108" s="241" t="e">
        <f>(D82-D83)/D65</f>
        <v>#DIV/0!</v>
      </c>
      <c r="E108" s="241" t="e">
        <f>(E82-E83)/E65</f>
        <v>#DIV/0!</v>
      </c>
      <c r="F108" s="241" t="e">
        <f>(F82-F83)/F65</f>
        <v>#DIV/0!</v>
      </c>
      <c r="G108" s="242" t="e">
        <f t="shared" si="17"/>
        <v>#DIV/0!</v>
      </c>
      <c r="H108" s="242" t="e">
        <f t="shared" si="17"/>
        <v>#DIV/0!</v>
      </c>
      <c r="I108" s="242" t="e">
        <f t="shared" si="17"/>
        <v>#DIV/0!</v>
      </c>
      <c r="J108" s="242" t="e">
        <f t="shared" si="17"/>
        <v>#DIV/0!</v>
      </c>
    </row>
    <row r="109" spans="1:10" x14ac:dyDescent="0.25">
      <c r="A109" s="240" t="s">
        <v>1015</v>
      </c>
      <c r="B109" s="241" t="e">
        <f>(B54+B59-B51)/(B46+B51)</f>
        <v>#DIV/0!</v>
      </c>
      <c r="C109" s="241" t="e">
        <f>(C54+C59-C51)/(C46+C51)</f>
        <v>#DIV/0!</v>
      </c>
      <c r="D109" s="241" t="e">
        <f>(D54+D59-D51)/(D46+D51)</f>
        <v>#DIV/0!</v>
      </c>
      <c r="E109" s="241" t="e">
        <f>(E54+E59-E51)/(E46+E51)</f>
        <v>#DIV/0!</v>
      </c>
      <c r="F109" s="241" t="e">
        <f>(F54+F59-F51)/(F46+F51)</f>
        <v>#DIV/0!</v>
      </c>
      <c r="G109" s="242" t="e">
        <f t="shared" si="17"/>
        <v>#DIV/0!</v>
      </c>
      <c r="H109" s="242" t="e">
        <f t="shared" si="17"/>
        <v>#DIV/0!</v>
      </c>
      <c r="I109" s="242" t="e">
        <f t="shared" si="17"/>
        <v>#DIV/0!</v>
      </c>
      <c r="J109" s="242" t="e">
        <f t="shared" si="17"/>
        <v>#DIV/0!</v>
      </c>
    </row>
    <row r="110" spans="1:10" x14ac:dyDescent="0.25">
      <c r="A110" s="240" t="s">
        <v>1016</v>
      </c>
      <c r="B110" s="241" t="e">
        <f>(B54+B59)/B46</f>
        <v>#DIV/0!</v>
      </c>
      <c r="C110" s="241" t="e">
        <f>(C54+C59)/C46</f>
        <v>#DIV/0!</v>
      </c>
      <c r="D110" s="241" t="e">
        <f>(D54+D59)/D46</f>
        <v>#DIV/0!</v>
      </c>
      <c r="E110" s="241" t="e">
        <f>(E54+E59)/E46</f>
        <v>#DIV/0!</v>
      </c>
      <c r="F110" s="241" t="e">
        <f>(F54+F59)/F46</f>
        <v>#DIV/0!</v>
      </c>
      <c r="G110" s="242" t="e">
        <f t="shared" si="17"/>
        <v>#DIV/0!</v>
      </c>
      <c r="H110" s="242" t="e">
        <f t="shared" si="17"/>
        <v>#DIV/0!</v>
      </c>
      <c r="I110" s="242" t="e">
        <f t="shared" si="17"/>
        <v>#DIV/0!</v>
      </c>
      <c r="J110" s="242" t="e">
        <f t="shared" si="17"/>
        <v>#DIV/0!</v>
      </c>
    </row>
    <row r="111" spans="1:10" x14ac:dyDescent="0.25">
      <c r="A111" s="240" t="s">
        <v>1017</v>
      </c>
      <c r="B111" s="241" t="e">
        <f>(B21+B25-B26)/B23</f>
        <v>#DIV/0!</v>
      </c>
      <c r="C111" s="241" t="e">
        <f>(C21+C25-C26)/C23</f>
        <v>#DIV/0!</v>
      </c>
      <c r="D111" s="241" t="e">
        <f>(D21+D25-D26)/D23</f>
        <v>#DIV/0!</v>
      </c>
      <c r="E111" s="241" t="e">
        <f>(E21+E25-E26)/E23</f>
        <v>#DIV/0!</v>
      </c>
      <c r="F111" s="241" t="e">
        <f>(F21+F25-F26)/F23</f>
        <v>#DIV/0!</v>
      </c>
      <c r="G111" s="242" t="e">
        <f t="shared" si="17"/>
        <v>#DIV/0!</v>
      </c>
      <c r="H111" s="242" t="e">
        <f t="shared" si="17"/>
        <v>#DIV/0!</v>
      </c>
      <c r="I111" s="242" t="e">
        <f t="shared" si="17"/>
        <v>#DIV/0!</v>
      </c>
      <c r="J111" s="242" t="e">
        <f t="shared" si="17"/>
        <v>#DIV/0!</v>
      </c>
    </row>
    <row r="112" spans="1:10" x14ac:dyDescent="0.25">
      <c r="A112" s="240" t="s">
        <v>474</v>
      </c>
      <c r="B112" s="241" t="e">
        <f>(B21+B25-B26)/(B23+B59)</f>
        <v>#DIV/0!</v>
      </c>
      <c r="C112" s="241" t="e">
        <f>(C21+C25-C26)/(C23+C59)</f>
        <v>#DIV/0!</v>
      </c>
      <c r="D112" s="241" t="e">
        <f>(D21+D25-D26)/(D23+D59)</f>
        <v>#DIV/0!</v>
      </c>
      <c r="E112" s="241" t="e">
        <f>(E21+E25-E26)/(E23+E59)</f>
        <v>#DIV/0!</v>
      </c>
      <c r="F112" s="241" t="e">
        <f>(F21+F25-F26)/(F23+F59)</f>
        <v>#DIV/0!</v>
      </c>
      <c r="G112" s="242" t="e">
        <f t="shared" si="17"/>
        <v>#DIV/0!</v>
      </c>
      <c r="H112" s="242" t="e">
        <f t="shared" si="17"/>
        <v>#DIV/0!</v>
      </c>
      <c r="I112" s="242" t="e">
        <f t="shared" si="17"/>
        <v>#DIV/0!</v>
      </c>
      <c r="J112" s="242" t="e">
        <f t="shared" si="17"/>
        <v>#DIV/0!</v>
      </c>
    </row>
    <row r="113" spans="1:10" x14ac:dyDescent="0.25">
      <c r="A113" s="240" t="s">
        <v>667</v>
      </c>
      <c r="B113" s="243" t="e">
        <f>(B16+B14)/B10</f>
        <v>#DIV/0!</v>
      </c>
      <c r="C113" s="243" t="e">
        <f>(C16+C14)/C10</f>
        <v>#DIV/0!</v>
      </c>
      <c r="D113" s="243" t="e">
        <f>(D16+D14)/D10</f>
        <v>#DIV/0!</v>
      </c>
      <c r="E113" s="243" t="e">
        <f>(E16+E14)/E10</f>
        <v>#DIV/0!</v>
      </c>
      <c r="F113" s="243" t="e">
        <f>(F16+F14)/F10</f>
        <v>#DIV/0!</v>
      </c>
      <c r="G113" s="242" t="e">
        <f t="shared" si="17"/>
        <v>#DIV/0!</v>
      </c>
      <c r="H113" s="242" t="e">
        <f t="shared" si="17"/>
        <v>#DIV/0!</v>
      </c>
      <c r="I113" s="242" t="e">
        <f t="shared" si="17"/>
        <v>#DIV/0!</v>
      </c>
      <c r="J113" s="242" t="e">
        <f t="shared" si="17"/>
        <v>#DIV/0!</v>
      </c>
    </row>
    <row r="114" spans="1:10" x14ac:dyDescent="0.25">
      <c r="A114" s="240" t="s">
        <v>668</v>
      </c>
      <c r="B114" s="243" t="e">
        <f>(B29/B10)</f>
        <v>#DIV/0!</v>
      </c>
      <c r="C114" s="243" t="e">
        <f t="shared" ref="C114:F114" si="18">(C29/C10)</f>
        <v>#DIV/0!</v>
      </c>
      <c r="D114" s="243" t="e">
        <f t="shared" si="18"/>
        <v>#DIV/0!</v>
      </c>
      <c r="E114" s="243" t="e">
        <f t="shared" si="18"/>
        <v>#DIV/0!</v>
      </c>
      <c r="F114" s="243" t="e">
        <f t="shared" si="18"/>
        <v>#DIV/0!</v>
      </c>
      <c r="G114" s="242" t="e">
        <f t="shared" si="17"/>
        <v>#DIV/0!</v>
      </c>
      <c r="H114" s="242" t="e">
        <f t="shared" si="17"/>
        <v>#DIV/0!</v>
      </c>
      <c r="I114" s="242" t="e">
        <f t="shared" si="17"/>
        <v>#DIV/0!</v>
      </c>
      <c r="J114" s="242" t="e">
        <f t="shared" si="17"/>
        <v>#DIV/0!</v>
      </c>
    </row>
    <row r="115" spans="1:10" x14ac:dyDescent="0.25">
      <c r="A115" s="240" t="s">
        <v>669</v>
      </c>
      <c r="B115" s="243" t="e">
        <f>(B30/B10)</f>
        <v>#DIV/0!</v>
      </c>
      <c r="C115" s="243" t="e">
        <f>(C30/C10)</f>
        <v>#DIV/0!</v>
      </c>
      <c r="D115" s="243" t="e">
        <f>(D30/D10)</f>
        <v>#DIV/0!</v>
      </c>
      <c r="E115" s="243" t="e">
        <f>(E30/E10)</f>
        <v>#DIV/0!</v>
      </c>
      <c r="F115" s="243" t="e">
        <f>(F30/F10)</f>
        <v>#DIV/0!</v>
      </c>
      <c r="G115" s="242" t="e">
        <f t="shared" si="17"/>
        <v>#DIV/0!</v>
      </c>
      <c r="H115" s="242" t="e">
        <f t="shared" si="17"/>
        <v>#DIV/0!</v>
      </c>
      <c r="I115" s="242" t="e">
        <f t="shared" si="17"/>
        <v>#DIV/0!</v>
      </c>
      <c r="J115" s="242" t="e">
        <f t="shared" si="17"/>
        <v>#DIV/0!</v>
      </c>
    </row>
    <row r="116" spans="1:10" x14ac:dyDescent="0.25">
      <c r="A116" s="240" t="s">
        <v>670</v>
      </c>
      <c r="B116" s="243" t="e">
        <f>(B8-C8)/C8</f>
        <v>#DIV/0!</v>
      </c>
      <c r="C116" s="243" t="e">
        <f>(C8-D8)/D8</f>
        <v>#DIV/0!</v>
      </c>
      <c r="D116" s="243" t="e">
        <f>(D8-E8)/E8</f>
        <v>#DIV/0!</v>
      </c>
      <c r="E116" s="243" t="e">
        <f>(E8-F8)/F8</f>
        <v>#DIV/0!</v>
      </c>
      <c r="F116" s="243" t="e">
        <f>(F8-H8)/H8</f>
        <v>#DIV/0!</v>
      </c>
      <c r="G116" s="242" t="e">
        <f t="shared" si="17"/>
        <v>#DIV/0!</v>
      </c>
      <c r="H116" s="242" t="e">
        <f t="shared" si="17"/>
        <v>#DIV/0!</v>
      </c>
      <c r="I116" s="242" t="e">
        <f t="shared" si="17"/>
        <v>#DIV/0!</v>
      </c>
      <c r="J116" s="242" t="e">
        <f t="shared" si="17"/>
        <v>#DIV/0!</v>
      </c>
    </row>
    <row r="117" spans="1:10" x14ac:dyDescent="0.25">
      <c r="A117" s="240" t="s">
        <v>671</v>
      </c>
      <c r="B117" s="243" t="e">
        <f>(B29-C29)/C29</f>
        <v>#DIV/0!</v>
      </c>
      <c r="C117" s="243" t="e">
        <f>(C29-D29)/D29</f>
        <v>#DIV/0!</v>
      </c>
      <c r="D117" s="243" t="e">
        <f>(D29-E29)/E29</f>
        <v>#DIV/0!</v>
      </c>
      <c r="E117" s="243" t="e">
        <f>(E29-F29)/F29</f>
        <v>#DIV/0!</v>
      </c>
      <c r="F117" s="243" t="e">
        <f>(F29-H29)/H29</f>
        <v>#DIV/0!</v>
      </c>
      <c r="G117" s="242" t="e">
        <f t="shared" si="17"/>
        <v>#DIV/0!</v>
      </c>
      <c r="H117" s="242" t="e">
        <f t="shared" si="17"/>
        <v>#DIV/0!</v>
      </c>
      <c r="I117" s="242" t="e">
        <f t="shared" si="17"/>
        <v>#DIV/0!</v>
      </c>
      <c r="J117" s="242" t="e">
        <f t="shared" si="17"/>
        <v>#DIV/0!</v>
      </c>
    </row>
    <row r="118" spans="1:10" x14ac:dyDescent="0.25">
      <c r="A118" s="240" t="s">
        <v>672</v>
      </c>
      <c r="B118" s="254">
        <f>B29+B14</f>
        <v>0</v>
      </c>
      <c r="C118" s="254">
        <f>C29+C14</f>
        <v>0</v>
      </c>
      <c r="D118" s="241">
        <f>D29+D14</f>
        <v>0</v>
      </c>
      <c r="E118" s="241">
        <f>E29+E14</f>
        <v>0</v>
      </c>
      <c r="F118" s="241">
        <f>F29+F14</f>
        <v>0</v>
      </c>
      <c r="G118" s="242" t="e">
        <f t="shared" si="17"/>
        <v>#DIV/0!</v>
      </c>
      <c r="H118" s="242" t="e">
        <f t="shared" si="17"/>
        <v>#DIV/0!</v>
      </c>
      <c r="I118" s="242" t="e">
        <f t="shared" si="17"/>
        <v>#DIV/0!</v>
      </c>
      <c r="J118" s="242" t="e">
        <f t="shared" si="17"/>
        <v>#DIV/0!</v>
      </c>
    </row>
    <row r="119" spans="1:10" ht="18.75" x14ac:dyDescent="0.3">
      <c r="A119" s="204" t="s">
        <v>800</v>
      </c>
      <c r="B119" s="205"/>
      <c r="C119" s="205"/>
      <c r="D119" s="205"/>
      <c r="E119" s="205"/>
      <c r="F119" s="205"/>
      <c r="G119" s="205"/>
      <c r="H119" s="205"/>
      <c r="I119" s="205"/>
      <c r="J119" s="206"/>
    </row>
    <row r="120" spans="1:10" x14ac:dyDescent="0.25">
      <c r="A120" s="548" t="s">
        <v>795</v>
      </c>
      <c r="B120" s="186" t="str">
        <f>B$3</f>
        <v>Audited</v>
      </c>
      <c r="C120" s="186" t="str">
        <f t="shared" ref="C120:F120" si="19">C$3</f>
        <v>Audited</v>
      </c>
      <c r="D120" s="186">
        <f t="shared" si="19"/>
        <v>0</v>
      </c>
      <c r="E120" s="186">
        <f t="shared" si="19"/>
        <v>0</v>
      </c>
      <c r="F120" s="186">
        <f t="shared" si="19"/>
        <v>0</v>
      </c>
      <c r="G120" s="549" t="s">
        <v>590</v>
      </c>
      <c r="H120" s="549" t="s">
        <v>590</v>
      </c>
      <c r="I120" s="549" t="s">
        <v>590</v>
      </c>
      <c r="J120" s="549" t="s">
        <v>590</v>
      </c>
    </row>
    <row r="121" spans="1:10" x14ac:dyDescent="0.25">
      <c r="A121" s="548"/>
      <c r="B121" s="349">
        <f>B$4</f>
        <v>44197</v>
      </c>
      <c r="C121" s="349">
        <f t="shared" ref="C121:F121" si="20">C$4</f>
        <v>43861</v>
      </c>
      <c r="D121" s="349">
        <f t="shared" si="20"/>
        <v>43496</v>
      </c>
      <c r="E121" s="349">
        <f t="shared" si="20"/>
        <v>43131</v>
      </c>
      <c r="F121" s="349">
        <f t="shared" si="20"/>
        <v>42766</v>
      </c>
      <c r="G121" s="550"/>
      <c r="H121" s="550"/>
      <c r="I121" s="550"/>
      <c r="J121" s="550"/>
    </row>
    <row r="122" spans="1:10" x14ac:dyDescent="0.25">
      <c r="A122" s="207" t="s">
        <v>673</v>
      </c>
      <c r="B122" s="252">
        <f>B29</f>
        <v>0</v>
      </c>
      <c r="C122" s="252">
        <f>C29</f>
        <v>0</v>
      </c>
      <c r="D122" s="252">
        <f>D29</f>
        <v>0</v>
      </c>
      <c r="E122" s="252">
        <f>E29</f>
        <v>0</v>
      </c>
      <c r="F122" s="252">
        <f>F29</f>
        <v>0</v>
      </c>
      <c r="G122" s="208" t="e">
        <f>(B122-C122)/C122</f>
        <v>#DIV/0!</v>
      </c>
      <c r="H122" s="208" t="e">
        <f>(C122-D122)/D122</f>
        <v>#DIV/0!</v>
      </c>
      <c r="I122" s="208" t="e">
        <f>(D122-E122)/E122</f>
        <v>#DIV/0!</v>
      </c>
      <c r="J122" s="208" t="e">
        <f>(E122-F122)/F122</f>
        <v>#DIV/0!</v>
      </c>
    </row>
    <row r="123" spans="1:10" s="213" customFormat="1" ht="12.75" x14ac:dyDescent="0.2">
      <c r="A123" s="209" t="s">
        <v>801</v>
      </c>
      <c r="B123" s="210"/>
      <c r="C123" s="210"/>
      <c r="D123" s="210"/>
      <c r="E123" s="210"/>
      <c r="F123" s="210"/>
      <c r="G123" s="211"/>
      <c r="H123" s="211"/>
      <c r="I123" s="211"/>
      <c r="J123" s="212"/>
    </row>
    <row r="124" spans="1:10" x14ac:dyDescent="0.25">
      <c r="A124" s="190" t="s">
        <v>237</v>
      </c>
      <c r="B124" s="253">
        <f>B14</f>
        <v>0</v>
      </c>
      <c r="C124" s="253">
        <f>C14</f>
        <v>0</v>
      </c>
      <c r="D124" s="253">
        <f>D14</f>
        <v>0</v>
      </c>
      <c r="E124" s="253">
        <f>E14</f>
        <v>0</v>
      </c>
      <c r="F124" s="253">
        <f>F14</f>
        <v>0</v>
      </c>
      <c r="G124" s="192" t="e">
        <f t="shared" ref="G124:J129" si="21">(B124-C124)/C124</f>
        <v>#DIV/0!</v>
      </c>
      <c r="H124" s="192" t="e">
        <f t="shared" si="21"/>
        <v>#DIV/0!</v>
      </c>
      <c r="I124" s="192" t="e">
        <f t="shared" si="21"/>
        <v>#DIV/0!</v>
      </c>
      <c r="J124" s="192" t="e">
        <f t="shared" si="21"/>
        <v>#DIV/0!</v>
      </c>
    </row>
    <row r="125" spans="1:10" x14ac:dyDescent="0.25">
      <c r="A125" s="190" t="s">
        <v>674</v>
      </c>
      <c r="B125" s="253">
        <f>B19</f>
        <v>0</v>
      </c>
      <c r="C125" s="253">
        <f>C19</f>
        <v>0</v>
      </c>
      <c r="D125" s="253">
        <f>D19</f>
        <v>0</v>
      </c>
      <c r="E125" s="253">
        <f>E19</f>
        <v>0</v>
      </c>
      <c r="F125" s="253">
        <f>F19</f>
        <v>0</v>
      </c>
      <c r="G125" s="192" t="e">
        <f t="shared" si="21"/>
        <v>#DIV/0!</v>
      </c>
      <c r="H125" s="192" t="e">
        <f t="shared" si="21"/>
        <v>#DIV/0!</v>
      </c>
      <c r="I125" s="192" t="e">
        <f t="shared" si="21"/>
        <v>#DIV/0!</v>
      </c>
      <c r="J125" s="192" t="e">
        <f t="shared" si="21"/>
        <v>#DIV/0!</v>
      </c>
    </row>
    <row r="126" spans="1:10" x14ac:dyDescent="0.25">
      <c r="A126" s="190" t="s">
        <v>675</v>
      </c>
      <c r="B126" s="253">
        <f t="shared" ref="B126:F127" si="22">B32</f>
        <v>0</v>
      </c>
      <c r="C126" s="253">
        <f t="shared" si="22"/>
        <v>0</v>
      </c>
      <c r="D126" s="253">
        <f t="shared" si="22"/>
        <v>0</v>
      </c>
      <c r="E126" s="253">
        <f t="shared" si="22"/>
        <v>0</v>
      </c>
      <c r="F126" s="253">
        <f t="shared" si="22"/>
        <v>0</v>
      </c>
      <c r="G126" s="192" t="e">
        <f t="shared" si="21"/>
        <v>#DIV/0!</v>
      </c>
      <c r="H126" s="192" t="e">
        <f t="shared" si="21"/>
        <v>#DIV/0!</v>
      </c>
      <c r="I126" s="192" t="e">
        <f t="shared" si="21"/>
        <v>#DIV/0!</v>
      </c>
      <c r="J126" s="192" t="e">
        <f t="shared" si="21"/>
        <v>#DIV/0!</v>
      </c>
    </row>
    <row r="127" spans="1:10" x14ac:dyDescent="0.25">
      <c r="A127" s="190" t="s">
        <v>676</v>
      </c>
      <c r="B127" s="253">
        <f t="shared" si="22"/>
        <v>0</v>
      </c>
      <c r="C127" s="253">
        <f t="shared" si="22"/>
        <v>0</v>
      </c>
      <c r="D127" s="253">
        <f t="shared" si="22"/>
        <v>0</v>
      </c>
      <c r="E127" s="253">
        <f t="shared" si="22"/>
        <v>0</v>
      </c>
      <c r="F127" s="253">
        <f t="shared" si="22"/>
        <v>0</v>
      </c>
      <c r="G127" s="192" t="e">
        <f t="shared" si="21"/>
        <v>#DIV/0!</v>
      </c>
      <c r="H127" s="192" t="e">
        <f t="shared" si="21"/>
        <v>#DIV/0!</v>
      </c>
      <c r="I127" s="192" t="e">
        <f t="shared" si="21"/>
        <v>#DIV/0!</v>
      </c>
      <c r="J127" s="192" t="e">
        <f t="shared" si="21"/>
        <v>#DIV/0!</v>
      </c>
    </row>
    <row r="128" spans="1:10" x14ac:dyDescent="0.25">
      <c r="A128" s="190" t="s">
        <v>677</v>
      </c>
      <c r="B128" s="253">
        <f>B28</f>
        <v>0</v>
      </c>
      <c r="C128" s="253">
        <f>C28</f>
        <v>0</v>
      </c>
      <c r="D128" s="253">
        <f>D28</f>
        <v>0</v>
      </c>
      <c r="E128" s="253">
        <f>E28</f>
        <v>0</v>
      </c>
      <c r="F128" s="253">
        <f>F28</f>
        <v>0</v>
      </c>
      <c r="G128" s="192" t="e">
        <f t="shared" si="21"/>
        <v>#DIV/0!</v>
      </c>
      <c r="H128" s="192" t="e">
        <f t="shared" si="21"/>
        <v>#DIV/0!</v>
      </c>
      <c r="I128" s="192" t="e">
        <f t="shared" si="21"/>
        <v>#DIV/0!</v>
      </c>
      <c r="J128" s="192" t="e">
        <f t="shared" si="21"/>
        <v>#DIV/0!</v>
      </c>
    </row>
    <row r="129" spans="1:10" x14ac:dyDescent="0.25">
      <c r="A129" s="190" t="s">
        <v>678</v>
      </c>
      <c r="B129" s="253">
        <f>B23</f>
        <v>0</v>
      </c>
      <c r="C129" s="253">
        <f>C23</f>
        <v>0</v>
      </c>
      <c r="D129" s="253">
        <f>D23</f>
        <v>0</v>
      </c>
      <c r="E129" s="253">
        <f>E23</f>
        <v>0</v>
      </c>
      <c r="F129" s="253">
        <f>F23</f>
        <v>0</v>
      </c>
      <c r="G129" s="192" t="e">
        <f t="shared" si="21"/>
        <v>#DIV/0!</v>
      </c>
      <c r="H129" s="192" t="e">
        <f t="shared" si="21"/>
        <v>#DIV/0!</v>
      </c>
      <c r="I129" s="192" t="e">
        <f t="shared" si="21"/>
        <v>#DIV/0!</v>
      </c>
      <c r="J129" s="192" t="e">
        <f t="shared" si="21"/>
        <v>#DIV/0!</v>
      </c>
    </row>
    <row r="130" spans="1:10" s="213" customFormat="1" ht="12.75" x14ac:dyDescent="0.2">
      <c r="A130" s="209" t="s">
        <v>802</v>
      </c>
      <c r="B130" s="210"/>
      <c r="C130" s="210"/>
      <c r="D130" s="210"/>
      <c r="E130" s="210"/>
      <c r="F130" s="210"/>
      <c r="G130" s="211"/>
      <c r="H130" s="211"/>
      <c r="I130" s="211"/>
      <c r="J130" s="212"/>
    </row>
    <row r="131" spans="1:10" x14ac:dyDescent="0.25">
      <c r="A131" s="190" t="s">
        <v>803</v>
      </c>
      <c r="B131" s="253">
        <f>B25</f>
        <v>0</v>
      </c>
      <c r="C131" s="253">
        <f>C25</f>
        <v>0</v>
      </c>
      <c r="D131" s="253">
        <f>D25</f>
        <v>0</v>
      </c>
      <c r="E131" s="253">
        <f>E25</f>
        <v>0</v>
      </c>
      <c r="F131" s="253">
        <f>F25</f>
        <v>0</v>
      </c>
      <c r="G131" s="192" t="e">
        <f t="shared" ref="G131:J140" si="23">(B131-C131)/C131</f>
        <v>#DIV/0!</v>
      </c>
      <c r="H131" s="192" t="e">
        <f t="shared" si="23"/>
        <v>#DIV/0!</v>
      </c>
      <c r="I131" s="192" t="e">
        <f t="shared" si="23"/>
        <v>#DIV/0!</v>
      </c>
      <c r="J131" s="192" t="e">
        <f t="shared" si="23"/>
        <v>#DIV/0!</v>
      </c>
    </row>
    <row r="132" spans="1:10" x14ac:dyDescent="0.25">
      <c r="A132" s="199" t="s">
        <v>804</v>
      </c>
      <c r="B132" s="249">
        <f>SUM(B124:B129)+B122-B131</f>
        <v>0</v>
      </c>
      <c r="C132" s="249">
        <f>SUM(C124:C129)+C122-C131</f>
        <v>0</v>
      </c>
      <c r="D132" s="249">
        <f>SUM(D124:D129)+D122-D131</f>
        <v>0</v>
      </c>
      <c r="E132" s="249">
        <f>SUM(E124:E129)+E122-E131</f>
        <v>0</v>
      </c>
      <c r="F132" s="249">
        <f>SUM(F124:F129)+F122-F131</f>
        <v>0</v>
      </c>
      <c r="G132" s="236" t="e">
        <f t="shared" si="23"/>
        <v>#DIV/0!</v>
      </c>
      <c r="H132" s="236" t="e">
        <f t="shared" si="23"/>
        <v>#DIV/0!</v>
      </c>
      <c r="I132" s="236" t="e">
        <f t="shared" si="23"/>
        <v>#DIV/0!</v>
      </c>
      <c r="J132" s="236" t="e">
        <f t="shared" si="23"/>
        <v>#DIV/0!</v>
      </c>
    </row>
    <row r="133" spans="1:10" x14ac:dyDescent="0.25">
      <c r="A133" s="190" t="s">
        <v>679</v>
      </c>
      <c r="B133" s="253">
        <f>(C85+C77)-(B85+B77)</f>
        <v>0</v>
      </c>
      <c r="C133" s="253">
        <f>(D85+D77)-(C85+C77)</f>
        <v>0</v>
      </c>
      <c r="D133" s="253">
        <f>(E85+E77)-(D85+D77)</f>
        <v>0</v>
      </c>
      <c r="E133" s="253">
        <f>(F85+F77)-(E85+E77)</f>
        <v>0</v>
      </c>
      <c r="F133" s="253" t="e">
        <f>(H85+H77)-(F85+F77)</f>
        <v>#DIV/0!</v>
      </c>
      <c r="G133" s="192" t="e">
        <f t="shared" si="23"/>
        <v>#DIV/0!</v>
      </c>
      <c r="H133" s="192" t="e">
        <f t="shared" si="23"/>
        <v>#DIV/0!</v>
      </c>
      <c r="I133" s="192" t="e">
        <f t="shared" si="23"/>
        <v>#DIV/0!</v>
      </c>
      <c r="J133" s="192" t="e">
        <f t="shared" si="23"/>
        <v>#DIV/0!</v>
      </c>
    </row>
    <row r="134" spans="1:10" x14ac:dyDescent="0.25">
      <c r="A134" s="190" t="s">
        <v>648</v>
      </c>
      <c r="B134" s="253">
        <f>C83-B83</f>
        <v>0</v>
      </c>
      <c r="C134" s="253">
        <f>D83-C83</f>
        <v>0</v>
      </c>
      <c r="D134" s="253">
        <f>E83-D83</f>
        <v>0</v>
      </c>
      <c r="E134" s="253">
        <f>F83-E83</f>
        <v>0</v>
      </c>
      <c r="F134" s="253" t="e">
        <f>H83-F83</f>
        <v>#DIV/0!</v>
      </c>
      <c r="G134" s="192" t="e">
        <f t="shared" si="23"/>
        <v>#DIV/0!</v>
      </c>
      <c r="H134" s="192" t="e">
        <f t="shared" si="23"/>
        <v>#DIV/0!</v>
      </c>
      <c r="I134" s="192" t="e">
        <f t="shared" si="23"/>
        <v>#DIV/0!</v>
      </c>
      <c r="J134" s="192" t="e">
        <f t="shared" si="23"/>
        <v>#DIV/0!</v>
      </c>
    </row>
    <row r="135" spans="1:10" x14ac:dyDescent="0.25">
      <c r="A135" s="190" t="s">
        <v>653</v>
      </c>
      <c r="B135" s="253">
        <f>(C78+C88)-(B78+B88)</f>
        <v>0</v>
      </c>
      <c r="C135" s="253">
        <f>(D78+D88)-(C78+C88)</f>
        <v>0</v>
      </c>
      <c r="D135" s="253">
        <f>(E78+E88)-(D78+D88)</f>
        <v>0</v>
      </c>
      <c r="E135" s="253">
        <f>(F78+F88)-(E78+E88)</f>
        <v>0</v>
      </c>
      <c r="F135" s="253" t="e">
        <f>(H78+H88)-(F78+F88)</f>
        <v>#DIV/0!</v>
      </c>
      <c r="G135" s="192" t="e">
        <f t="shared" si="23"/>
        <v>#DIV/0!</v>
      </c>
      <c r="H135" s="192" t="e">
        <f t="shared" si="23"/>
        <v>#DIV/0!</v>
      </c>
      <c r="I135" s="192" t="e">
        <f t="shared" si="23"/>
        <v>#DIV/0!</v>
      </c>
      <c r="J135" s="192" t="e">
        <f t="shared" si="23"/>
        <v>#DIV/0!</v>
      </c>
    </row>
    <row r="136" spans="1:10" x14ac:dyDescent="0.25">
      <c r="A136" s="190" t="s">
        <v>680</v>
      </c>
      <c r="B136" s="253">
        <f>B65-C65</f>
        <v>0</v>
      </c>
      <c r="C136" s="253">
        <f>C65-D65</f>
        <v>0</v>
      </c>
      <c r="D136" s="253">
        <f>D65-E65</f>
        <v>0</v>
      </c>
      <c r="E136" s="253">
        <f>E65-F65</f>
        <v>0</v>
      </c>
      <c r="F136" s="253" t="e">
        <f>F65-H65</f>
        <v>#DIV/0!</v>
      </c>
      <c r="G136" s="192" t="e">
        <f t="shared" si="23"/>
        <v>#DIV/0!</v>
      </c>
      <c r="H136" s="192" t="e">
        <f t="shared" si="23"/>
        <v>#DIV/0!</v>
      </c>
      <c r="I136" s="192" t="e">
        <f t="shared" si="23"/>
        <v>#DIV/0!</v>
      </c>
      <c r="J136" s="192" t="e">
        <f t="shared" si="23"/>
        <v>#DIV/0!</v>
      </c>
    </row>
    <row r="137" spans="1:10" x14ac:dyDescent="0.25">
      <c r="A137" s="199" t="s">
        <v>805</v>
      </c>
      <c r="B137" s="249">
        <f>SUM(B133:B136)</f>
        <v>0</v>
      </c>
      <c r="C137" s="249">
        <f>SUM(C133:C136)</f>
        <v>0</v>
      </c>
      <c r="D137" s="249">
        <f>SUM(D133:D136)</f>
        <v>0</v>
      </c>
      <c r="E137" s="249">
        <f>SUM(E133:E136)</f>
        <v>0</v>
      </c>
      <c r="F137" s="249" t="e">
        <f>SUM(F133:F136)</f>
        <v>#DIV/0!</v>
      </c>
      <c r="G137" s="236" t="e">
        <f t="shared" si="23"/>
        <v>#DIV/0!</v>
      </c>
      <c r="H137" s="236" t="e">
        <f t="shared" si="23"/>
        <v>#DIV/0!</v>
      </c>
      <c r="I137" s="236" t="e">
        <f t="shared" si="23"/>
        <v>#DIV/0!</v>
      </c>
      <c r="J137" s="236" t="e">
        <f t="shared" si="23"/>
        <v>#DIV/0!</v>
      </c>
    </row>
    <row r="138" spans="1:10" x14ac:dyDescent="0.25">
      <c r="A138" s="199" t="s">
        <v>681</v>
      </c>
      <c r="B138" s="249">
        <f>B132+B137</f>
        <v>0</v>
      </c>
      <c r="C138" s="249">
        <f>C132+C137</f>
        <v>0</v>
      </c>
      <c r="D138" s="249">
        <f>D132+D137</f>
        <v>0</v>
      </c>
      <c r="E138" s="249">
        <f>E132+E137</f>
        <v>0</v>
      </c>
      <c r="F138" s="249" t="e">
        <f>F132+F137</f>
        <v>#DIV/0!</v>
      </c>
      <c r="G138" s="236" t="e">
        <f t="shared" si="23"/>
        <v>#DIV/0!</v>
      </c>
      <c r="H138" s="236" t="e">
        <f t="shared" si="23"/>
        <v>#DIV/0!</v>
      </c>
      <c r="I138" s="236" t="e">
        <f t="shared" si="23"/>
        <v>#DIV/0!</v>
      </c>
      <c r="J138" s="236" t="e">
        <f t="shared" si="23"/>
        <v>#DIV/0!</v>
      </c>
    </row>
    <row r="139" spans="1:10" x14ac:dyDescent="0.25">
      <c r="A139" s="190" t="s">
        <v>682</v>
      </c>
      <c r="B139" s="253">
        <f>B28</f>
        <v>0</v>
      </c>
      <c r="C139" s="253">
        <f>C28</f>
        <v>0</v>
      </c>
      <c r="D139" s="253">
        <f>D28</f>
        <v>0</v>
      </c>
      <c r="E139" s="253">
        <f>E28</f>
        <v>0</v>
      </c>
      <c r="F139" s="253">
        <f>F28</f>
        <v>0</v>
      </c>
      <c r="G139" s="192" t="e">
        <f t="shared" si="23"/>
        <v>#DIV/0!</v>
      </c>
      <c r="H139" s="192" t="e">
        <f t="shared" si="23"/>
        <v>#DIV/0!</v>
      </c>
      <c r="I139" s="192" t="e">
        <f t="shared" si="23"/>
        <v>#DIV/0!</v>
      </c>
      <c r="J139" s="192" t="e">
        <f t="shared" si="23"/>
        <v>#DIV/0!</v>
      </c>
    </row>
    <row r="140" spans="1:10" x14ac:dyDescent="0.25">
      <c r="A140" s="199" t="s">
        <v>683</v>
      </c>
      <c r="B140" s="249">
        <f>B138-B139</f>
        <v>0</v>
      </c>
      <c r="C140" s="249">
        <f>C138-C139</f>
        <v>0</v>
      </c>
      <c r="D140" s="249">
        <f>D138-D139</f>
        <v>0</v>
      </c>
      <c r="E140" s="249">
        <f>E138-E139</f>
        <v>0</v>
      </c>
      <c r="F140" s="249" t="e">
        <f>F138-F139</f>
        <v>#DIV/0!</v>
      </c>
      <c r="G140" s="236" t="e">
        <f t="shared" si="23"/>
        <v>#DIV/0!</v>
      </c>
      <c r="H140" s="236" t="e">
        <f t="shared" si="23"/>
        <v>#DIV/0!</v>
      </c>
      <c r="I140" s="236" t="e">
        <f t="shared" si="23"/>
        <v>#DIV/0!</v>
      </c>
      <c r="J140" s="236" t="e">
        <f t="shared" si="23"/>
        <v>#DIV/0!</v>
      </c>
    </row>
  </sheetData>
  <sheetProtection algorithmName="SHA-512" hashValue="S7ggyIPlHGlbTzTBTwt/uVyynejGk39tgNnON/xT7yMsbNgUNspYq4I2oo4us5JiVEJA3dKlrICR0oDWY/vEXg==" saltValue="x//m1qZIl3xSr39tmKGnpg==" spinCount="100000" sheet="1" objects="1" scenarios="1" formatCells="0" formatColumns="0" formatRows="0"/>
  <mergeCells count="17">
    <mergeCell ref="A1:J1"/>
    <mergeCell ref="A95:A96"/>
    <mergeCell ref="G95:G96"/>
    <mergeCell ref="H95:H96"/>
    <mergeCell ref="I95:I96"/>
    <mergeCell ref="J95:J96"/>
    <mergeCell ref="A3:A4"/>
    <mergeCell ref="G3:J3"/>
    <mergeCell ref="A37:A38"/>
    <mergeCell ref="G37:J37"/>
    <mergeCell ref="A68:A69"/>
    <mergeCell ref="G68:J68"/>
    <mergeCell ref="A120:A121"/>
    <mergeCell ref="G120:G121"/>
    <mergeCell ref="H120:H121"/>
    <mergeCell ref="I120:I121"/>
    <mergeCell ref="J120:J121"/>
  </mergeCells>
  <dataValidations count="1">
    <dataValidation type="list" showInputMessage="1" showErrorMessage="1" sqref="B3:F3 B95:F95 B37:F37 B68:F68 B120:F120" xr:uid="{00000000-0002-0000-0C00-000000000000}">
      <formula1>$L$3:$L$5</formula1>
    </dataValidation>
  </dataValidations>
  <pageMargins left="0.7" right="0.7" top="0.75" bottom="0.75" header="0.3" footer="0.3"/>
  <pageSetup paperSize="9"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6"/>
  <dimension ref="A1:L140"/>
  <sheetViews>
    <sheetView workbookViewId="0">
      <selection activeCell="E83" sqref="E83"/>
    </sheetView>
  </sheetViews>
  <sheetFormatPr defaultRowHeight="15" x14ac:dyDescent="0.25"/>
  <cols>
    <col min="1" max="1" width="60.140625" bestFit="1" customWidth="1"/>
    <col min="2" max="2" width="19.140625" customWidth="1"/>
    <col min="3" max="3" width="20.42578125" customWidth="1"/>
    <col min="4" max="6" width="17.140625" customWidth="1"/>
    <col min="7" max="10" width="10.5703125" customWidth="1"/>
  </cols>
  <sheetData>
    <row r="1" spans="1:12" s="182" customFormat="1" ht="15.75" x14ac:dyDescent="0.25">
      <c r="A1" s="551" t="str">
        <f>_xlfn.CONCAT("Financial Plotting of ",Details!C9)</f>
        <v>Financial Plotting of 0</v>
      </c>
      <c r="B1" s="552"/>
      <c r="C1" s="552"/>
      <c r="D1" s="552"/>
      <c r="E1" s="552"/>
      <c r="F1" s="552"/>
      <c r="G1" s="552"/>
      <c r="H1" s="552"/>
      <c r="I1" s="552"/>
      <c r="J1" s="553"/>
    </row>
    <row r="2" spans="1:12" s="182" customFormat="1" ht="18.75" x14ac:dyDescent="0.3">
      <c r="A2" s="183" t="s">
        <v>797</v>
      </c>
      <c r="B2" s="184"/>
      <c r="C2" s="184"/>
      <c r="D2" s="184"/>
      <c r="E2" s="184"/>
      <c r="F2" s="184"/>
      <c r="G2" s="184"/>
      <c r="H2" s="184"/>
      <c r="I2" s="184"/>
      <c r="J2" s="185"/>
    </row>
    <row r="3" spans="1:12" s="182" customFormat="1" x14ac:dyDescent="0.25">
      <c r="A3" s="548" t="s">
        <v>589</v>
      </c>
      <c r="B3" s="215" t="s">
        <v>591</v>
      </c>
      <c r="C3" s="215" t="s">
        <v>1018</v>
      </c>
      <c r="D3" s="215" t="s">
        <v>591</v>
      </c>
      <c r="E3" s="215" t="s">
        <v>591</v>
      </c>
      <c r="F3" s="215" t="s">
        <v>591</v>
      </c>
      <c r="G3" s="554" t="s">
        <v>1000</v>
      </c>
      <c r="H3" s="555"/>
      <c r="I3" s="555"/>
      <c r="J3" s="556"/>
      <c r="L3" s="214" t="s">
        <v>591</v>
      </c>
    </row>
    <row r="4" spans="1:12" s="182" customFormat="1" x14ac:dyDescent="0.25">
      <c r="A4" s="548"/>
      <c r="B4" s="215" t="s">
        <v>915</v>
      </c>
      <c r="C4" s="215" t="s">
        <v>870</v>
      </c>
      <c r="D4" s="215" t="s">
        <v>854</v>
      </c>
      <c r="E4" s="215" t="s">
        <v>796</v>
      </c>
      <c r="F4" s="215" t="s">
        <v>1001</v>
      </c>
      <c r="G4" s="215" t="s">
        <v>1002</v>
      </c>
      <c r="H4" s="215" t="s">
        <v>1003</v>
      </c>
      <c r="I4" s="215" t="s">
        <v>1004</v>
      </c>
      <c r="J4" s="215" t="s">
        <v>1005</v>
      </c>
      <c r="L4" s="214" t="s">
        <v>916</v>
      </c>
    </row>
    <row r="5" spans="1:12" s="182" customFormat="1" x14ac:dyDescent="0.25">
      <c r="A5" s="187" t="s">
        <v>592</v>
      </c>
      <c r="B5" s="188"/>
      <c r="C5" s="188"/>
      <c r="D5" s="188"/>
      <c r="E5" s="188"/>
      <c r="F5" s="188"/>
      <c r="G5" s="188"/>
      <c r="H5" s="188"/>
      <c r="I5" s="188"/>
      <c r="J5" s="189"/>
      <c r="L5" s="214" t="s">
        <v>1018</v>
      </c>
    </row>
    <row r="6" spans="1:12" x14ac:dyDescent="0.25">
      <c r="A6" s="238" t="s">
        <v>593</v>
      </c>
      <c r="B6" s="191">
        <v>1696.348</v>
      </c>
      <c r="C6" s="191">
        <v>1552.0114000000001</v>
      </c>
      <c r="D6" s="191">
        <v>0</v>
      </c>
      <c r="E6" s="191">
        <v>0</v>
      </c>
      <c r="F6" s="191"/>
      <c r="G6" s="192">
        <f t="shared" ref="G6:J10" si="0">(B6-C6)/C6</f>
        <v>9.2999703481559379E-2</v>
      </c>
      <c r="H6" s="192" t="e">
        <f t="shared" si="0"/>
        <v>#DIV/0!</v>
      </c>
      <c r="I6" s="192" t="e">
        <f t="shared" si="0"/>
        <v>#DIV/0!</v>
      </c>
      <c r="J6" s="192" t="e">
        <f t="shared" si="0"/>
        <v>#DIV/0!</v>
      </c>
    </row>
    <row r="7" spans="1:12" x14ac:dyDescent="0.25">
      <c r="A7" s="238" t="s">
        <v>594</v>
      </c>
      <c r="B7" s="193">
        <v>0</v>
      </c>
      <c r="C7" s="193">
        <v>0</v>
      </c>
      <c r="D7" s="193">
        <v>0</v>
      </c>
      <c r="E7" s="193">
        <f t="shared" ref="E7:E35" si="1">+C7/100000</f>
        <v>0</v>
      </c>
      <c r="F7" s="193"/>
      <c r="G7" s="192" t="e">
        <f t="shared" si="0"/>
        <v>#DIV/0!</v>
      </c>
      <c r="H7" s="192" t="e">
        <f t="shared" si="0"/>
        <v>#DIV/0!</v>
      </c>
      <c r="I7" s="192" t="e">
        <f t="shared" si="0"/>
        <v>#DIV/0!</v>
      </c>
      <c r="J7" s="192" t="e">
        <f t="shared" si="0"/>
        <v>#DIV/0!</v>
      </c>
    </row>
    <row r="8" spans="1:12" s="196" customFormat="1" ht="12.75" x14ac:dyDescent="0.2">
      <c r="A8" s="194" t="s">
        <v>595</v>
      </c>
      <c r="B8" s="256">
        <v>1696.348</v>
      </c>
      <c r="C8" s="256">
        <v>1552.0114000000001</v>
      </c>
      <c r="D8" s="256">
        <v>0</v>
      </c>
      <c r="E8" s="256">
        <v>0</v>
      </c>
      <c r="F8" s="244">
        <f>F6-F7</f>
        <v>0</v>
      </c>
      <c r="G8" s="245">
        <f t="shared" si="0"/>
        <v>9.2999703481559379E-2</v>
      </c>
      <c r="H8" s="245" t="e">
        <f t="shared" si="0"/>
        <v>#DIV/0!</v>
      </c>
      <c r="I8" s="245" t="e">
        <f t="shared" si="0"/>
        <v>#DIV/0!</v>
      </c>
      <c r="J8" s="245" t="e">
        <f t="shared" si="0"/>
        <v>#DIV/0!</v>
      </c>
    </row>
    <row r="9" spans="1:12" x14ac:dyDescent="0.25">
      <c r="A9" s="238" t="s">
        <v>596</v>
      </c>
      <c r="B9" s="257">
        <v>85.5244</v>
      </c>
      <c r="C9" s="257">
        <v>2.1734800000000001</v>
      </c>
      <c r="D9" s="257">
        <f t="shared" ref="D9:D35" si="2">+B9/100000</f>
        <v>8.5524400000000001E-4</v>
      </c>
      <c r="E9" s="257">
        <f t="shared" si="1"/>
        <v>2.1734800000000001E-5</v>
      </c>
      <c r="F9" s="197"/>
      <c r="G9" s="192">
        <f t="shared" si="0"/>
        <v>38.349062333216779</v>
      </c>
      <c r="H9" s="192">
        <f t="shared" si="0"/>
        <v>2540.3566186959515</v>
      </c>
      <c r="I9" s="192">
        <f t="shared" si="0"/>
        <v>38.349062333216779</v>
      </c>
      <c r="J9" s="192" t="e">
        <f t="shared" si="0"/>
        <v>#DIV/0!</v>
      </c>
    </row>
    <row r="10" spans="1:12" s="196" customFormat="1" ht="12.75" x14ac:dyDescent="0.2">
      <c r="A10" s="194" t="s">
        <v>597</v>
      </c>
      <c r="B10" s="256">
        <v>1781.8724</v>
      </c>
      <c r="C10" s="256">
        <v>1554.18488</v>
      </c>
      <c r="D10" s="256">
        <v>0</v>
      </c>
      <c r="E10" s="256">
        <v>0</v>
      </c>
      <c r="F10" s="244">
        <f>F8+F9</f>
        <v>0</v>
      </c>
      <c r="G10" s="245">
        <f t="shared" si="0"/>
        <v>0.14649963651686018</v>
      </c>
      <c r="H10" s="245" t="e">
        <f t="shared" si="0"/>
        <v>#DIV/0!</v>
      </c>
      <c r="I10" s="245" t="e">
        <f t="shared" si="0"/>
        <v>#DIV/0!</v>
      </c>
      <c r="J10" s="245" t="e">
        <f t="shared" si="0"/>
        <v>#DIV/0!</v>
      </c>
    </row>
    <row r="11" spans="1:12" s="182" customFormat="1" x14ac:dyDescent="0.25">
      <c r="A11" s="187" t="s">
        <v>598</v>
      </c>
      <c r="B11" s="258">
        <v>0</v>
      </c>
      <c r="C11" s="258">
        <v>0</v>
      </c>
      <c r="D11" s="258">
        <f t="shared" si="2"/>
        <v>0</v>
      </c>
      <c r="E11" s="258">
        <f t="shared" si="1"/>
        <v>0</v>
      </c>
      <c r="F11" s="198"/>
      <c r="G11" s="246"/>
      <c r="H11" s="246"/>
      <c r="I11" s="246"/>
      <c r="J11" s="247"/>
    </row>
    <row r="12" spans="1:12" x14ac:dyDescent="0.25">
      <c r="A12" s="238" t="s">
        <v>599</v>
      </c>
      <c r="B12" s="193">
        <v>1578.8715299999999</v>
      </c>
      <c r="C12" s="193">
        <v>1507.32665</v>
      </c>
      <c r="D12" s="193">
        <f t="shared" si="2"/>
        <v>1.5788715299999999E-2</v>
      </c>
      <c r="E12" s="193">
        <f t="shared" si="1"/>
        <v>1.50732665E-2</v>
      </c>
      <c r="F12" s="193"/>
      <c r="G12" s="192">
        <f t="shared" ref="G12:J16" si="3">(B12-C12)/C12</f>
        <v>4.7464748268067791E-2</v>
      </c>
      <c r="H12" s="192">
        <f t="shared" si="3"/>
        <v>95467.606619311206</v>
      </c>
      <c r="I12" s="192">
        <f t="shared" si="3"/>
        <v>4.7464748268067777E-2</v>
      </c>
      <c r="J12" s="192" t="e">
        <f t="shared" si="3"/>
        <v>#DIV/0!</v>
      </c>
    </row>
    <row r="13" spans="1:12" x14ac:dyDescent="0.25">
      <c r="A13" s="238" t="s">
        <v>600</v>
      </c>
      <c r="B13" s="193">
        <v>0.64646999999999999</v>
      </c>
      <c r="C13" s="193">
        <v>0.26136999999999999</v>
      </c>
      <c r="D13" s="193">
        <f t="shared" si="2"/>
        <v>6.4647000000000001E-6</v>
      </c>
      <c r="E13" s="193">
        <f t="shared" si="1"/>
        <v>2.6137000000000001E-6</v>
      </c>
      <c r="F13" s="193"/>
      <c r="G13" s="192">
        <f t="shared" si="3"/>
        <v>1.4733902131078549</v>
      </c>
      <c r="H13" s="192">
        <f t="shared" si="3"/>
        <v>40429.33706127121</v>
      </c>
      <c r="I13" s="192">
        <f t="shared" si="3"/>
        <v>1.4733902131078547</v>
      </c>
      <c r="J13" s="192" t="e">
        <f t="shared" si="3"/>
        <v>#DIV/0!</v>
      </c>
    </row>
    <row r="14" spans="1:12" x14ac:dyDescent="0.25">
      <c r="A14" s="238" t="s">
        <v>607</v>
      </c>
      <c r="B14" s="193">
        <v>4.3627099999999999</v>
      </c>
      <c r="C14" s="191">
        <v>5.0179900000000002</v>
      </c>
      <c r="D14" s="193">
        <f t="shared" si="2"/>
        <v>4.3627100000000001E-5</v>
      </c>
      <c r="E14" s="191">
        <f t="shared" si="1"/>
        <v>5.0179900000000004E-5</v>
      </c>
      <c r="F14" s="191"/>
      <c r="G14" s="192">
        <f t="shared" si="3"/>
        <v>-0.13058615102859916</v>
      </c>
      <c r="H14" s="192">
        <f t="shared" si="3"/>
        <v>115019.02195882834</v>
      </c>
      <c r="I14" s="192">
        <f t="shared" si="3"/>
        <v>-0.13058615102859913</v>
      </c>
      <c r="J14" s="192" t="e">
        <f t="shared" si="3"/>
        <v>#DIV/0!</v>
      </c>
    </row>
    <row r="15" spans="1:12" s="196" customFormat="1" ht="12.75" x14ac:dyDescent="0.2">
      <c r="A15" s="194" t="s">
        <v>601</v>
      </c>
      <c r="B15" s="256">
        <v>1583.8807099999999</v>
      </c>
      <c r="C15" s="256">
        <v>1512.60601</v>
      </c>
      <c r="D15" s="256">
        <v>0</v>
      </c>
      <c r="E15" s="256">
        <v>0</v>
      </c>
      <c r="F15" s="244">
        <f>SUM(F12:F14)</f>
        <v>0</v>
      </c>
      <c r="G15" s="245">
        <f t="shared" si="3"/>
        <v>4.7120465956630664E-2</v>
      </c>
      <c r="H15" s="245" t="e">
        <f t="shared" si="3"/>
        <v>#DIV/0!</v>
      </c>
      <c r="I15" s="245" t="e">
        <f t="shared" si="3"/>
        <v>#DIV/0!</v>
      </c>
      <c r="J15" s="245" t="e">
        <f t="shared" si="3"/>
        <v>#DIV/0!</v>
      </c>
    </row>
    <row r="16" spans="1:12" s="182" customFormat="1" x14ac:dyDescent="0.25">
      <c r="A16" s="199" t="s">
        <v>260</v>
      </c>
      <c r="B16" s="259">
        <v>197.99169000000001</v>
      </c>
      <c r="C16" s="259">
        <v>41.578870000000002</v>
      </c>
      <c r="D16" s="259">
        <f t="shared" si="2"/>
        <v>1.9799168999999998E-3</v>
      </c>
      <c r="E16" s="259">
        <f t="shared" si="1"/>
        <v>4.1578870000000002E-4</v>
      </c>
      <c r="F16" s="249">
        <f>F10-F15</f>
        <v>0</v>
      </c>
      <c r="G16" s="248">
        <f t="shared" si="3"/>
        <v>3.761834316324614</v>
      </c>
      <c r="H16" s="248">
        <f t="shared" si="3"/>
        <v>20999.310669604369</v>
      </c>
      <c r="I16" s="248">
        <f t="shared" si="3"/>
        <v>3.7618343163246131</v>
      </c>
      <c r="J16" s="248" t="e">
        <f t="shared" si="3"/>
        <v>#DIV/0!</v>
      </c>
    </row>
    <row r="17" spans="1:10" s="182" customFormat="1" x14ac:dyDescent="0.25">
      <c r="A17" s="187" t="s">
        <v>602</v>
      </c>
      <c r="B17" s="258">
        <v>0</v>
      </c>
      <c r="C17" s="258">
        <v>0</v>
      </c>
      <c r="D17" s="258">
        <f t="shared" si="2"/>
        <v>0</v>
      </c>
      <c r="E17" s="258">
        <f t="shared" si="1"/>
        <v>0</v>
      </c>
      <c r="F17" s="198"/>
      <c r="G17" s="246"/>
      <c r="H17" s="246"/>
      <c r="I17" s="246"/>
      <c r="J17" s="247"/>
    </row>
    <row r="18" spans="1:10" x14ac:dyDescent="0.25">
      <c r="A18" s="238" t="s">
        <v>603</v>
      </c>
      <c r="B18" s="193">
        <v>88.975769999999997</v>
      </c>
      <c r="C18" s="193">
        <v>107.34551999999999</v>
      </c>
      <c r="D18" s="193">
        <f t="shared" si="2"/>
        <v>8.8975769999999994E-4</v>
      </c>
      <c r="E18" s="193">
        <f t="shared" si="1"/>
        <v>1.0734551999999999E-3</v>
      </c>
      <c r="F18" s="193"/>
      <c r="G18" s="192">
        <f t="shared" ref="G18:J35" si="4">(B18-C18)/C18</f>
        <v>-0.17112730927196587</v>
      </c>
      <c r="H18" s="192">
        <f t="shared" si="4"/>
        <v>120644.78929746829</v>
      </c>
      <c r="I18" s="192">
        <f t="shared" si="4"/>
        <v>-0.1711273092719659</v>
      </c>
      <c r="J18" s="192" t="e">
        <f t="shared" si="4"/>
        <v>#DIV/0!</v>
      </c>
    </row>
    <row r="19" spans="1:10" x14ac:dyDescent="0.25">
      <c r="A19" s="238" t="s">
        <v>604</v>
      </c>
      <c r="B19" s="193">
        <v>0</v>
      </c>
      <c r="C19" s="193">
        <v>0</v>
      </c>
      <c r="D19" s="193">
        <f t="shared" si="2"/>
        <v>0</v>
      </c>
      <c r="E19" s="193">
        <f t="shared" si="1"/>
        <v>0</v>
      </c>
      <c r="F19" s="193"/>
      <c r="G19" s="192" t="e">
        <f t="shared" si="4"/>
        <v>#DIV/0!</v>
      </c>
      <c r="H19" s="192" t="e">
        <f t="shared" si="4"/>
        <v>#DIV/0!</v>
      </c>
      <c r="I19" s="192" t="e">
        <f t="shared" si="4"/>
        <v>#DIV/0!</v>
      </c>
      <c r="J19" s="192" t="e">
        <f t="shared" si="4"/>
        <v>#DIV/0!</v>
      </c>
    </row>
    <row r="20" spans="1:10" s="196" customFormat="1" ht="12.75" x14ac:dyDescent="0.2">
      <c r="A20" s="194" t="s">
        <v>605</v>
      </c>
      <c r="B20" s="256">
        <v>88.975769999999997</v>
      </c>
      <c r="C20" s="256">
        <v>107.34551999999999</v>
      </c>
      <c r="D20" s="256">
        <f t="shared" si="2"/>
        <v>8.8975769999999994E-4</v>
      </c>
      <c r="E20" s="256">
        <f t="shared" si="1"/>
        <v>1.0734551999999999E-3</v>
      </c>
      <c r="F20" s="244">
        <f>SUM(F18:F19)</f>
        <v>0</v>
      </c>
      <c r="G20" s="245">
        <f t="shared" si="4"/>
        <v>-0.17112730927196587</v>
      </c>
      <c r="H20" s="245">
        <f t="shared" si="4"/>
        <v>120644.78929746829</v>
      </c>
      <c r="I20" s="245">
        <f t="shared" si="4"/>
        <v>-0.1711273092719659</v>
      </c>
      <c r="J20" s="245" t="e">
        <f t="shared" si="4"/>
        <v>#DIV/0!</v>
      </c>
    </row>
    <row r="21" spans="1:10" s="182" customFormat="1" x14ac:dyDescent="0.25">
      <c r="A21" s="199" t="s">
        <v>606</v>
      </c>
      <c r="B21" s="259">
        <v>113.37863</v>
      </c>
      <c r="C21" s="259">
        <v>-60.748660000000001</v>
      </c>
      <c r="D21" s="259">
        <f t="shared" si="2"/>
        <v>1.1337863E-3</v>
      </c>
      <c r="E21" s="259">
        <f t="shared" si="1"/>
        <v>-6.0748660000000006E-4</v>
      </c>
      <c r="F21" s="249">
        <f>F10-F15-F20+F14</f>
        <v>0</v>
      </c>
      <c r="G21" s="248">
        <f t="shared" si="4"/>
        <v>-2.8663560644794472</v>
      </c>
      <c r="H21" s="248">
        <f t="shared" si="4"/>
        <v>-53581.344020738303</v>
      </c>
      <c r="I21" s="248">
        <f t="shared" si="4"/>
        <v>-2.8663560644794468</v>
      </c>
      <c r="J21" s="248" t="e">
        <f t="shared" si="4"/>
        <v>#DIV/0!</v>
      </c>
    </row>
    <row r="22" spans="1:10" s="182" customFormat="1" x14ac:dyDescent="0.25">
      <c r="A22" s="199" t="s">
        <v>608</v>
      </c>
      <c r="B22" s="259">
        <v>109.01591999999999</v>
      </c>
      <c r="C22" s="259">
        <v>-65.766649999999998</v>
      </c>
      <c r="D22" s="259">
        <f t="shared" si="2"/>
        <v>1.0901591999999999E-3</v>
      </c>
      <c r="E22" s="259">
        <f t="shared" si="1"/>
        <v>-6.5766649999999996E-4</v>
      </c>
      <c r="F22" s="249">
        <f>F21-F14</f>
        <v>0</v>
      </c>
      <c r="G22" s="248">
        <f t="shared" si="4"/>
        <v>-2.6576170445050797</v>
      </c>
      <c r="H22" s="248">
        <f t="shared" si="4"/>
        <v>-60328.565001515381</v>
      </c>
      <c r="I22" s="248">
        <f t="shared" si="4"/>
        <v>-2.6576170445050797</v>
      </c>
      <c r="J22" s="248" t="e">
        <f t="shared" si="4"/>
        <v>#DIV/0!</v>
      </c>
    </row>
    <row r="23" spans="1:10" x14ac:dyDescent="0.25">
      <c r="A23" s="238" t="s">
        <v>609</v>
      </c>
      <c r="B23" s="193">
        <v>86.874430000000004</v>
      </c>
      <c r="C23" s="193">
        <v>16.3765</v>
      </c>
      <c r="D23" s="193">
        <f t="shared" si="2"/>
        <v>8.6874430000000006E-4</v>
      </c>
      <c r="E23" s="193">
        <f t="shared" si="1"/>
        <v>1.6376499999999999E-4</v>
      </c>
      <c r="F23" s="193"/>
      <c r="G23" s="192">
        <f t="shared" si="4"/>
        <v>4.3048227643269312</v>
      </c>
      <c r="H23" s="192">
        <f t="shared" si="4"/>
        <v>18849.771164771959</v>
      </c>
      <c r="I23" s="192">
        <f t="shared" si="4"/>
        <v>4.304822764326933</v>
      </c>
      <c r="J23" s="192" t="e">
        <f t="shared" si="4"/>
        <v>#DIV/0!</v>
      </c>
    </row>
    <row r="24" spans="1:10" s="182" customFormat="1" x14ac:dyDescent="0.25">
      <c r="A24" s="199" t="s">
        <v>610</v>
      </c>
      <c r="B24" s="259">
        <v>22.141490000000001</v>
      </c>
      <c r="C24" s="259">
        <v>-82.143150000000006</v>
      </c>
      <c r="D24" s="259">
        <f t="shared" si="2"/>
        <v>2.214149E-4</v>
      </c>
      <c r="E24" s="259">
        <f t="shared" si="1"/>
        <v>-8.2143150000000002E-4</v>
      </c>
      <c r="F24" s="249">
        <f>F22-F23</f>
        <v>0</v>
      </c>
      <c r="G24" s="248">
        <f t="shared" si="4"/>
        <v>-1.2695476129172061</v>
      </c>
      <c r="H24" s="248">
        <f t="shared" si="4"/>
        <v>-370992.97027842299</v>
      </c>
      <c r="I24" s="248">
        <f t="shared" si="4"/>
        <v>-1.2695476129172061</v>
      </c>
      <c r="J24" s="248" t="e">
        <f t="shared" si="4"/>
        <v>#DIV/0!</v>
      </c>
    </row>
    <row r="25" spans="1:10" x14ac:dyDescent="0.25">
      <c r="A25" s="238" t="s">
        <v>611</v>
      </c>
      <c r="B25" s="193">
        <v>4.14663</v>
      </c>
      <c r="C25" s="193">
        <v>102.84507000000001</v>
      </c>
      <c r="D25" s="193">
        <f t="shared" si="2"/>
        <v>4.14663E-5</v>
      </c>
      <c r="E25" s="193">
        <f t="shared" si="1"/>
        <v>1.0284507E-3</v>
      </c>
      <c r="F25" s="193"/>
      <c r="G25" s="192">
        <f t="shared" si="4"/>
        <v>-0.95968080920164667</v>
      </c>
      <c r="H25" s="192">
        <f t="shared" si="4"/>
        <v>2480207.5066668596</v>
      </c>
      <c r="I25" s="192">
        <f t="shared" si="4"/>
        <v>-0.95968080920164667</v>
      </c>
      <c r="J25" s="192" t="e">
        <f t="shared" si="4"/>
        <v>#DIV/0!</v>
      </c>
    </row>
    <row r="26" spans="1:10" x14ac:dyDescent="0.25">
      <c r="A26" s="238" t="s">
        <v>612</v>
      </c>
      <c r="B26" s="193">
        <v>0</v>
      </c>
      <c r="C26" s="193">
        <v>0</v>
      </c>
      <c r="D26" s="193">
        <f t="shared" si="2"/>
        <v>0</v>
      </c>
      <c r="E26" s="193">
        <f t="shared" si="1"/>
        <v>0</v>
      </c>
      <c r="F26" s="193"/>
      <c r="G26" s="192" t="e">
        <f t="shared" si="4"/>
        <v>#DIV/0!</v>
      </c>
      <c r="H26" s="192" t="e">
        <f t="shared" si="4"/>
        <v>#DIV/0!</v>
      </c>
      <c r="I26" s="192" t="e">
        <f t="shared" si="4"/>
        <v>#DIV/0!</v>
      </c>
      <c r="J26" s="192" t="e">
        <f t="shared" si="4"/>
        <v>#DIV/0!</v>
      </c>
    </row>
    <row r="27" spans="1:10" s="182" customFormat="1" x14ac:dyDescent="0.25">
      <c r="A27" s="199" t="s">
        <v>613</v>
      </c>
      <c r="B27" s="259">
        <v>26.288119999999999</v>
      </c>
      <c r="C27" s="259">
        <v>20.701920000000001</v>
      </c>
      <c r="D27" s="259">
        <f t="shared" si="2"/>
        <v>2.6288119999999998E-4</v>
      </c>
      <c r="E27" s="259">
        <f t="shared" si="1"/>
        <v>2.070192E-4</v>
      </c>
      <c r="F27" s="249">
        <f>F24+F25-F26</f>
        <v>0</v>
      </c>
      <c r="G27" s="248">
        <f t="shared" si="4"/>
        <v>0.26983970568913401</v>
      </c>
      <c r="H27" s="248">
        <f t="shared" si="4"/>
        <v>78749.097001991788</v>
      </c>
      <c r="I27" s="248">
        <f t="shared" si="4"/>
        <v>0.26983970568913401</v>
      </c>
      <c r="J27" s="248" t="e">
        <f t="shared" si="4"/>
        <v>#DIV/0!</v>
      </c>
    </row>
    <row r="28" spans="1:10" x14ac:dyDescent="0.25">
      <c r="A28" s="239" t="s">
        <v>614</v>
      </c>
      <c r="B28" s="193">
        <v>17.2315</v>
      </c>
      <c r="C28" s="193">
        <v>7.3876499999999998</v>
      </c>
      <c r="D28" s="193">
        <f t="shared" si="2"/>
        <v>1.7231500000000001E-4</v>
      </c>
      <c r="E28" s="193">
        <f t="shared" si="1"/>
        <v>7.3876500000000003E-5</v>
      </c>
      <c r="F28" s="193"/>
      <c r="G28" s="192">
        <f t="shared" si="4"/>
        <v>1.3324737907182933</v>
      </c>
      <c r="H28" s="192">
        <f t="shared" si="4"/>
        <v>42871.936192438261</v>
      </c>
      <c r="I28" s="192">
        <f t="shared" si="4"/>
        <v>1.3324737907182933</v>
      </c>
      <c r="J28" s="192" t="e">
        <f t="shared" si="4"/>
        <v>#DIV/0!</v>
      </c>
    </row>
    <row r="29" spans="1:10" s="182" customFormat="1" x14ac:dyDescent="0.25">
      <c r="A29" s="199" t="s">
        <v>615</v>
      </c>
      <c r="B29" s="259">
        <v>9.0566200000000006</v>
      </c>
      <c r="C29" s="259">
        <v>13.31427</v>
      </c>
      <c r="D29" s="259">
        <f t="shared" si="2"/>
        <v>9.05662E-5</v>
      </c>
      <c r="E29" s="259">
        <f t="shared" si="1"/>
        <v>1.3314270000000002E-4</v>
      </c>
      <c r="F29" s="249">
        <f>F27-F28</f>
        <v>0</v>
      </c>
      <c r="G29" s="248">
        <f t="shared" si="4"/>
        <v>-0.31978095682301771</v>
      </c>
      <c r="H29" s="248">
        <f t="shared" si="4"/>
        <v>147010.46785445343</v>
      </c>
      <c r="I29" s="248">
        <f t="shared" si="4"/>
        <v>-0.31978095682301777</v>
      </c>
      <c r="J29" s="248" t="e">
        <f t="shared" si="4"/>
        <v>#DIV/0!</v>
      </c>
    </row>
    <row r="30" spans="1:10" s="182" customFormat="1" x14ac:dyDescent="0.25">
      <c r="A30" s="199" t="s">
        <v>616</v>
      </c>
      <c r="B30" s="259">
        <v>13.41933</v>
      </c>
      <c r="C30" s="259">
        <v>18.332260000000002</v>
      </c>
      <c r="D30" s="259">
        <f t="shared" si="2"/>
        <v>1.341933E-4</v>
      </c>
      <c r="E30" s="259">
        <f t="shared" si="1"/>
        <v>1.8332260000000002E-4</v>
      </c>
      <c r="F30" s="249">
        <f>F29+F14+F19+F32+F33</f>
        <v>0</v>
      </c>
      <c r="G30" s="248">
        <f t="shared" si="4"/>
        <v>-0.26799368981238542</v>
      </c>
      <c r="H30" s="248">
        <f t="shared" si="4"/>
        <v>136609.84420757223</v>
      </c>
      <c r="I30" s="248">
        <f t="shared" si="4"/>
        <v>-0.26799368981238547</v>
      </c>
      <c r="J30" s="248" t="e">
        <f t="shared" si="4"/>
        <v>#DIV/0!</v>
      </c>
    </row>
    <row r="31" spans="1:10" x14ac:dyDescent="0.25">
      <c r="A31" s="238" t="s">
        <v>617</v>
      </c>
      <c r="B31" s="191">
        <v>0</v>
      </c>
      <c r="C31" s="191">
        <v>0</v>
      </c>
      <c r="D31" s="191">
        <f t="shared" si="2"/>
        <v>0</v>
      </c>
      <c r="E31" s="191">
        <f t="shared" si="1"/>
        <v>0</v>
      </c>
      <c r="F31" s="191"/>
      <c r="G31" s="192" t="e">
        <f t="shared" si="4"/>
        <v>#DIV/0!</v>
      </c>
      <c r="H31" s="192" t="e">
        <f t="shared" si="4"/>
        <v>#DIV/0!</v>
      </c>
      <c r="I31" s="192" t="e">
        <f t="shared" si="4"/>
        <v>#DIV/0!</v>
      </c>
      <c r="J31" s="192" t="e">
        <f t="shared" si="4"/>
        <v>#DIV/0!</v>
      </c>
    </row>
    <row r="32" spans="1:10" x14ac:dyDescent="0.25">
      <c r="A32" s="238" t="s">
        <v>618</v>
      </c>
      <c r="B32" s="191">
        <v>0</v>
      </c>
      <c r="C32" s="191">
        <v>0</v>
      </c>
      <c r="D32" s="191">
        <f t="shared" si="2"/>
        <v>0</v>
      </c>
      <c r="E32" s="191">
        <f t="shared" si="1"/>
        <v>0</v>
      </c>
      <c r="F32" s="191"/>
      <c r="G32" s="192" t="e">
        <f t="shared" si="4"/>
        <v>#DIV/0!</v>
      </c>
      <c r="H32" s="192" t="e">
        <f t="shared" si="4"/>
        <v>#DIV/0!</v>
      </c>
      <c r="I32" s="192" t="e">
        <f t="shared" si="4"/>
        <v>#DIV/0!</v>
      </c>
      <c r="J32" s="192" t="e">
        <f t="shared" si="4"/>
        <v>#DIV/0!</v>
      </c>
    </row>
    <row r="33" spans="1:10" x14ac:dyDescent="0.25">
      <c r="A33" s="238" t="s">
        <v>619</v>
      </c>
      <c r="B33" s="191">
        <v>0</v>
      </c>
      <c r="C33" s="191">
        <v>0</v>
      </c>
      <c r="D33" s="191">
        <f t="shared" si="2"/>
        <v>0</v>
      </c>
      <c r="E33" s="191">
        <f t="shared" si="1"/>
        <v>0</v>
      </c>
      <c r="F33" s="191"/>
      <c r="G33" s="192" t="e">
        <f t="shared" si="4"/>
        <v>#DIV/0!</v>
      </c>
      <c r="H33" s="192" t="e">
        <f t="shared" si="4"/>
        <v>#DIV/0!</v>
      </c>
      <c r="I33" s="192" t="e">
        <f t="shared" si="4"/>
        <v>#DIV/0!</v>
      </c>
      <c r="J33" s="192" t="e">
        <f t="shared" si="4"/>
        <v>#DIV/0!</v>
      </c>
    </row>
    <row r="34" spans="1:10" x14ac:dyDescent="0.25">
      <c r="A34" s="238" t="s">
        <v>620</v>
      </c>
      <c r="B34" s="191">
        <v>0</v>
      </c>
      <c r="C34" s="191">
        <v>0</v>
      </c>
      <c r="D34" s="191">
        <f t="shared" si="2"/>
        <v>0</v>
      </c>
      <c r="E34" s="191">
        <f t="shared" si="1"/>
        <v>0</v>
      </c>
      <c r="F34" s="191"/>
      <c r="G34" s="192" t="e">
        <f t="shared" si="4"/>
        <v>#DIV/0!</v>
      </c>
      <c r="H34" s="192" t="e">
        <f t="shared" si="4"/>
        <v>#DIV/0!</v>
      </c>
      <c r="I34" s="192" t="e">
        <f t="shared" si="4"/>
        <v>#DIV/0!</v>
      </c>
      <c r="J34" s="192" t="e">
        <f t="shared" si="4"/>
        <v>#DIV/0!</v>
      </c>
    </row>
    <row r="35" spans="1:10" s="182" customFormat="1" x14ac:dyDescent="0.25">
      <c r="A35" s="199" t="s">
        <v>621</v>
      </c>
      <c r="B35" s="259">
        <v>13.41933</v>
      </c>
      <c r="C35" s="259">
        <v>18.332260000000002</v>
      </c>
      <c r="D35" s="259">
        <f t="shared" si="2"/>
        <v>1.341933E-4</v>
      </c>
      <c r="E35" s="259">
        <f t="shared" si="1"/>
        <v>1.8332260000000002E-4</v>
      </c>
      <c r="F35" s="249">
        <f>F30-F31-F32-F33</f>
        <v>0</v>
      </c>
      <c r="G35" s="248">
        <f t="shared" si="4"/>
        <v>-0.26799368981238542</v>
      </c>
      <c r="H35" s="248">
        <f t="shared" si="4"/>
        <v>136609.84420757223</v>
      </c>
      <c r="I35" s="248">
        <f t="shared" si="4"/>
        <v>-0.26799368981238547</v>
      </c>
      <c r="J35" s="248" t="e">
        <f t="shared" si="4"/>
        <v>#DIV/0!</v>
      </c>
    </row>
    <row r="36" spans="1:10" ht="18.75" x14ac:dyDescent="0.3">
      <c r="A36" s="183" t="s">
        <v>798</v>
      </c>
      <c r="B36" s="184"/>
      <c r="C36" s="184"/>
      <c r="D36" s="184"/>
      <c r="E36" s="184"/>
      <c r="F36" s="184"/>
      <c r="G36" s="184"/>
      <c r="H36" s="184"/>
      <c r="I36" s="184"/>
      <c r="J36" s="185"/>
    </row>
    <row r="37" spans="1:10" x14ac:dyDescent="0.25">
      <c r="A37" s="557" t="s">
        <v>791</v>
      </c>
      <c r="B37" s="186" t="str">
        <f>B$3</f>
        <v>Audited</v>
      </c>
      <c r="C37" s="186" t="str">
        <f t="shared" ref="C37:F37" si="5">C$3</f>
        <v>Unaudited</v>
      </c>
      <c r="D37" s="186" t="str">
        <f t="shared" si="5"/>
        <v>Audited</v>
      </c>
      <c r="E37" s="186" t="str">
        <f t="shared" si="5"/>
        <v>Audited</v>
      </c>
      <c r="F37" s="186" t="str">
        <f t="shared" si="5"/>
        <v>Audited</v>
      </c>
      <c r="G37" s="554" t="s">
        <v>1000</v>
      </c>
      <c r="H37" s="555"/>
      <c r="I37" s="555"/>
      <c r="J37" s="556"/>
    </row>
    <row r="38" spans="1:10" x14ac:dyDescent="0.25">
      <c r="A38" s="558"/>
      <c r="B38" s="186" t="str">
        <f>B$4</f>
        <v>FY19</v>
      </c>
      <c r="C38" s="186" t="str">
        <f t="shared" ref="C38:F38" si="6">C$4</f>
        <v>FY18</v>
      </c>
      <c r="D38" s="186" t="str">
        <f t="shared" si="6"/>
        <v>FY17</v>
      </c>
      <c r="E38" s="186" t="str">
        <f t="shared" si="6"/>
        <v>FY16</v>
      </c>
      <c r="F38" s="186" t="str">
        <f t="shared" si="6"/>
        <v>FY15</v>
      </c>
      <c r="G38" s="255" t="s">
        <v>1002</v>
      </c>
      <c r="H38" s="255" t="s">
        <v>1003</v>
      </c>
      <c r="I38" s="255" t="s">
        <v>1004</v>
      </c>
      <c r="J38" s="255" t="s">
        <v>1005</v>
      </c>
    </row>
    <row r="39" spans="1:10" s="182" customFormat="1" x14ac:dyDescent="0.25">
      <c r="A39" s="187" t="s">
        <v>788</v>
      </c>
      <c r="B39" s="188"/>
      <c r="C39" s="188"/>
      <c r="D39" s="188"/>
      <c r="E39" s="188"/>
      <c r="F39" s="188"/>
      <c r="G39" s="188"/>
      <c r="H39" s="188"/>
      <c r="I39" s="188"/>
      <c r="J39" s="189"/>
    </row>
    <row r="40" spans="1:10" x14ac:dyDescent="0.25">
      <c r="A40" s="238" t="s">
        <v>1006</v>
      </c>
      <c r="B40" s="191">
        <v>-252.78944999999999</v>
      </c>
      <c r="C40" s="191">
        <v>-59.603999999999999</v>
      </c>
      <c r="D40" s="191">
        <f>+B40/100000</f>
        <v>-2.5278944999999999E-3</v>
      </c>
      <c r="E40" s="191">
        <f>+C40/100000</f>
        <v>-5.9603999999999994E-4</v>
      </c>
      <c r="F40" s="191"/>
      <c r="G40" s="192">
        <f t="shared" ref="G40:J46" si="7">(B40-C40)/C40</f>
        <v>3.2411490839540971</v>
      </c>
      <c r="H40" s="192">
        <f t="shared" si="7"/>
        <v>23577.51563821196</v>
      </c>
      <c r="I40" s="192">
        <f t="shared" si="7"/>
        <v>3.2411490839540975</v>
      </c>
      <c r="J40" s="192" t="e">
        <f t="shared" si="7"/>
        <v>#DIV/0!</v>
      </c>
    </row>
    <row r="41" spans="1:10" x14ac:dyDescent="0.25">
      <c r="A41" s="238" t="s">
        <v>622</v>
      </c>
      <c r="B41" s="191">
        <v>0</v>
      </c>
      <c r="C41" s="191">
        <v>0</v>
      </c>
      <c r="D41" s="191">
        <f t="shared" ref="D41:D67" si="8">+B41/100000</f>
        <v>0</v>
      </c>
      <c r="E41" s="191">
        <f t="shared" ref="E41:E65" si="9">+C41/100000</f>
        <v>0</v>
      </c>
      <c r="F41" s="191"/>
      <c r="G41" s="192" t="e">
        <f t="shared" si="7"/>
        <v>#DIV/0!</v>
      </c>
      <c r="H41" s="192" t="e">
        <f t="shared" si="7"/>
        <v>#DIV/0!</v>
      </c>
      <c r="I41" s="192" t="e">
        <f t="shared" si="7"/>
        <v>#DIV/0!</v>
      </c>
      <c r="J41" s="192" t="e">
        <f t="shared" si="7"/>
        <v>#DIV/0!</v>
      </c>
    </row>
    <row r="42" spans="1:10" x14ac:dyDescent="0.25">
      <c r="A42" s="194" t="s">
        <v>623</v>
      </c>
      <c r="B42" s="256">
        <v>-252.78944999999999</v>
      </c>
      <c r="C42" s="256">
        <v>-59.603999999999999</v>
      </c>
      <c r="D42" s="256">
        <f t="shared" si="8"/>
        <v>-2.5278944999999999E-3</v>
      </c>
      <c r="E42" s="256">
        <f t="shared" si="9"/>
        <v>-5.9603999999999994E-4</v>
      </c>
      <c r="F42" s="244">
        <f>F40+F41</f>
        <v>0</v>
      </c>
      <c r="G42" s="195">
        <f t="shared" si="7"/>
        <v>3.2411490839540971</v>
      </c>
      <c r="H42" s="195">
        <f t="shared" si="7"/>
        <v>23577.51563821196</v>
      </c>
      <c r="I42" s="195">
        <f t="shared" si="7"/>
        <v>3.2411490839540975</v>
      </c>
      <c r="J42" s="195" t="e">
        <f t="shared" si="7"/>
        <v>#DIV/0!</v>
      </c>
    </row>
    <row r="43" spans="1:10" x14ac:dyDescent="0.25">
      <c r="A43" s="238" t="s">
        <v>624</v>
      </c>
      <c r="B43" s="191">
        <v>0</v>
      </c>
      <c r="C43" s="191">
        <v>0</v>
      </c>
      <c r="D43" s="191">
        <f t="shared" si="8"/>
        <v>0</v>
      </c>
      <c r="E43" s="191">
        <f t="shared" si="9"/>
        <v>0</v>
      </c>
      <c r="F43" s="191"/>
      <c r="G43" s="192" t="e">
        <f t="shared" si="7"/>
        <v>#DIV/0!</v>
      </c>
      <c r="H43" s="192" t="e">
        <f t="shared" si="7"/>
        <v>#DIV/0!</v>
      </c>
      <c r="I43" s="192" t="e">
        <f t="shared" si="7"/>
        <v>#DIV/0!</v>
      </c>
      <c r="J43" s="192" t="e">
        <f t="shared" si="7"/>
        <v>#DIV/0!</v>
      </c>
    </row>
    <row r="44" spans="1:10" x14ac:dyDescent="0.25">
      <c r="A44" s="238" t="s">
        <v>625</v>
      </c>
      <c r="B44" s="191">
        <v>0</v>
      </c>
      <c r="C44" s="191">
        <v>0</v>
      </c>
      <c r="D44" s="191">
        <f t="shared" si="8"/>
        <v>0</v>
      </c>
      <c r="E44" s="191">
        <f t="shared" si="9"/>
        <v>0</v>
      </c>
      <c r="F44" s="191"/>
      <c r="G44" s="192" t="e">
        <f t="shared" si="7"/>
        <v>#DIV/0!</v>
      </c>
      <c r="H44" s="192" t="e">
        <f t="shared" si="7"/>
        <v>#DIV/0!</v>
      </c>
      <c r="I44" s="192" t="e">
        <f t="shared" si="7"/>
        <v>#DIV/0!</v>
      </c>
      <c r="J44" s="192" t="e">
        <f t="shared" si="7"/>
        <v>#DIV/0!</v>
      </c>
    </row>
    <row r="45" spans="1:10" x14ac:dyDescent="0.25">
      <c r="A45" s="238" t="s">
        <v>626</v>
      </c>
      <c r="B45" s="191">
        <v>0</v>
      </c>
      <c r="C45" s="191">
        <v>0</v>
      </c>
      <c r="D45" s="191">
        <f t="shared" si="8"/>
        <v>0</v>
      </c>
      <c r="E45" s="191">
        <f t="shared" si="9"/>
        <v>0</v>
      </c>
      <c r="F45" s="191"/>
      <c r="G45" s="192" t="e">
        <f t="shared" si="7"/>
        <v>#DIV/0!</v>
      </c>
      <c r="H45" s="192" t="e">
        <f t="shared" si="7"/>
        <v>#DIV/0!</v>
      </c>
      <c r="I45" s="192" t="e">
        <f t="shared" si="7"/>
        <v>#DIV/0!</v>
      </c>
      <c r="J45" s="192" t="e">
        <f t="shared" si="7"/>
        <v>#DIV/0!</v>
      </c>
    </row>
    <row r="46" spans="1:10" x14ac:dyDescent="0.25">
      <c r="A46" s="194" t="s">
        <v>627</v>
      </c>
      <c r="B46" s="256">
        <v>-252.78944999999999</v>
      </c>
      <c r="C46" s="256">
        <v>-59.603999999999999</v>
      </c>
      <c r="D46" s="256">
        <f t="shared" si="8"/>
        <v>-2.5278944999999999E-3</v>
      </c>
      <c r="E46" s="256">
        <f t="shared" si="9"/>
        <v>-5.9603999999999994E-4</v>
      </c>
      <c r="F46" s="244">
        <f>F42-F43-F44-F45-F81</f>
        <v>0</v>
      </c>
      <c r="G46" s="195">
        <f t="shared" si="7"/>
        <v>3.2411490839540971</v>
      </c>
      <c r="H46" s="195">
        <f t="shared" si="7"/>
        <v>23577.51563821196</v>
      </c>
      <c r="I46" s="195">
        <f t="shared" si="7"/>
        <v>3.2411490839540975</v>
      </c>
      <c r="J46" s="195" t="e">
        <f t="shared" si="7"/>
        <v>#DIV/0!</v>
      </c>
    </row>
    <row r="47" spans="1:10" s="182" customFormat="1" x14ac:dyDescent="0.25">
      <c r="A47" s="187" t="s">
        <v>789</v>
      </c>
      <c r="B47" s="258">
        <v>0</v>
      </c>
      <c r="C47" s="258">
        <v>0</v>
      </c>
      <c r="D47" s="258">
        <f t="shared" si="8"/>
        <v>0</v>
      </c>
      <c r="E47" s="258">
        <f t="shared" si="9"/>
        <v>0</v>
      </c>
      <c r="F47" s="198"/>
      <c r="G47" s="188"/>
      <c r="H47" s="188"/>
      <c r="I47" s="188"/>
      <c r="J47" s="189"/>
    </row>
    <row r="48" spans="1:10" x14ac:dyDescent="0.25">
      <c r="A48" s="238" t="s">
        <v>628</v>
      </c>
      <c r="B48" s="191">
        <v>0</v>
      </c>
      <c r="C48" s="191">
        <v>0</v>
      </c>
      <c r="D48" s="191">
        <f t="shared" si="8"/>
        <v>0</v>
      </c>
      <c r="E48" s="191">
        <f t="shared" si="9"/>
        <v>0</v>
      </c>
      <c r="F48" s="191"/>
      <c r="G48" s="192" t="e">
        <f t="shared" ref="G48:J54" si="10">(B48-C48)/C48</f>
        <v>#DIV/0!</v>
      </c>
      <c r="H48" s="192" t="e">
        <f t="shared" si="10"/>
        <v>#DIV/0!</v>
      </c>
      <c r="I48" s="192" t="e">
        <f t="shared" si="10"/>
        <v>#DIV/0!</v>
      </c>
      <c r="J48" s="192" t="e">
        <f t="shared" si="10"/>
        <v>#DIV/0!</v>
      </c>
    </row>
    <row r="49" spans="1:10" x14ac:dyDescent="0.25">
      <c r="A49" s="238" t="s">
        <v>630</v>
      </c>
      <c r="B49" s="191">
        <v>16.507960000000001</v>
      </c>
      <c r="C49" s="191">
        <v>4.1308800000000003</v>
      </c>
      <c r="D49" s="191">
        <f t="shared" si="8"/>
        <v>1.6507960000000001E-4</v>
      </c>
      <c r="E49" s="191">
        <f t="shared" si="9"/>
        <v>4.13088E-5</v>
      </c>
      <c r="F49" s="191"/>
      <c r="G49" s="192">
        <f t="shared" si="10"/>
        <v>2.9962332481214653</v>
      </c>
      <c r="H49" s="192">
        <f t="shared" si="10"/>
        <v>25022.564389542982</v>
      </c>
      <c r="I49" s="192">
        <f t="shared" si="10"/>
        <v>2.9962332481214662</v>
      </c>
      <c r="J49" s="192" t="e">
        <f t="shared" si="10"/>
        <v>#DIV/0!</v>
      </c>
    </row>
    <row r="50" spans="1:10" x14ac:dyDescent="0.25">
      <c r="A50" s="238" t="s">
        <v>631</v>
      </c>
      <c r="B50" s="191">
        <v>368.03357</v>
      </c>
      <c r="C50" s="191">
        <v>577.58677</v>
      </c>
      <c r="D50" s="191">
        <f t="shared" si="8"/>
        <v>3.6803357000000001E-3</v>
      </c>
      <c r="E50" s="191">
        <f t="shared" si="9"/>
        <v>5.7758677000000003E-3</v>
      </c>
      <c r="F50" s="191"/>
      <c r="G50" s="192">
        <f t="shared" si="10"/>
        <v>-0.36280817166224222</v>
      </c>
      <c r="H50" s="192">
        <f t="shared" si="10"/>
        <v>156937.61024688592</v>
      </c>
      <c r="I50" s="192">
        <f t="shared" si="10"/>
        <v>-0.36280817166224222</v>
      </c>
      <c r="J50" s="192" t="e">
        <f t="shared" si="10"/>
        <v>#DIV/0!</v>
      </c>
    </row>
    <row r="51" spans="1:10" x14ac:dyDescent="0.25">
      <c r="A51" s="238" t="s">
        <v>1007</v>
      </c>
      <c r="B51" s="257">
        <v>0</v>
      </c>
      <c r="C51" s="257">
        <v>0</v>
      </c>
      <c r="D51" s="257">
        <f t="shared" si="8"/>
        <v>0</v>
      </c>
      <c r="E51" s="257">
        <f t="shared" si="9"/>
        <v>0</v>
      </c>
      <c r="F51" s="197"/>
      <c r="G51" s="192" t="e">
        <f t="shared" si="10"/>
        <v>#DIV/0!</v>
      </c>
      <c r="H51" s="192" t="e">
        <f t="shared" si="10"/>
        <v>#DIV/0!</v>
      </c>
      <c r="I51" s="192" t="e">
        <f t="shared" si="10"/>
        <v>#DIV/0!</v>
      </c>
      <c r="J51" s="192" t="e">
        <f t="shared" si="10"/>
        <v>#DIV/0!</v>
      </c>
    </row>
    <row r="52" spans="1:10" x14ac:dyDescent="0.25">
      <c r="A52" s="238" t="s">
        <v>1008</v>
      </c>
      <c r="B52" s="257">
        <v>0</v>
      </c>
      <c r="C52" s="257">
        <v>0</v>
      </c>
      <c r="D52" s="257">
        <f t="shared" si="8"/>
        <v>0</v>
      </c>
      <c r="E52" s="257">
        <f t="shared" si="9"/>
        <v>0</v>
      </c>
      <c r="F52" s="197"/>
      <c r="G52" s="192" t="e">
        <f t="shared" si="10"/>
        <v>#DIV/0!</v>
      </c>
      <c r="H52" s="192" t="e">
        <f t="shared" si="10"/>
        <v>#DIV/0!</v>
      </c>
      <c r="I52" s="192" t="e">
        <f t="shared" si="10"/>
        <v>#DIV/0!</v>
      </c>
      <c r="J52" s="192" t="e">
        <f t="shared" si="10"/>
        <v>#DIV/0!</v>
      </c>
    </row>
    <row r="53" spans="1:10" x14ac:dyDescent="0.25">
      <c r="A53" s="238" t="s">
        <v>1009</v>
      </c>
      <c r="B53" s="257">
        <v>0</v>
      </c>
      <c r="C53" s="257">
        <v>0</v>
      </c>
      <c r="D53" s="257">
        <f t="shared" si="8"/>
        <v>0</v>
      </c>
      <c r="E53" s="257">
        <f t="shared" si="9"/>
        <v>0</v>
      </c>
      <c r="F53" s="197"/>
      <c r="G53" s="192" t="e">
        <f t="shared" si="10"/>
        <v>#DIV/0!</v>
      </c>
      <c r="H53" s="192" t="e">
        <f t="shared" si="10"/>
        <v>#DIV/0!</v>
      </c>
      <c r="I53" s="192" t="e">
        <f t="shared" si="10"/>
        <v>#DIV/0!</v>
      </c>
      <c r="J53" s="192" t="e">
        <f t="shared" si="10"/>
        <v>#DIV/0!</v>
      </c>
    </row>
    <row r="54" spans="1:10" x14ac:dyDescent="0.25">
      <c r="A54" s="194" t="s">
        <v>632</v>
      </c>
      <c r="B54" s="256">
        <v>384.54153000000002</v>
      </c>
      <c r="C54" s="256">
        <v>581.71765000000005</v>
      </c>
      <c r="D54" s="256">
        <f t="shared" si="8"/>
        <v>3.8454153000000001E-3</v>
      </c>
      <c r="E54" s="256">
        <f t="shared" si="9"/>
        <v>5.8171765000000009E-3</v>
      </c>
      <c r="F54" s="244">
        <f>SUM(F48:F53)</f>
        <v>0</v>
      </c>
      <c r="G54" s="195">
        <f t="shared" si="10"/>
        <v>-0.33895502397082161</v>
      </c>
      <c r="H54" s="195">
        <f t="shared" si="10"/>
        <v>151274.6372504161</v>
      </c>
      <c r="I54" s="195">
        <f t="shared" si="10"/>
        <v>-0.33895502397082167</v>
      </c>
      <c r="J54" s="195" t="e">
        <f t="shared" si="10"/>
        <v>#DIV/0!</v>
      </c>
    </row>
    <row r="55" spans="1:10" s="182" customFormat="1" x14ac:dyDescent="0.25">
      <c r="A55" s="187" t="s">
        <v>790</v>
      </c>
      <c r="B55" s="258">
        <v>0</v>
      </c>
      <c r="C55" s="258">
        <v>0</v>
      </c>
      <c r="D55" s="258">
        <f t="shared" si="8"/>
        <v>0</v>
      </c>
      <c r="E55" s="258">
        <f t="shared" si="9"/>
        <v>0</v>
      </c>
      <c r="F55" s="198"/>
      <c r="G55" s="188"/>
      <c r="H55" s="188"/>
      <c r="I55" s="188"/>
      <c r="J55" s="189"/>
    </row>
    <row r="56" spans="1:10" x14ac:dyDescent="0.25">
      <c r="A56" s="238" t="s">
        <v>633</v>
      </c>
      <c r="B56" s="191">
        <v>0</v>
      </c>
      <c r="C56" s="191">
        <v>0</v>
      </c>
      <c r="D56" s="191">
        <f t="shared" si="8"/>
        <v>0</v>
      </c>
      <c r="E56" s="191">
        <f t="shared" si="9"/>
        <v>0</v>
      </c>
      <c r="F56" s="191"/>
      <c r="G56" s="192" t="e">
        <f t="shared" ref="G56:J67" si="11">(B56-C56)/C56</f>
        <v>#DIV/0!</v>
      </c>
      <c r="H56" s="192" t="e">
        <f t="shared" si="11"/>
        <v>#DIV/0!</v>
      </c>
      <c r="I56" s="192" t="e">
        <f t="shared" si="11"/>
        <v>#DIV/0!</v>
      </c>
      <c r="J56" s="192" t="e">
        <f t="shared" si="11"/>
        <v>#DIV/0!</v>
      </c>
    </row>
    <row r="57" spans="1:10" x14ac:dyDescent="0.25">
      <c r="A57" s="238" t="s">
        <v>634</v>
      </c>
      <c r="B57" s="191">
        <v>225.30422999999999</v>
      </c>
      <c r="C57" s="191">
        <v>90.871160000000003</v>
      </c>
      <c r="D57" s="191">
        <f t="shared" si="8"/>
        <v>2.2530422999999999E-3</v>
      </c>
      <c r="E57" s="191">
        <f t="shared" si="9"/>
        <v>9.0871160000000008E-4</v>
      </c>
      <c r="F57" s="191"/>
      <c r="G57" s="192">
        <f t="shared" si="11"/>
        <v>1.4793810269396801</v>
      </c>
      <c r="H57" s="192">
        <f t="shared" si="11"/>
        <v>40331.647105649106</v>
      </c>
      <c r="I57" s="192">
        <f t="shared" si="11"/>
        <v>1.4793810269396799</v>
      </c>
      <c r="J57" s="192" t="e">
        <f t="shared" si="11"/>
        <v>#DIV/0!</v>
      </c>
    </row>
    <row r="58" spans="1:10" x14ac:dyDescent="0.25">
      <c r="A58" s="238" t="s">
        <v>635</v>
      </c>
      <c r="B58" s="191">
        <v>0</v>
      </c>
      <c r="C58" s="191">
        <v>0</v>
      </c>
      <c r="D58" s="191">
        <f t="shared" si="8"/>
        <v>0</v>
      </c>
      <c r="E58" s="191">
        <f t="shared" si="9"/>
        <v>0</v>
      </c>
      <c r="F58" s="191"/>
      <c r="G58" s="192" t="e">
        <f t="shared" si="11"/>
        <v>#DIV/0!</v>
      </c>
      <c r="H58" s="192" t="e">
        <f t="shared" si="11"/>
        <v>#DIV/0!</v>
      </c>
      <c r="I58" s="192" t="e">
        <f t="shared" si="11"/>
        <v>#DIV/0!</v>
      </c>
      <c r="J58" s="192" t="e">
        <f t="shared" si="11"/>
        <v>#DIV/0!</v>
      </c>
    </row>
    <row r="59" spans="1:10" x14ac:dyDescent="0.25">
      <c r="A59" s="238" t="s">
        <v>629</v>
      </c>
      <c r="B59" s="191">
        <v>0</v>
      </c>
      <c r="C59" s="191">
        <v>0</v>
      </c>
      <c r="D59" s="191">
        <f t="shared" si="8"/>
        <v>0</v>
      </c>
      <c r="E59" s="191">
        <f t="shared" si="9"/>
        <v>0</v>
      </c>
      <c r="F59" s="191"/>
      <c r="G59" s="192" t="e">
        <f t="shared" si="11"/>
        <v>#DIV/0!</v>
      </c>
      <c r="H59" s="192" t="e">
        <f t="shared" si="11"/>
        <v>#DIV/0!</v>
      </c>
      <c r="I59" s="192" t="e">
        <f t="shared" si="11"/>
        <v>#DIV/0!</v>
      </c>
      <c r="J59" s="192" t="e">
        <f t="shared" si="11"/>
        <v>#DIV/0!</v>
      </c>
    </row>
    <row r="60" spans="1:10" x14ac:dyDescent="0.25">
      <c r="A60" s="238" t="s">
        <v>637</v>
      </c>
      <c r="B60" s="191">
        <v>0</v>
      </c>
      <c r="C60" s="191">
        <v>0</v>
      </c>
      <c r="D60" s="191">
        <f t="shared" si="8"/>
        <v>0</v>
      </c>
      <c r="E60" s="191">
        <f t="shared" si="9"/>
        <v>0</v>
      </c>
      <c r="F60" s="191"/>
      <c r="G60" s="192" t="e">
        <f t="shared" si="11"/>
        <v>#DIV/0!</v>
      </c>
      <c r="H60" s="192" t="e">
        <f t="shared" si="11"/>
        <v>#DIV/0!</v>
      </c>
      <c r="I60" s="192" t="e">
        <f t="shared" si="11"/>
        <v>#DIV/0!</v>
      </c>
      <c r="J60" s="192" t="e">
        <f t="shared" si="11"/>
        <v>#DIV/0!</v>
      </c>
    </row>
    <row r="61" spans="1:10" x14ac:dyDescent="0.25">
      <c r="A61" s="238" t="s">
        <v>636</v>
      </c>
      <c r="B61" s="191">
        <v>0</v>
      </c>
      <c r="C61" s="191">
        <v>0</v>
      </c>
      <c r="D61" s="191">
        <f t="shared" si="8"/>
        <v>0</v>
      </c>
      <c r="E61" s="191">
        <f t="shared" si="9"/>
        <v>0</v>
      </c>
      <c r="F61" s="191"/>
      <c r="G61" s="192" t="e">
        <f t="shared" si="11"/>
        <v>#DIV/0!</v>
      </c>
      <c r="H61" s="192" t="e">
        <f t="shared" si="11"/>
        <v>#DIV/0!</v>
      </c>
      <c r="I61" s="192" t="e">
        <f t="shared" si="11"/>
        <v>#DIV/0!</v>
      </c>
      <c r="J61" s="192" t="e">
        <f t="shared" si="11"/>
        <v>#DIV/0!</v>
      </c>
    </row>
    <row r="62" spans="1:10" x14ac:dyDescent="0.25">
      <c r="A62" s="238" t="s">
        <v>848</v>
      </c>
      <c r="B62" s="191">
        <v>0.95552000000000004</v>
      </c>
      <c r="C62" s="191">
        <v>3.2518400000000001</v>
      </c>
      <c r="D62" s="191">
        <f t="shared" si="8"/>
        <v>9.5551999999999996E-6</v>
      </c>
      <c r="E62" s="191">
        <f t="shared" si="9"/>
        <v>3.2518400000000004E-5</v>
      </c>
      <c r="F62" s="191"/>
      <c r="G62" s="192">
        <f t="shared" si="11"/>
        <v>-0.70616020468411733</v>
      </c>
      <c r="H62" s="192">
        <f t="shared" si="11"/>
        <v>340320.50033489621</v>
      </c>
      <c r="I62" s="192">
        <f t="shared" si="11"/>
        <v>-0.70616020468411733</v>
      </c>
      <c r="J62" s="192" t="e">
        <f t="shared" si="11"/>
        <v>#DIV/0!</v>
      </c>
    </row>
    <row r="63" spans="1:10" x14ac:dyDescent="0.25">
      <c r="A63" s="238" t="s">
        <v>849</v>
      </c>
      <c r="B63" s="191">
        <v>0</v>
      </c>
      <c r="C63" s="191">
        <v>0</v>
      </c>
      <c r="D63" s="191">
        <f t="shared" si="8"/>
        <v>0</v>
      </c>
      <c r="E63" s="191">
        <f t="shared" si="9"/>
        <v>0</v>
      </c>
      <c r="F63" s="191"/>
      <c r="G63" s="192" t="e">
        <f t="shared" si="11"/>
        <v>#DIV/0!</v>
      </c>
      <c r="H63" s="192" t="e">
        <f t="shared" si="11"/>
        <v>#DIV/0!</v>
      </c>
      <c r="I63" s="192" t="e">
        <f t="shared" si="11"/>
        <v>#DIV/0!</v>
      </c>
      <c r="J63" s="192" t="e">
        <f t="shared" si="11"/>
        <v>#DIV/0!</v>
      </c>
    </row>
    <row r="64" spans="1:10" x14ac:dyDescent="0.25">
      <c r="A64" s="238" t="s">
        <v>850</v>
      </c>
      <c r="B64" s="191">
        <v>0</v>
      </c>
      <c r="C64" s="191">
        <v>0</v>
      </c>
      <c r="D64" s="191">
        <f t="shared" si="8"/>
        <v>0</v>
      </c>
      <c r="E64" s="191">
        <f t="shared" si="9"/>
        <v>0</v>
      </c>
      <c r="F64" s="191"/>
      <c r="G64" s="192" t="e">
        <f t="shared" si="11"/>
        <v>#DIV/0!</v>
      </c>
      <c r="H64" s="192" t="e">
        <f t="shared" si="11"/>
        <v>#DIV/0!</v>
      </c>
      <c r="I64" s="192" t="e">
        <f t="shared" si="11"/>
        <v>#DIV/0!</v>
      </c>
      <c r="J64" s="192" t="e">
        <f t="shared" si="11"/>
        <v>#DIV/0!</v>
      </c>
    </row>
    <row r="65" spans="1:10" x14ac:dyDescent="0.25">
      <c r="A65" s="194" t="s">
        <v>638</v>
      </c>
      <c r="B65" s="256">
        <v>226.25975</v>
      </c>
      <c r="C65" s="256">
        <v>94.123000000000005</v>
      </c>
      <c r="D65" s="256">
        <f t="shared" si="8"/>
        <v>2.2625975E-3</v>
      </c>
      <c r="E65" s="256">
        <f t="shared" si="9"/>
        <v>9.4123000000000004E-4</v>
      </c>
      <c r="F65" s="244">
        <f>SUM(F56:F64)</f>
        <v>0</v>
      </c>
      <c r="G65" s="195">
        <f t="shared" si="11"/>
        <v>1.4038731234661028</v>
      </c>
      <c r="H65" s="195">
        <f t="shared" si="11"/>
        <v>41598.53327978131</v>
      </c>
      <c r="I65" s="195">
        <f t="shared" si="11"/>
        <v>1.4038731234661028</v>
      </c>
      <c r="J65" s="195" t="e">
        <f t="shared" si="11"/>
        <v>#DIV/0!</v>
      </c>
    </row>
    <row r="66" spans="1:10" x14ac:dyDescent="0.25">
      <c r="A66" s="194" t="s">
        <v>639</v>
      </c>
      <c r="B66" s="256">
        <v>610.80128000000002</v>
      </c>
      <c r="C66" s="256">
        <v>675.84064999999998</v>
      </c>
      <c r="D66" s="256">
        <v>0</v>
      </c>
      <c r="E66" s="256">
        <v>0</v>
      </c>
      <c r="F66" s="244">
        <f>F54+F65</f>
        <v>0</v>
      </c>
      <c r="G66" s="195">
        <f t="shared" si="11"/>
        <v>-9.6234770725909968E-2</v>
      </c>
      <c r="H66" s="195" t="e">
        <f t="shared" si="11"/>
        <v>#DIV/0!</v>
      </c>
      <c r="I66" s="195" t="e">
        <f t="shared" si="11"/>
        <v>#DIV/0!</v>
      </c>
      <c r="J66" s="195" t="e">
        <f t="shared" si="11"/>
        <v>#DIV/0!</v>
      </c>
    </row>
    <row r="67" spans="1:10" s="182" customFormat="1" x14ac:dyDescent="0.25">
      <c r="A67" s="200" t="s">
        <v>792</v>
      </c>
      <c r="B67" s="260">
        <v>358.01182999999997</v>
      </c>
      <c r="C67" s="260">
        <v>616.23665000000005</v>
      </c>
      <c r="D67" s="260">
        <f t="shared" si="8"/>
        <v>3.5801182999999999E-3</v>
      </c>
      <c r="E67" s="260">
        <v>0</v>
      </c>
      <c r="F67" s="250">
        <f>F42+F66</f>
        <v>0</v>
      </c>
      <c r="G67" s="237">
        <f t="shared" si="11"/>
        <v>-0.41903515475751085</v>
      </c>
      <c r="H67" s="237">
        <f t="shared" si="11"/>
        <v>172126.454559253</v>
      </c>
      <c r="I67" s="237" t="e">
        <f t="shared" si="11"/>
        <v>#DIV/0!</v>
      </c>
      <c r="J67" s="237" t="e">
        <f t="shared" si="11"/>
        <v>#DIV/0!</v>
      </c>
    </row>
    <row r="68" spans="1:10" s="182" customFormat="1" x14ac:dyDescent="0.25">
      <c r="A68" s="559" t="s">
        <v>793</v>
      </c>
      <c r="B68" s="186" t="str">
        <f>B$3</f>
        <v>Audited</v>
      </c>
      <c r="C68" s="186" t="str">
        <f t="shared" ref="C68:F68" si="12">C$3</f>
        <v>Unaudited</v>
      </c>
      <c r="D68" s="186" t="str">
        <f t="shared" si="12"/>
        <v>Audited</v>
      </c>
      <c r="E68" s="186" t="str">
        <f t="shared" si="12"/>
        <v>Audited</v>
      </c>
      <c r="F68" s="186" t="str">
        <f t="shared" si="12"/>
        <v>Audited</v>
      </c>
      <c r="G68" s="561" t="s">
        <v>1000</v>
      </c>
      <c r="H68" s="562"/>
      <c r="I68" s="562"/>
      <c r="J68" s="563"/>
    </row>
    <row r="69" spans="1:10" s="182" customFormat="1" x14ac:dyDescent="0.25">
      <c r="A69" s="560"/>
      <c r="B69" s="186" t="str">
        <f>B$4</f>
        <v>FY19</v>
      </c>
      <c r="C69" s="186" t="str">
        <f t="shared" ref="C69:F69" si="13">C$4</f>
        <v>FY18</v>
      </c>
      <c r="D69" s="186" t="str">
        <f t="shared" si="13"/>
        <v>FY17</v>
      </c>
      <c r="E69" s="186" t="str">
        <f t="shared" si="13"/>
        <v>FY16</v>
      </c>
      <c r="F69" s="186" t="str">
        <f t="shared" si="13"/>
        <v>FY15</v>
      </c>
      <c r="G69" s="255" t="s">
        <v>1002</v>
      </c>
      <c r="H69" s="255" t="s">
        <v>1003</v>
      </c>
      <c r="I69" s="255" t="s">
        <v>1004</v>
      </c>
      <c r="J69" s="255" t="s">
        <v>1005</v>
      </c>
    </row>
    <row r="70" spans="1:10" s="201" customFormat="1" ht="16.5" customHeight="1" x14ac:dyDescent="0.2">
      <c r="A70" s="238" t="s">
        <v>640</v>
      </c>
      <c r="B70" s="191">
        <v>25.70478</v>
      </c>
      <c r="C70" s="191">
        <v>28.880369999999999</v>
      </c>
      <c r="D70" s="191">
        <f>+B70/100000</f>
        <v>2.570478E-4</v>
      </c>
      <c r="E70" s="191">
        <f>+C70/100000</f>
        <v>2.8880369999999999E-4</v>
      </c>
      <c r="F70" s="191"/>
      <c r="G70" s="192">
        <f t="shared" ref="G70:J92" si="14">(B70-C70)/C70</f>
        <v>-0.10995669376811999</v>
      </c>
      <c r="H70" s="192">
        <f t="shared" si="14"/>
        <v>112353.08355955585</v>
      </c>
      <c r="I70" s="192">
        <f t="shared" si="14"/>
        <v>-0.10995669376811998</v>
      </c>
      <c r="J70" s="192" t="e">
        <f t="shared" si="14"/>
        <v>#DIV/0!</v>
      </c>
    </row>
    <row r="71" spans="1:10" s="201" customFormat="1" ht="16.5" customHeight="1" x14ac:dyDescent="0.2">
      <c r="A71" s="238" t="s">
        <v>641</v>
      </c>
      <c r="B71" s="191">
        <v>0</v>
      </c>
      <c r="C71" s="191">
        <v>0</v>
      </c>
      <c r="D71" s="191">
        <f t="shared" ref="D71:D92" si="15">+B71/100000</f>
        <v>0</v>
      </c>
      <c r="E71" s="191">
        <f t="shared" ref="E71:E91" si="16">+C71/100000</f>
        <v>0</v>
      </c>
      <c r="F71" s="191"/>
      <c r="G71" s="192" t="e">
        <f t="shared" si="14"/>
        <v>#DIV/0!</v>
      </c>
      <c r="H71" s="192" t="e">
        <f t="shared" si="14"/>
        <v>#DIV/0!</v>
      </c>
      <c r="I71" s="192" t="e">
        <f t="shared" si="14"/>
        <v>#DIV/0!</v>
      </c>
      <c r="J71" s="192" t="e">
        <f t="shared" si="14"/>
        <v>#DIV/0!</v>
      </c>
    </row>
    <row r="72" spans="1:10" s="196" customFormat="1" ht="16.5" customHeight="1" x14ac:dyDescent="0.2">
      <c r="A72" s="194" t="s">
        <v>642</v>
      </c>
      <c r="B72" s="256">
        <v>25.70478</v>
      </c>
      <c r="C72" s="256">
        <v>28.880369999999999</v>
      </c>
      <c r="D72" s="256">
        <f t="shared" si="15"/>
        <v>2.570478E-4</v>
      </c>
      <c r="E72" s="256">
        <f t="shared" si="16"/>
        <v>2.8880369999999999E-4</v>
      </c>
      <c r="F72" s="244">
        <f>F70-F71</f>
        <v>0</v>
      </c>
      <c r="G72" s="195">
        <f t="shared" si="14"/>
        <v>-0.10995669376811999</v>
      </c>
      <c r="H72" s="195">
        <f t="shared" si="14"/>
        <v>112353.08355955585</v>
      </c>
      <c r="I72" s="195">
        <f t="shared" si="14"/>
        <v>-0.10995669376811998</v>
      </c>
      <c r="J72" s="195" t="e">
        <f t="shared" si="14"/>
        <v>#DIV/0!</v>
      </c>
    </row>
    <row r="73" spans="1:10" s="201" customFormat="1" ht="16.5" customHeight="1" x14ac:dyDescent="0.2">
      <c r="A73" s="238" t="s">
        <v>643</v>
      </c>
      <c r="B73" s="191">
        <v>0</v>
      </c>
      <c r="C73" s="191">
        <v>0</v>
      </c>
      <c r="D73" s="191">
        <f t="shared" si="15"/>
        <v>0</v>
      </c>
      <c r="E73" s="191">
        <f t="shared" si="16"/>
        <v>0</v>
      </c>
      <c r="F73" s="191"/>
      <c r="G73" s="192" t="e">
        <f t="shared" si="14"/>
        <v>#DIV/0!</v>
      </c>
      <c r="H73" s="192" t="e">
        <f t="shared" si="14"/>
        <v>#DIV/0!</v>
      </c>
      <c r="I73" s="192" t="e">
        <f t="shared" si="14"/>
        <v>#DIV/0!</v>
      </c>
      <c r="J73" s="192" t="e">
        <f t="shared" si="14"/>
        <v>#DIV/0!</v>
      </c>
    </row>
    <row r="74" spans="1:10" s="201" customFormat="1" ht="16.5" customHeight="1" x14ac:dyDescent="0.2">
      <c r="A74" s="238" t="s">
        <v>644</v>
      </c>
      <c r="B74" s="191">
        <v>0</v>
      </c>
      <c r="C74" s="191">
        <v>0</v>
      </c>
      <c r="D74" s="191">
        <f t="shared" si="15"/>
        <v>0</v>
      </c>
      <c r="E74" s="191">
        <f t="shared" si="16"/>
        <v>0</v>
      </c>
      <c r="F74" s="191"/>
      <c r="G74" s="192" t="e">
        <f t="shared" si="14"/>
        <v>#DIV/0!</v>
      </c>
      <c r="H74" s="192" t="e">
        <f t="shared" si="14"/>
        <v>#DIV/0!</v>
      </c>
      <c r="I74" s="192" t="e">
        <f t="shared" si="14"/>
        <v>#DIV/0!</v>
      </c>
      <c r="J74" s="192" t="e">
        <f t="shared" si="14"/>
        <v>#DIV/0!</v>
      </c>
    </row>
    <row r="75" spans="1:10" s="201" customFormat="1" ht="16.5" customHeight="1" x14ac:dyDescent="0.2">
      <c r="A75" s="238" t="s">
        <v>645</v>
      </c>
      <c r="B75" s="191">
        <v>70.933580000000006</v>
      </c>
      <c r="C75" s="191">
        <v>0</v>
      </c>
      <c r="D75" s="191">
        <f t="shared" si="15"/>
        <v>7.0933580000000001E-4</v>
      </c>
      <c r="E75" s="191">
        <f t="shared" si="16"/>
        <v>0</v>
      </c>
      <c r="F75" s="191"/>
      <c r="G75" s="192" t="e">
        <f t="shared" si="14"/>
        <v>#DIV/0!</v>
      </c>
      <c r="H75" s="192">
        <f t="shared" si="14"/>
        <v>-1</v>
      </c>
      <c r="I75" s="192" t="e">
        <f t="shared" si="14"/>
        <v>#DIV/0!</v>
      </c>
      <c r="J75" s="192" t="e">
        <f t="shared" si="14"/>
        <v>#DIV/0!</v>
      </c>
    </row>
    <row r="76" spans="1:10" s="196" customFormat="1" ht="16.5" customHeight="1" x14ac:dyDescent="0.2">
      <c r="A76" s="194" t="s">
        <v>1010</v>
      </c>
      <c r="B76" s="256">
        <v>0</v>
      </c>
      <c r="C76" s="256">
        <v>0</v>
      </c>
      <c r="D76" s="256">
        <f t="shared" si="15"/>
        <v>0</v>
      </c>
      <c r="E76" s="256">
        <f t="shared" si="16"/>
        <v>0</v>
      </c>
      <c r="F76" s="244">
        <f>F77+F78+F79+F80+F81</f>
        <v>0</v>
      </c>
      <c r="G76" s="195" t="e">
        <f t="shared" si="14"/>
        <v>#DIV/0!</v>
      </c>
      <c r="H76" s="195" t="e">
        <f t="shared" si="14"/>
        <v>#DIV/0!</v>
      </c>
      <c r="I76" s="195" t="e">
        <f t="shared" si="14"/>
        <v>#DIV/0!</v>
      </c>
      <c r="J76" s="195" t="e">
        <f t="shared" si="14"/>
        <v>#DIV/0!</v>
      </c>
    </row>
    <row r="77" spans="1:10" s="201" customFormat="1" ht="16.5" customHeight="1" x14ac:dyDescent="0.2">
      <c r="A77" s="238" t="s">
        <v>650</v>
      </c>
      <c r="B77" s="191">
        <v>0</v>
      </c>
      <c r="C77" s="191">
        <v>0</v>
      </c>
      <c r="D77" s="191">
        <f t="shared" si="15"/>
        <v>0</v>
      </c>
      <c r="E77" s="191">
        <f t="shared" si="16"/>
        <v>0</v>
      </c>
      <c r="F77" s="191"/>
      <c r="G77" s="192" t="e">
        <f t="shared" si="14"/>
        <v>#DIV/0!</v>
      </c>
      <c r="H77" s="192" t="e">
        <f t="shared" si="14"/>
        <v>#DIV/0!</v>
      </c>
      <c r="I77" s="192" t="e">
        <f t="shared" si="14"/>
        <v>#DIV/0!</v>
      </c>
      <c r="J77" s="192" t="e">
        <f t="shared" si="14"/>
        <v>#DIV/0!</v>
      </c>
    </row>
    <row r="78" spans="1:10" s="201" customFormat="1" ht="16.5" customHeight="1" x14ac:dyDescent="0.2">
      <c r="A78" s="238" t="s">
        <v>654</v>
      </c>
      <c r="B78" s="191">
        <v>0</v>
      </c>
      <c r="C78" s="191">
        <v>0</v>
      </c>
      <c r="D78" s="191">
        <f t="shared" si="15"/>
        <v>0</v>
      </c>
      <c r="E78" s="191">
        <f t="shared" si="16"/>
        <v>0</v>
      </c>
      <c r="F78" s="191"/>
      <c r="G78" s="192" t="e">
        <f t="shared" si="14"/>
        <v>#DIV/0!</v>
      </c>
      <c r="H78" s="192" t="e">
        <f t="shared" si="14"/>
        <v>#DIV/0!</v>
      </c>
      <c r="I78" s="192" t="e">
        <f t="shared" si="14"/>
        <v>#DIV/0!</v>
      </c>
      <c r="J78" s="192" t="e">
        <f t="shared" si="14"/>
        <v>#DIV/0!</v>
      </c>
    </row>
    <row r="79" spans="1:10" s="201" customFormat="1" ht="16.5" customHeight="1" x14ac:dyDescent="0.2">
      <c r="A79" s="238" t="s">
        <v>1011</v>
      </c>
      <c r="B79" s="191">
        <v>0</v>
      </c>
      <c r="C79" s="191">
        <v>0</v>
      </c>
      <c r="D79" s="191">
        <f t="shared" si="15"/>
        <v>0</v>
      </c>
      <c r="E79" s="191">
        <f t="shared" si="16"/>
        <v>0</v>
      </c>
      <c r="F79" s="191"/>
      <c r="G79" s="192" t="e">
        <f t="shared" si="14"/>
        <v>#DIV/0!</v>
      </c>
      <c r="H79" s="192" t="e">
        <f t="shared" si="14"/>
        <v>#DIV/0!</v>
      </c>
      <c r="I79" s="192" t="e">
        <f t="shared" si="14"/>
        <v>#DIV/0!</v>
      </c>
      <c r="J79" s="192" t="e">
        <f t="shared" si="14"/>
        <v>#DIV/0!</v>
      </c>
    </row>
    <row r="80" spans="1:10" s="201" customFormat="1" ht="16.5" customHeight="1" x14ac:dyDescent="0.2">
      <c r="A80" s="238" t="s">
        <v>1012</v>
      </c>
      <c r="B80" s="191">
        <v>0</v>
      </c>
      <c r="C80" s="191">
        <v>0</v>
      </c>
      <c r="D80" s="191">
        <f t="shared" si="15"/>
        <v>0</v>
      </c>
      <c r="E80" s="191">
        <f t="shared" si="16"/>
        <v>0</v>
      </c>
      <c r="F80" s="191"/>
      <c r="G80" s="192" t="e">
        <f t="shared" si="14"/>
        <v>#DIV/0!</v>
      </c>
      <c r="H80" s="192" t="e">
        <f t="shared" si="14"/>
        <v>#DIV/0!</v>
      </c>
      <c r="I80" s="192" t="e">
        <f t="shared" si="14"/>
        <v>#DIV/0!</v>
      </c>
      <c r="J80" s="192" t="e">
        <f t="shared" si="14"/>
        <v>#DIV/0!</v>
      </c>
    </row>
    <row r="81" spans="1:10" s="201" customFormat="1" ht="16.5" customHeight="1" x14ac:dyDescent="0.2">
      <c r="A81" s="238" t="s">
        <v>647</v>
      </c>
      <c r="B81" s="191">
        <v>0</v>
      </c>
      <c r="C81" s="191">
        <v>0</v>
      </c>
      <c r="D81" s="191">
        <f t="shared" si="15"/>
        <v>0</v>
      </c>
      <c r="E81" s="191">
        <f t="shared" si="16"/>
        <v>0</v>
      </c>
      <c r="F81" s="191"/>
      <c r="G81" s="192" t="e">
        <f t="shared" si="14"/>
        <v>#DIV/0!</v>
      </c>
      <c r="H81" s="192" t="e">
        <f t="shared" si="14"/>
        <v>#DIV/0!</v>
      </c>
      <c r="I81" s="192" t="e">
        <f t="shared" si="14"/>
        <v>#DIV/0!</v>
      </c>
      <c r="J81" s="192" t="e">
        <f t="shared" si="14"/>
        <v>#DIV/0!</v>
      </c>
    </row>
    <row r="82" spans="1:10" s="196" customFormat="1" ht="16.5" customHeight="1" x14ac:dyDescent="0.2">
      <c r="A82" s="194" t="s">
        <v>646</v>
      </c>
      <c r="B82" s="256">
        <v>261.37347</v>
      </c>
      <c r="C82" s="256">
        <v>587.35627999999997</v>
      </c>
      <c r="D82" s="256">
        <f t="shared" si="15"/>
        <v>2.6137347000000002E-3</v>
      </c>
      <c r="E82" s="256">
        <v>0</v>
      </c>
      <c r="F82" s="244">
        <f>F83+F85+F86+F87</f>
        <v>0</v>
      </c>
      <c r="G82" s="195">
        <f t="shared" si="14"/>
        <v>-0.55500012700979373</v>
      </c>
      <c r="H82" s="195">
        <f t="shared" si="14"/>
        <v>224718.16526187598</v>
      </c>
      <c r="I82" s="195" t="e">
        <f t="shared" si="14"/>
        <v>#DIV/0!</v>
      </c>
      <c r="J82" s="195" t="e">
        <f t="shared" si="14"/>
        <v>#DIV/0!</v>
      </c>
    </row>
    <row r="83" spans="1:10" s="201" customFormat="1" ht="16.5" customHeight="1" x14ac:dyDescent="0.2">
      <c r="A83" s="238" t="s">
        <v>648</v>
      </c>
      <c r="B83" s="191">
        <v>131.09107</v>
      </c>
      <c r="C83" s="191">
        <v>93.829989999999995</v>
      </c>
      <c r="D83" s="191">
        <f t="shared" si="15"/>
        <v>1.3109107E-3</v>
      </c>
      <c r="E83" s="191">
        <f t="shared" si="16"/>
        <v>9.3829989999999995E-4</v>
      </c>
      <c r="F83" s="191"/>
      <c r="G83" s="192">
        <f t="shared" si="14"/>
        <v>0.39711269286077949</v>
      </c>
      <c r="H83" s="192">
        <f t="shared" si="14"/>
        <v>71575.187455026491</v>
      </c>
      <c r="I83" s="192">
        <f t="shared" si="14"/>
        <v>0.39711269286077944</v>
      </c>
      <c r="J83" s="192" t="e">
        <f t="shared" si="14"/>
        <v>#DIV/0!</v>
      </c>
    </row>
    <row r="84" spans="1:10" s="196" customFormat="1" ht="16.5" customHeight="1" x14ac:dyDescent="0.2">
      <c r="A84" s="194" t="s">
        <v>649</v>
      </c>
      <c r="B84" s="256">
        <v>10.34562</v>
      </c>
      <c r="C84" s="256">
        <v>37.05686</v>
      </c>
      <c r="D84" s="256">
        <f t="shared" si="15"/>
        <v>1.0345620000000001E-4</v>
      </c>
      <c r="E84" s="256">
        <f t="shared" si="16"/>
        <v>3.7056859999999998E-4</v>
      </c>
      <c r="F84" s="244">
        <f>F85+F77</f>
        <v>0</v>
      </c>
      <c r="G84" s="195">
        <f t="shared" si="14"/>
        <v>-0.72081768395919132</v>
      </c>
      <c r="H84" s="195">
        <f t="shared" si="14"/>
        <v>358187.87606542668</v>
      </c>
      <c r="I84" s="195">
        <f t="shared" si="14"/>
        <v>-0.72081768395919132</v>
      </c>
      <c r="J84" s="195" t="e">
        <f t="shared" si="14"/>
        <v>#DIV/0!</v>
      </c>
    </row>
    <row r="85" spans="1:10" s="201" customFormat="1" ht="16.5" customHeight="1" x14ac:dyDescent="0.2">
      <c r="A85" s="238" t="s">
        <v>651</v>
      </c>
      <c r="B85" s="191">
        <v>10.34562</v>
      </c>
      <c r="C85" s="191">
        <v>37.05686</v>
      </c>
      <c r="D85" s="191">
        <f t="shared" si="15"/>
        <v>1.0345620000000001E-4</v>
      </c>
      <c r="E85" s="191">
        <f t="shared" si="16"/>
        <v>3.7056859999999998E-4</v>
      </c>
      <c r="F85" s="191"/>
      <c r="G85" s="192">
        <f t="shared" si="14"/>
        <v>-0.72081768395919132</v>
      </c>
      <c r="H85" s="192">
        <f t="shared" si="14"/>
        <v>358187.87606542668</v>
      </c>
      <c r="I85" s="192">
        <f t="shared" si="14"/>
        <v>-0.72081768395919132</v>
      </c>
      <c r="J85" s="192" t="e">
        <f t="shared" si="14"/>
        <v>#DIV/0!</v>
      </c>
    </row>
    <row r="86" spans="1:10" s="201" customFormat="1" ht="16.5" customHeight="1" x14ac:dyDescent="0.2">
      <c r="A86" s="238" t="s">
        <v>652</v>
      </c>
      <c r="B86" s="191">
        <v>89.434939999999997</v>
      </c>
      <c r="C86" s="191">
        <v>265.84334999999999</v>
      </c>
      <c r="D86" s="191">
        <f t="shared" si="15"/>
        <v>8.9434939999999993E-4</v>
      </c>
      <c r="E86" s="191">
        <f t="shared" si="16"/>
        <v>2.6584334999999997E-3</v>
      </c>
      <c r="F86" s="191"/>
      <c r="G86" s="192">
        <f t="shared" si="14"/>
        <v>-0.66358030020310843</v>
      </c>
      <c r="H86" s="192">
        <f t="shared" si="14"/>
        <v>297246.75350662722</v>
      </c>
      <c r="I86" s="192">
        <f t="shared" si="14"/>
        <v>-0.66358030020310832</v>
      </c>
      <c r="J86" s="192" t="e">
        <f t="shared" si="14"/>
        <v>#DIV/0!</v>
      </c>
    </row>
    <row r="87" spans="1:10" s="196" customFormat="1" ht="16.5" customHeight="1" x14ac:dyDescent="0.2">
      <c r="A87" s="194" t="s">
        <v>844</v>
      </c>
      <c r="B87" s="256">
        <v>30.501840000000001</v>
      </c>
      <c r="C87" s="256">
        <v>190.62608</v>
      </c>
      <c r="D87" s="256">
        <f t="shared" si="15"/>
        <v>3.0501840000000003E-4</v>
      </c>
      <c r="E87" s="256">
        <f t="shared" si="16"/>
        <v>1.9062608E-3</v>
      </c>
      <c r="F87" s="244">
        <f>F88+F89+F90+F91</f>
        <v>0</v>
      </c>
      <c r="G87" s="195">
        <f t="shared" si="14"/>
        <v>-0.83999125408233744</v>
      </c>
      <c r="H87" s="195">
        <f t="shared" si="14"/>
        <v>624964.83812648675</v>
      </c>
      <c r="I87" s="195">
        <f t="shared" si="14"/>
        <v>-0.83999125408233744</v>
      </c>
      <c r="J87" s="195" t="e">
        <f t="shared" si="14"/>
        <v>#DIV/0!</v>
      </c>
    </row>
    <row r="88" spans="1:10" s="201" customFormat="1" ht="16.5" customHeight="1" x14ac:dyDescent="0.2">
      <c r="A88" s="238" t="s">
        <v>655</v>
      </c>
      <c r="B88" s="191">
        <v>30.501840000000001</v>
      </c>
      <c r="C88" s="191">
        <v>190.62608</v>
      </c>
      <c r="D88" s="191">
        <f t="shared" si="15"/>
        <v>3.0501840000000003E-4</v>
      </c>
      <c r="E88" s="191">
        <f t="shared" si="16"/>
        <v>1.9062608E-3</v>
      </c>
      <c r="F88" s="191"/>
      <c r="G88" s="192">
        <f t="shared" si="14"/>
        <v>-0.83999125408233744</v>
      </c>
      <c r="H88" s="192">
        <f t="shared" si="14"/>
        <v>624964.83812648675</v>
      </c>
      <c r="I88" s="192">
        <f t="shared" si="14"/>
        <v>-0.83999125408233744</v>
      </c>
      <c r="J88" s="192" t="e">
        <f t="shared" si="14"/>
        <v>#DIV/0!</v>
      </c>
    </row>
    <row r="89" spans="1:10" s="201" customFormat="1" ht="16.5" customHeight="1" x14ac:dyDescent="0.2">
      <c r="A89" s="238" t="s">
        <v>845</v>
      </c>
      <c r="B89" s="191">
        <v>0</v>
      </c>
      <c r="C89" s="191">
        <v>0</v>
      </c>
      <c r="D89" s="191">
        <f t="shared" si="15"/>
        <v>0</v>
      </c>
      <c r="E89" s="191">
        <f t="shared" si="16"/>
        <v>0</v>
      </c>
      <c r="F89" s="191"/>
      <c r="G89" s="192" t="e">
        <f t="shared" si="14"/>
        <v>#DIV/0!</v>
      </c>
      <c r="H89" s="192" t="e">
        <f t="shared" si="14"/>
        <v>#DIV/0!</v>
      </c>
      <c r="I89" s="192" t="e">
        <f t="shared" si="14"/>
        <v>#DIV/0!</v>
      </c>
      <c r="J89" s="192" t="e">
        <f t="shared" si="14"/>
        <v>#DIV/0!</v>
      </c>
    </row>
    <row r="90" spans="1:10" s="201" customFormat="1" ht="16.5" customHeight="1" x14ac:dyDescent="0.2">
      <c r="A90" s="238" t="s">
        <v>847</v>
      </c>
      <c r="B90" s="191">
        <v>0</v>
      </c>
      <c r="C90" s="191">
        <v>0</v>
      </c>
      <c r="D90" s="191">
        <f t="shared" si="15"/>
        <v>0</v>
      </c>
      <c r="E90" s="191">
        <f t="shared" si="16"/>
        <v>0</v>
      </c>
      <c r="F90" s="191"/>
      <c r="G90" s="192" t="e">
        <f t="shared" si="14"/>
        <v>#DIV/0!</v>
      </c>
      <c r="H90" s="192" t="e">
        <f t="shared" si="14"/>
        <v>#DIV/0!</v>
      </c>
      <c r="I90" s="192" t="e">
        <f t="shared" si="14"/>
        <v>#DIV/0!</v>
      </c>
      <c r="J90" s="192" t="e">
        <f t="shared" si="14"/>
        <v>#DIV/0!</v>
      </c>
    </row>
    <row r="91" spans="1:10" s="201" customFormat="1" ht="16.5" customHeight="1" x14ac:dyDescent="0.2">
      <c r="A91" s="238" t="s">
        <v>846</v>
      </c>
      <c r="B91" s="191">
        <v>0</v>
      </c>
      <c r="C91" s="191">
        <v>0</v>
      </c>
      <c r="D91" s="191">
        <f t="shared" si="15"/>
        <v>0</v>
      </c>
      <c r="E91" s="191">
        <f t="shared" si="16"/>
        <v>0</v>
      </c>
      <c r="F91" s="191"/>
      <c r="G91" s="192" t="e">
        <f t="shared" si="14"/>
        <v>#DIV/0!</v>
      </c>
      <c r="H91" s="192" t="e">
        <f t="shared" si="14"/>
        <v>#DIV/0!</v>
      </c>
      <c r="I91" s="192" t="e">
        <f t="shared" si="14"/>
        <v>#DIV/0!</v>
      </c>
      <c r="J91" s="192" t="e">
        <f t="shared" si="14"/>
        <v>#DIV/0!</v>
      </c>
    </row>
    <row r="92" spans="1:10" s="182" customFormat="1" ht="16.5" customHeight="1" x14ac:dyDescent="0.25">
      <c r="A92" s="199" t="s">
        <v>794</v>
      </c>
      <c r="B92" s="259">
        <v>358.01182999999997</v>
      </c>
      <c r="C92" s="259">
        <v>616.23665000000005</v>
      </c>
      <c r="D92" s="259">
        <f t="shared" si="15"/>
        <v>3.5801182999999999E-3</v>
      </c>
      <c r="E92" s="259">
        <v>0</v>
      </c>
      <c r="F92" s="249">
        <f>F72+F73+F74+F75+F76+F82</f>
        <v>0</v>
      </c>
      <c r="G92" s="236">
        <f t="shared" si="14"/>
        <v>-0.41903515475751085</v>
      </c>
      <c r="H92" s="236">
        <f t="shared" si="14"/>
        <v>172126.454559253</v>
      </c>
      <c r="I92" s="236" t="e">
        <f t="shared" si="14"/>
        <v>#DIV/0!</v>
      </c>
      <c r="J92" s="236" t="e">
        <f t="shared" si="14"/>
        <v>#DIV/0!</v>
      </c>
    </row>
    <row r="93" spans="1:10" s="182" customFormat="1" ht="16.5" customHeight="1" x14ac:dyDescent="0.25">
      <c r="A93" s="202" t="s">
        <v>1013</v>
      </c>
      <c r="B93" s="251">
        <f>B92-B67</f>
        <v>0</v>
      </c>
      <c r="C93" s="251">
        <f>C92-C67</f>
        <v>0</v>
      </c>
      <c r="D93" s="251">
        <f>D92-D67</f>
        <v>0</v>
      </c>
      <c r="E93" s="251">
        <f>E92-E67</f>
        <v>0</v>
      </c>
      <c r="F93" s="251">
        <f>F92-F67</f>
        <v>0</v>
      </c>
      <c r="G93" s="203"/>
      <c r="H93" s="203"/>
      <c r="I93" s="203"/>
      <c r="J93" s="203"/>
    </row>
    <row r="94" spans="1:10" ht="18.75" x14ac:dyDescent="0.3">
      <c r="A94" s="204" t="s">
        <v>799</v>
      </c>
      <c r="B94" s="205"/>
      <c r="C94" s="205"/>
      <c r="D94" s="205"/>
      <c r="E94" s="205"/>
      <c r="F94" s="205"/>
      <c r="G94" s="205"/>
      <c r="H94" s="205"/>
      <c r="I94" s="205"/>
      <c r="J94" s="206"/>
    </row>
    <row r="95" spans="1:10" x14ac:dyDescent="0.25">
      <c r="A95" s="548" t="s">
        <v>795</v>
      </c>
      <c r="B95" s="186" t="str">
        <f>B$3</f>
        <v>Audited</v>
      </c>
      <c r="C95" s="186" t="str">
        <f t="shared" ref="C95:F95" si="17">C$3</f>
        <v>Unaudited</v>
      </c>
      <c r="D95" s="186" t="str">
        <f t="shared" si="17"/>
        <v>Audited</v>
      </c>
      <c r="E95" s="186" t="str">
        <f t="shared" si="17"/>
        <v>Audited</v>
      </c>
      <c r="F95" s="186" t="str">
        <f t="shared" si="17"/>
        <v>Audited</v>
      </c>
      <c r="G95" s="549" t="s">
        <v>590</v>
      </c>
      <c r="H95" s="549" t="s">
        <v>590</v>
      </c>
      <c r="I95" s="549" t="s">
        <v>590</v>
      </c>
      <c r="J95" s="549" t="s">
        <v>590</v>
      </c>
    </row>
    <row r="96" spans="1:10" x14ac:dyDescent="0.25">
      <c r="A96" s="548"/>
      <c r="B96" s="186" t="str">
        <f>B$4</f>
        <v>FY19</v>
      </c>
      <c r="C96" s="186" t="str">
        <f t="shared" ref="C96:F96" si="18">C$4</f>
        <v>FY18</v>
      </c>
      <c r="D96" s="186" t="str">
        <f t="shared" si="18"/>
        <v>FY17</v>
      </c>
      <c r="E96" s="186" t="str">
        <f t="shared" si="18"/>
        <v>FY16</v>
      </c>
      <c r="F96" s="186" t="str">
        <f t="shared" si="18"/>
        <v>FY15</v>
      </c>
      <c r="G96" s="550"/>
      <c r="H96" s="550"/>
      <c r="I96" s="550"/>
      <c r="J96" s="550"/>
    </row>
    <row r="97" spans="1:10" x14ac:dyDescent="0.25">
      <c r="A97" s="240" t="s">
        <v>656</v>
      </c>
      <c r="B97" s="241">
        <f>(B66-B51)/(B46+B51-B78)</f>
        <v>-2.4162451399771632</v>
      </c>
      <c r="C97" s="241">
        <f>(C66-C51)/(C46+C51-C78)</f>
        <v>-11.338847225018455</v>
      </c>
      <c r="D97" s="241">
        <f>(D66-D51)/(D46+D51-D78)</f>
        <v>0</v>
      </c>
      <c r="E97" s="241">
        <f>(E66-E51)/(E46+E51-E78)</f>
        <v>0</v>
      </c>
      <c r="F97" s="241" t="e">
        <f>(F66-F51)/(F46+F51-F78)</f>
        <v>#DIV/0!</v>
      </c>
      <c r="G97" s="242">
        <f t="shared" ref="G97:J118" si="19">(B97-C97)/C97</f>
        <v>-0.78690557408288642</v>
      </c>
      <c r="H97" s="242" t="e">
        <f t="shared" si="19"/>
        <v>#DIV/0!</v>
      </c>
      <c r="I97" s="242" t="e">
        <f t="shared" si="19"/>
        <v>#DIV/0!</v>
      </c>
      <c r="J97" s="242" t="e">
        <f t="shared" si="19"/>
        <v>#DIV/0!</v>
      </c>
    </row>
    <row r="98" spans="1:10" x14ac:dyDescent="0.25">
      <c r="A98" s="240" t="s">
        <v>657</v>
      </c>
      <c r="B98" s="243">
        <f>(B27+B23)/(B46+B54+B56+B58+B59+B60)</f>
        <v>0.85890522563287031</v>
      </c>
      <c r="C98" s="243">
        <f>(C27+C23)/(C46+C54+C56+C58+C59+C60)</f>
        <v>7.1015994314647779E-2</v>
      </c>
      <c r="D98" s="243">
        <f>(D27+D23)/(D46+D54+D56+D58+D59+D60)</f>
        <v>0.85890522563287031</v>
      </c>
      <c r="E98" s="243">
        <f>(E27+E23)/(E46+E54+E56+E58+E59+E60)</f>
        <v>7.1015994314647765E-2</v>
      </c>
      <c r="F98" s="243" t="e">
        <f>(F27+F23)/(F46+F54+F56+F58+F59+F60)</f>
        <v>#DIV/0!</v>
      </c>
      <c r="G98" s="242">
        <f t="shared" si="19"/>
        <v>11.094532139159421</v>
      </c>
      <c r="H98" s="242">
        <f t="shared" si="19"/>
        <v>-0.91731800879157444</v>
      </c>
      <c r="I98" s="242">
        <f t="shared" si="19"/>
        <v>11.094532139159423</v>
      </c>
      <c r="J98" s="242" t="e">
        <f t="shared" si="19"/>
        <v>#DIV/0!</v>
      </c>
    </row>
    <row r="99" spans="1:10" x14ac:dyDescent="0.25">
      <c r="A99" s="240" t="s">
        <v>658</v>
      </c>
      <c r="B99" s="243">
        <f>(B21)/B10</f>
        <v>6.3628927638140639E-2</v>
      </c>
      <c r="C99" s="243">
        <f>(C21)/C10</f>
        <v>-3.9087151587782788E-2</v>
      </c>
      <c r="D99" s="243" t="e">
        <f>(D21)/D10</f>
        <v>#DIV/0!</v>
      </c>
      <c r="E99" s="243" t="e">
        <f>(E21)/E10</f>
        <v>#DIV/0!</v>
      </c>
      <c r="F99" s="243" t="e">
        <f>(F21)/F10</f>
        <v>#DIV/0!</v>
      </c>
      <c r="G99" s="242">
        <f t="shared" si="19"/>
        <v>-2.6278732282458956</v>
      </c>
      <c r="H99" s="242" t="e">
        <f t="shared" si="19"/>
        <v>#DIV/0!</v>
      </c>
      <c r="I99" s="242" t="e">
        <f t="shared" si="19"/>
        <v>#DIV/0!</v>
      </c>
      <c r="J99" s="242" t="e">
        <f t="shared" si="19"/>
        <v>#DIV/0!</v>
      </c>
    </row>
    <row r="100" spans="1:10" x14ac:dyDescent="0.25">
      <c r="A100" s="240" t="s">
        <v>1014</v>
      </c>
      <c r="B100" s="241">
        <f>(B21)/B23</f>
        <v>1.3050863182641887</v>
      </c>
      <c r="C100" s="241">
        <f>(C21)/C23</f>
        <v>-3.7095020303483652</v>
      </c>
      <c r="D100" s="241">
        <f>(D21)/D23</f>
        <v>1.3050863182641887</v>
      </c>
      <c r="E100" s="241">
        <f>(E21)/E23</f>
        <v>-3.7095020303483657</v>
      </c>
      <c r="F100" s="241" t="e">
        <f>(F21)/F23</f>
        <v>#DIV/0!</v>
      </c>
      <c r="G100" s="242">
        <f t="shared" si="19"/>
        <v>-1.3518225108348643</v>
      </c>
      <c r="H100" s="242">
        <f t="shared" si="19"/>
        <v>-3.8423422868168098</v>
      </c>
      <c r="I100" s="242">
        <f t="shared" si="19"/>
        <v>-1.3518225108348643</v>
      </c>
      <c r="J100" s="242" t="e">
        <f t="shared" si="19"/>
        <v>#DIV/0!</v>
      </c>
    </row>
    <row r="101" spans="1:10" x14ac:dyDescent="0.25">
      <c r="A101" s="240" t="s">
        <v>659</v>
      </c>
      <c r="B101" s="241">
        <f>B10/((C72+B72)/2)</f>
        <v>65.287808130966027</v>
      </c>
      <c r="C101" s="241">
        <f>C10/((D72+C72)/2)</f>
        <v>107.62819501305745</v>
      </c>
      <c r="D101" s="241">
        <f>D10/((E72+D72)/2)</f>
        <v>0</v>
      </c>
      <c r="E101" s="241">
        <f>E10/((F72+E72)/2)</f>
        <v>0</v>
      </c>
      <c r="F101" s="241" t="e">
        <f>F10/((F70+F72)/2)</f>
        <v>#DIV/0!</v>
      </c>
      <c r="G101" s="242">
        <f t="shared" si="19"/>
        <v>-0.39339493593620789</v>
      </c>
      <c r="H101" s="242" t="e">
        <f t="shared" si="19"/>
        <v>#DIV/0!</v>
      </c>
      <c r="I101" s="242" t="e">
        <f t="shared" si="19"/>
        <v>#DIV/0!</v>
      </c>
      <c r="J101" s="242" t="e">
        <f t="shared" si="19"/>
        <v>#DIV/0!</v>
      </c>
    </row>
    <row r="102" spans="1:10" x14ac:dyDescent="0.25">
      <c r="A102" s="240" t="s">
        <v>660</v>
      </c>
      <c r="B102" s="241">
        <f>B57/(B12)*365</f>
        <v>52.085329545463395</v>
      </c>
      <c r="C102" s="241">
        <f>C57/(C12)*365</f>
        <v>22.004502739999989</v>
      </c>
      <c r="D102" s="241">
        <f>D57/(D12)*365</f>
        <v>52.085329545463395</v>
      </c>
      <c r="E102" s="241">
        <f>E57/(E12)*365</f>
        <v>22.004502739999989</v>
      </c>
      <c r="F102" s="241" t="e">
        <f>F57/(F12)*365</f>
        <v>#DIV/0!</v>
      </c>
      <c r="G102" s="242">
        <f t="shared" si="19"/>
        <v>1.3670305192028811</v>
      </c>
      <c r="H102" s="242">
        <f t="shared" si="19"/>
        <v>-0.57752973952496434</v>
      </c>
      <c r="I102" s="242">
        <f t="shared" si="19"/>
        <v>1.3670305192028811</v>
      </c>
      <c r="J102" s="242" t="e">
        <f t="shared" si="19"/>
        <v>#DIV/0!</v>
      </c>
    </row>
    <row r="103" spans="1:10" x14ac:dyDescent="0.25">
      <c r="A103" s="240" t="s">
        <v>661</v>
      </c>
      <c r="B103" s="254">
        <f>B82-B65+B59</f>
        <v>35.113720000000001</v>
      </c>
      <c r="C103" s="254">
        <f>C82-C65+C59</f>
        <v>493.23327999999998</v>
      </c>
      <c r="D103" s="254">
        <f>D82-D65+D59</f>
        <v>3.5113720000000013E-4</v>
      </c>
      <c r="E103" s="254">
        <f>E82-E65+E59</f>
        <v>-9.4123000000000004E-4</v>
      </c>
      <c r="F103" s="254">
        <f>F82-F65+F59</f>
        <v>0</v>
      </c>
      <c r="G103" s="242">
        <f t="shared" si="19"/>
        <v>-0.92880910225684687</v>
      </c>
      <c r="H103" s="242">
        <f t="shared" si="19"/>
        <v>1404672.9565047503</v>
      </c>
      <c r="I103" s="242">
        <f t="shared" si="19"/>
        <v>-1.3730620570955028</v>
      </c>
      <c r="J103" s="242" t="e">
        <f t="shared" si="19"/>
        <v>#DIV/0!</v>
      </c>
    </row>
    <row r="104" spans="1:10" x14ac:dyDescent="0.25">
      <c r="A104" s="240" t="s">
        <v>662</v>
      </c>
      <c r="B104" s="241">
        <f>((B85+B77)/(B6)*365)</f>
        <v>2.2260475444896923</v>
      </c>
      <c r="C104" s="241">
        <f>((C85+C77)/(C6)*365)</f>
        <v>8.7149836012802471</v>
      </c>
      <c r="D104" s="241" t="e">
        <f>((D85+D77)/(D6)*365)</f>
        <v>#DIV/0!</v>
      </c>
      <c r="E104" s="241" t="e">
        <f>((E85+E77)/(E6)*365)</f>
        <v>#DIV/0!</v>
      </c>
      <c r="F104" s="241" t="e">
        <f>((F85+F77)/(F6)*365)</f>
        <v>#DIV/0!</v>
      </c>
      <c r="G104" s="242">
        <f t="shared" si="19"/>
        <v>-0.74457237714564584</v>
      </c>
      <c r="H104" s="242" t="e">
        <f t="shared" si="19"/>
        <v>#DIV/0!</v>
      </c>
      <c r="I104" s="242" t="e">
        <f t="shared" si="19"/>
        <v>#DIV/0!</v>
      </c>
      <c r="J104" s="242" t="e">
        <f t="shared" si="19"/>
        <v>#DIV/0!</v>
      </c>
    </row>
    <row r="105" spans="1:10" x14ac:dyDescent="0.25">
      <c r="A105" s="240" t="s">
        <v>663</v>
      </c>
      <c r="B105" s="241">
        <f>(B83/B6)*365</f>
        <v>28.206618305913643</v>
      </c>
      <c r="C105" s="241">
        <f>(C83/C6)*365</f>
        <v>22.066813652270852</v>
      </c>
      <c r="D105" s="241" t="e">
        <f>(D83/D6)*365</f>
        <v>#DIV/0!</v>
      </c>
      <c r="E105" s="241" t="e">
        <f>(E83/E6)*365</f>
        <v>#DIV/0!</v>
      </c>
      <c r="F105" s="241" t="e">
        <f>(F83/F6)*365</f>
        <v>#DIV/0!</v>
      </c>
      <c r="G105" s="242">
        <f t="shared" si="19"/>
        <v>0.27823702825400692</v>
      </c>
      <c r="H105" s="242" t="e">
        <f t="shared" si="19"/>
        <v>#DIV/0!</v>
      </c>
      <c r="I105" s="242" t="e">
        <f t="shared" si="19"/>
        <v>#DIV/0!</v>
      </c>
      <c r="J105" s="242" t="e">
        <f t="shared" si="19"/>
        <v>#DIV/0!</v>
      </c>
    </row>
    <row r="106" spans="1:10" x14ac:dyDescent="0.25">
      <c r="A106" s="240" t="s">
        <v>664</v>
      </c>
      <c r="B106" s="241">
        <f>B83/(B15+B14)</f>
        <v>8.2538399560943873E-2</v>
      </c>
      <c r="C106" s="241">
        <f>C83/(C15+C14)</f>
        <v>6.1826901788585312E-2</v>
      </c>
      <c r="D106" s="241">
        <f>D83/(D15+D14)</f>
        <v>30.048082499180556</v>
      </c>
      <c r="E106" s="241">
        <f>E83/(E15+E14)</f>
        <v>18.698720005420494</v>
      </c>
      <c r="F106" s="241" t="e">
        <f>F83/(F15+F14)</f>
        <v>#DIV/0!</v>
      </c>
      <c r="G106" s="242">
        <f t="shared" si="19"/>
        <v>0.33499168118080253</v>
      </c>
      <c r="H106" s="242">
        <f t="shared" si="19"/>
        <v>-0.99794240109031018</v>
      </c>
      <c r="I106" s="242">
        <f t="shared" si="19"/>
        <v>0.6069593261180467</v>
      </c>
      <c r="J106" s="242" t="e">
        <f t="shared" si="19"/>
        <v>#DIV/0!</v>
      </c>
    </row>
    <row r="107" spans="1:10" x14ac:dyDescent="0.25">
      <c r="A107" s="240" t="s">
        <v>665</v>
      </c>
      <c r="B107" s="241">
        <f>B82/B65</f>
        <v>1.1551920745956805</v>
      </c>
      <c r="C107" s="241">
        <f>C82/C65</f>
        <v>6.2403055576214097</v>
      </c>
      <c r="D107" s="241">
        <f>D82/D65</f>
        <v>1.1551920745956805</v>
      </c>
      <c r="E107" s="241">
        <f>E82/E65</f>
        <v>0</v>
      </c>
      <c r="F107" s="241" t="e">
        <f>F82/F65</f>
        <v>#DIV/0!</v>
      </c>
      <c r="G107" s="242">
        <f t="shared" si="19"/>
        <v>-0.8148821297404546</v>
      </c>
      <c r="H107" s="242">
        <f t="shared" si="19"/>
        <v>4.4019636170076124</v>
      </c>
      <c r="I107" s="242" t="e">
        <f t="shared" si="19"/>
        <v>#DIV/0!</v>
      </c>
      <c r="J107" s="242" t="e">
        <f t="shared" si="19"/>
        <v>#DIV/0!</v>
      </c>
    </row>
    <row r="108" spans="1:10" x14ac:dyDescent="0.25">
      <c r="A108" s="240" t="s">
        <v>666</v>
      </c>
      <c r="B108" s="241">
        <f>(B82-B83)/B65</f>
        <v>0.57580899828626164</v>
      </c>
      <c r="C108" s="241">
        <f>(C82-C83)/C65</f>
        <v>5.2434186118164519</v>
      </c>
      <c r="D108" s="241">
        <f>(D82-D83)/D65</f>
        <v>0.57580899828626175</v>
      </c>
      <c r="E108" s="241">
        <f>(E82-E83)/E65</f>
        <v>-0.99688694580495729</v>
      </c>
      <c r="F108" s="241" t="e">
        <f>(F82-F83)/F65</f>
        <v>#DIV/0!</v>
      </c>
      <c r="G108" s="242">
        <f t="shared" si="19"/>
        <v>-0.89018443101440892</v>
      </c>
      <c r="H108" s="242">
        <f t="shared" si="19"/>
        <v>8.1061769222468829</v>
      </c>
      <c r="I108" s="242">
        <f t="shared" si="19"/>
        <v>-1.5776071205559949</v>
      </c>
      <c r="J108" s="242" t="e">
        <f t="shared" si="19"/>
        <v>#DIV/0!</v>
      </c>
    </row>
    <row r="109" spans="1:10" x14ac:dyDescent="0.25">
      <c r="A109" s="240" t="s">
        <v>1015</v>
      </c>
      <c r="B109" s="241">
        <f>(B54+B59-B51)/(B46+B51)</f>
        <v>-1.5211929532660482</v>
      </c>
      <c r="C109" s="241">
        <f>(C54+C59-C51)/(C46+C51)</f>
        <v>-9.7597082410576483</v>
      </c>
      <c r="D109" s="241">
        <f>(D54+D59-D51)/(D46+D51)</f>
        <v>-1.5211929532660482</v>
      </c>
      <c r="E109" s="241">
        <f>(E54+E59-E51)/(E46+E51)</f>
        <v>-9.7597082410576501</v>
      </c>
      <c r="F109" s="241" t="e">
        <f>(F54+F59-F51)/(F46+F51)</f>
        <v>#DIV/0!</v>
      </c>
      <c r="G109" s="242">
        <f t="shared" si="19"/>
        <v>-0.8441354069513457</v>
      </c>
      <c r="H109" s="242">
        <f t="shared" si="19"/>
        <v>5.4158253034917454</v>
      </c>
      <c r="I109" s="242">
        <f t="shared" si="19"/>
        <v>-0.8441354069513457</v>
      </c>
      <c r="J109" s="242" t="e">
        <f t="shared" si="19"/>
        <v>#DIV/0!</v>
      </c>
    </row>
    <row r="110" spans="1:10" x14ac:dyDescent="0.25">
      <c r="A110" s="240" t="s">
        <v>1016</v>
      </c>
      <c r="B110" s="241">
        <f>(B54+B59)/B46</f>
        <v>-1.5211929532660482</v>
      </c>
      <c r="C110" s="241">
        <f>(C54+C59)/C46</f>
        <v>-9.7597082410576483</v>
      </c>
      <c r="D110" s="241">
        <f>(D54+D59)/D46</f>
        <v>-1.5211929532660482</v>
      </c>
      <c r="E110" s="241">
        <f>(E54+E59)/E46</f>
        <v>-9.7597082410576501</v>
      </c>
      <c r="F110" s="241" t="e">
        <f>(F54+F59)/F46</f>
        <v>#DIV/0!</v>
      </c>
      <c r="G110" s="242">
        <f t="shared" si="19"/>
        <v>-0.8441354069513457</v>
      </c>
      <c r="H110" s="242">
        <f t="shared" si="19"/>
        <v>5.4158253034917454</v>
      </c>
      <c r="I110" s="242">
        <f t="shared" si="19"/>
        <v>-0.8441354069513457</v>
      </c>
      <c r="J110" s="242" t="e">
        <f t="shared" si="19"/>
        <v>#DIV/0!</v>
      </c>
    </row>
    <row r="111" spans="1:10" x14ac:dyDescent="0.25">
      <c r="A111" s="240" t="s">
        <v>1017</v>
      </c>
      <c r="B111" s="241">
        <f>(B21+B25-B26)/B23</f>
        <v>1.352817624242254</v>
      </c>
      <c r="C111" s="241">
        <f>(C21+C25-C26)/C23</f>
        <v>2.5705376606723052</v>
      </c>
      <c r="D111" s="241">
        <f>(D21+D25-D26)/D23</f>
        <v>1.352817624242254</v>
      </c>
      <c r="E111" s="241">
        <f>(E21+E25-E26)/E23</f>
        <v>2.5705376606723047</v>
      </c>
      <c r="F111" s="241" t="e">
        <f>(F21+F25-F26)/F23</f>
        <v>#DIV/0!</v>
      </c>
      <c r="G111" s="242">
        <f t="shared" si="19"/>
        <v>-0.47372192014940773</v>
      </c>
      <c r="H111" s="242">
        <f t="shared" si="19"/>
        <v>0.90013614149366628</v>
      </c>
      <c r="I111" s="242">
        <f t="shared" si="19"/>
        <v>-0.47372192014940767</v>
      </c>
      <c r="J111" s="242" t="e">
        <f t="shared" si="19"/>
        <v>#DIV/0!</v>
      </c>
    </row>
    <row r="112" spans="1:10" x14ac:dyDescent="0.25">
      <c r="A112" s="240" t="s">
        <v>474</v>
      </c>
      <c r="B112" s="241">
        <f>(B21+B25-B26)/(B23+B59)</f>
        <v>1.352817624242254</v>
      </c>
      <c r="C112" s="241">
        <f>(C21+C25-C26)/(C23+C59)</f>
        <v>2.5705376606723052</v>
      </c>
      <c r="D112" s="241">
        <f>(D21+D25-D26)/(D23+D59)</f>
        <v>1.352817624242254</v>
      </c>
      <c r="E112" s="241">
        <f>(E21+E25-E26)/(E23+E59)</f>
        <v>2.5705376606723047</v>
      </c>
      <c r="F112" s="241" t="e">
        <f>(F21+F25-F26)/(F23+F59)</f>
        <v>#DIV/0!</v>
      </c>
      <c r="G112" s="242">
        <f t="shared" si="19"/>
        <v>-0.47372192014940773</v>
      </c>
      <c r="H112" s="242">
        <f t="shared" si="19"/>
        <v>0.90013614149366628</v>
      </c>
      <c r="I112" s="242">
        <f t="shared" si="19"/>
        <v>-0.47372192014940767</v>
      </c>
      <c r="J112" s="242" t="e">
        <f t="shared" si="19"/>
        <v>#DIV/0!</v>
      </c>
    </row>
    <row r="113" spans="1:10" x14ac:dyDescent="0.25">
      <c r="A113" s="240" t="s">
        <v>667</v>
      </c>
      <c r="B113" s="243">
        <f>(B16+B14)/B10</f>
        <v>0.11356278934451199</v>
      </c>
      <c r="C113" s="243">
        <f>(C16+C14)/C10</f>
        <v>2.9981542479038916E-2</v>
      </c>
      <c r="D113" s="243" t="e">
        <f>(D16+D14)/D10</f>
        <v>#DIV/0!</v>
      </c>
      <c r="E113" s="243" t="e">
        <f>(E16+E14)/E10</f>
        <v>#DIV/0!</v>
      </c>
      <c r="F113" s="243" t="e">
        <f>(F16+F14)/F10</f>
        <v>#DIV/0!</v>
      </c>
      <c r="G113" s="242">
        <f t="shared" si="19"/>
        <v>2.7877567314592793</v>
      </c>
      <c r="H113" s="242" t="e">
        <f t="shared" si="19"/>
        <v>#DIV/0!</v>
      </c>
      <c r="I113" s="242" t="e">
        <f t="shared" si="19"/>
        <v>#DIV/0!</v>
      </c>
      <c r="J113" s="242" t="e">
        <f t="shared" si="19"/>
        <v>#DIV/0!</v>
      </c>
    </row>
    <row r="114" spans="1:10" x14ac:dyDescent="0.25">
      <c r="A114" s="240" t="s">
        <v>668</v>
      </c>
      <c r="B114" s="243">
        <f>(B29/B10)</f>
        <v>5.0826422812318105E-3</v>
      </c>
      <c r="C114" s="243">
        <f t="shared" ref="C114:F114" si="20">(C29/C10)</f>
        <v>8.5667221263920675E-3</v>
      </c>
      <c r="D114" s="243" t="e">
        <f t="shared" si="20"/>
        <v>#DIV/0!</v>
      </c>
      <c r="E114" s="243" t="e">
        <f t="shared" si="20"/>
        <v>#DIV/0!</v>
      </c>
      <c r="F114" s="243" t="e">
        <f t="shared" si="20"/>
        <v>#DIV/0!</v>
      </c>
      <c r="G114" s="242">
        <f t="shared" si="19"/>
        <v>-0.4066992945209022</v>
      </c>
      <c r="H114" s="242" t="e">
        <f t="shared" si="19"/>
        <v>#DIV/0!</v>
      </c>
      <c r="I114" s="242" t="e">
        <f t="shared" si="19"/>
        <v>#DIV/0!</v>
      </c>
      <c r="J114" s="242" t="e">
        <f t="shared" si="19"/>
        <v>#DIV/0!</v>
      </c>
    </row>
    <row r="115" spans="1:10" x14ac:dyDescent="0.25">
      <c r="A115" s="240" t="s">
        <v>669</v>
      </c>
      <c r="B115" s="243">
        <f>(B30/B10)</f>
        <v>7.5310274742456306E-3</v>
      </c>
      <c r="C115" s="243">
        <f>(C30/C10)</f>
        <v>1.179541780125927E-2</v>
      </c>
      <c r="D115" s="243" t="e">
        <f>(D30/D10)</f>
        <v>#DIV/0!</v>
      </c>
      <c r="E115" s="243" t="e">
        <f>(E30/E10)</f>
        <v>#DIV/0!</v>
      </c>
      <c r="F115" s="243" t="e">
        <f>(F30/F10)</f>
        <v>#DIV/0!</v>
      </c>
      <c r="G115" s="242">
        <f t="shared" si="19"/>
        <v>-0.36152940055742461</v>
      </c>
      <c r="H115" s="242" t="e">
        <f t="shared" si="19"/>
        <v>#DIV/0!</v>
      </c>
      <c r="I115" s="242" t="e">
        <f t="shared" si="19"/>
        <v>#DIV/0!</v>
      </c>
      <c r="J115" s="242" t="e">
        <f t="shared" si="19"/>
        <v>#DIV/0!</v>
      </c>
    </row>
    <row r="116" spans="1:10" x14ac:dyDescent="0.25">
      <c r="A116" s="240" t="s">
        <v>670</v>
      </c>
      <c r="B116" s="243">
        <f>(B8-C8)/C8</f>
        <v>9.2999703481559379E-2</v>
      </c>
      <c r="C116" s="243" t="e">
        <f>(C8-D8)/D8</f>
        <v>#DIV/0!</v>
      </c>
      <c r="D116" s="243" t="e">
        <f>(D8-E8)/E8</f>
        <v>#DIV/0!</v>
      </c>
      <c r="E116" s="243" t="e">
        <f>(E8-F8)/F8</f>
        <v>#DIV/0!</v>
      </c>
      <c r="F116" s="243" t="e">
        <f>(F8-H8)/H8</f>
        <v>#DIV/0!</v>
      </c>
      <c r="G116" s="242" t="e">
        <f t="shared" si="19"/>
        <v>#DIV/0!</v>
      </c>
      <c r="H116" s="242" t="e">
        <f t="shared" si="19"/>
        <v>#DIV/0!</v>
      </c>
      <c r="I116" s="242" t="e">
        <f t="shared" si="19"/>
        <v>#DIV/0!</v>
      </c>
      <c r="J116" s="242" t="e">
        <f t="shared" si="19"/>
        <v>#DIV/0!</v>
      </c>
    </row>
    <row r="117" spans="1:10" x14ac:dyDescent="0.25">
      <c r="A117" s="240" t="s">
        <v>671</v>
      </c>
      <c r="B117" s="243">
        <f>(B29-C29)/C29</f>
        <v>-0.31978095682301771</v>
      </c>
      <c r="C117" s="243">
        <f>(C29-D29)/D29</f>
        <v>147010.46785445343</v>
      </c>
      <c r="D117" s="243">
        <f>(D29-E29)/E29</f>
        <v>-0.31978095682301777</v>
      </c>
      <c r="E117" s="243" t="e">
        <f>(E29-F29)/F29</f>
        <v>#DIV/0!</v>
      </c>
      <c r="F117" s="243">
        <f>(F29-H29)/H29</f>
        <v>-1</v>
      </c>
      <c r="G117" s="242">
        <f t="shared" si="19"/>
        <v>-1.0000021752257611</v>
      </c>
      <c r="H117" s="242">
        <f t="shared" si="19"/>
        <v>-459723.39658978861</v>
      </c>
      <c r="I117" s="242" t="e">
        <f t="shared" si="19"/>
        <v>#DIV/0!</v>
      </c>
      <c r="J117" s="242" t="e">
        <f t="shared" si="19"/>
        <v>#DIV/0!</v>
      </c>
    </row>
    <row r="118" spans="1:10" x14ac:dyDescent="0.25">
      <c r="A118" s="240" t="s">
        <v>672</v>
      </c>
      <c r="B118" s="254">
        <f>B29+B14</f>
        <v>13.41933</v>
      </c>
      <c r="C118" s="254">
        <f>C29+C14</f>
        <v>18.332260000000002</v>
      </c>
      <c r="D118" s="241">
        <f>D29+D14</f>
        <v>1.341933E-4</v>
      </c>
      <c r="E118" s="241">
        <f>E29+E14</f>
        <v>1.8332260000000002E-4</v>
      </c>
      <c r="F118" s="241">
        <f>F29+F14</f>
        <v>0</v>
      </c>
      <c r="G118" s="242">
        <f t="shared" si="19"/>
        <v>-0.26799368981238542</v>
      </c>
      <c r="H118" s="242">
        <f t="shared" si="19"/>
        <v>136609.84420757223</v>
      </c>
      <c r="I118" s="242">
        <f t="shared" si="19"/>
        <v>-0.26799368981238547</v>
      </c>
      <c r="J118" s="242" t="e">
        <f t="shared" si="19"/>
        <v>#DIV/0!</v>
      </c>
    </row>
    <row r="119" spans="1:10" ht="18.75" x14ac:dyDescent="0.3">
      <c r="A119" s="204" t="s">
        <v>800</v>
      </c>
      <c r="B119" s="205"/>
      <c r="C119" s="205"/>
      <c r="D119" s="205"/>
      <c r="E119" s="205"/>
      <c r="F119" s="205"/>
      <c r="G119" s="205"/>
      <c r="H119" s="205"/>
      <c r="I119" s="205"/>
      <c r="J119" s="206"/>
    </row>
    <row r="120" spans="1:10" x14ac:dyDescent="0.25">
      <c r="A120" s="548" t="s">
        <v>795</v>
      </c>
      <c r="B120" s="186" t="str">
        <f>B$3</f>
        <v>Audited</v>
      </c>
      <c r="C120" s="186" t="str">
        <f t="shared" ref="C120:F120" si="21">C$3</f>
        <v>Unaudited</v>
      </c>
      <c r="D120" s="186" t="str">
        <f t="shared" si="21"/>
        <v>Audited</v>
      </c>
      <c r="E120" s="186" t="str">
        <f t="shared" si="21"/>
        <v>Audited</v>
      </c>
      <c r="F120" s="186" t="str">
        <f t="shared" si="21"/>
        <v>Audited</v>
      </c>
      <c r="G120" s="549" t="s">
        <v>590</v>
      </c>
      <c r="H120" s="549" t="s">
        <v>590</v>
      </c>
      <c r="I120" s="549" t="s">
        <v>590</v>
      </c>
      <c r="J120" s="549" t="s">
        <v>590</v>
      </c>
    </row>
    <row r="121" spans="1:10" x14ac:dyDescent="0.25">
      <c r="A121" s="548"/>
      <c r="B121" s="186" t="str">
        <f>B$4</f>
        <v>FY19</v>
      </c>
      <c r="C121" s="186" t="str">
        <f t="shared" ref="C121:F121" si="22">C$4</f>
        <v>FY18</v>
      </c>
      <c r="D121" s="186" t="str">
        <f t="shared" si="22"/>
        <v>FY17</v>
      </c>
      <c r="E121" s="186" t="str">
        <f t="shared" si="22"/>
        <v>FY16</v>
      </c>
      <c r="F121" s="186" t="str">
        <f t="shared" si="22"/>
        <v>FY15</v>
      </c>
      <c r="G121" s="550"/>
      <c r="H121" s="550"/>
      <c r="I121" s="550"/>
      <c r="J121" s="550"/>
    </row>
    <row r="122" spans="1:10" x14ac:dyDescent="0.25">
      <c r="A122" s="207" t="s">
        <v>673</v>
      </c>
      <c r="B122" s="252">
        <f>B29</f>
        <v>9.0566200000000006</v>
      </c>
      <c r="C122" s="252">
        <f>C29</f>
        <v>13.31427</v>
      </c>
      <c r="D122" s="252">
        <f>D29</f>
        <v>9.05662E-5</v>
      </c>
      <c r="E122" s="252">
        <f>E29</f>
        <v>1.3314270000000002E-4</v>
      </c>
      <c r="F122" s="252">
        <f>F29</f>
        <v>0</v>
      </c>
      <c r="G122" s="208">
        <f>(B122-C122)/C122</f>
        <v>-0.31978095682301771</v>
      </c>
      <c r="H122" s="208">
        <f>(C122-D122)/D122</f>
        <v>147010.46785445343</v>
      </c>
      <c r="I122" s="208">
        <f>(D122-E122)/E122</f>
        <v>-0.31978095682301777</v>
      </c>
      <c r="J122" s="208" t="e">
        <f>(E122-F122)/F122</f>
        <v>#DIV/0!</v>
      </c>
    </row>
    <row r="123" spans="1:10" s="213" customFormat="1" ht="12.75" x14ac:dyDescent="0.2">
      <c r="A123" s="209" t="s">
        <v>801</v>
      </c>
      <c r="B123" s="210"/>
      <c r="C123" s="210"/>
      <c r="D123" s="210"/>
      <c r="E123" s="210"/>
      <c r="F123" s="210"/>
      <c r="G123" s="211"/>
      <c r="H123" s="211"/>
      <c r="I123" s="211"/>
      <c r="J123" s="212"/>
    </row>
    <row r="124" spans="1:10" x14ac:dyDescent="0.25">
      <c r="A124" s="190" t="s">
        <v>237</v>
      </c>
      <c r="B124" s="253">
        <f>B14</f>
        <v>4.3627099999999999</v>
      </c>
      <c r="C124" s="253">
        <f>C14</f>
        <v>5.0179900000000002</v>
      </c>
      <c r="D124" s="253">
        <f>D14</f>
        <v>4.3627100000000001E-5</v>
      </c>
      <c r="E124" s="253">
        <f>E14</f>
        <v>5.0179900000000004E-5</v>
      </c>
      <c r="F124" s="253">
        <f>F14</f>
        <v>0</v>
      </c>
      <c r="G124" s="192">
        <f t="shared" ref="G124:J129" si="23">(B124-C124)/C124</f>
        <v>-0.13058615102859916</v>
      </c>
      <c r="H124" s="192">
        <f t="shared" si="23"/>
        <v>115019.02195882834</v>
      </c>
      <c r="I124" s="192">
        <f t="shared" si="23"/>
        <v>-0.13058615102859913</v>
      </c>
      <c r="J124" s="192" t="e">
        <f t="shared" si="23"/>
        <v>#DIV/0!</v>
      </c>
    </row>
    <row r="125" spans="1:10" x14ac:dyDescent="0.25">
      <c r="A125" s="190" t="s">
        <v>674</v>
      </c>
      <c r="B125" s="253">
        <f>B19</f>
        <v>0</v>
      </c>
      <c r="C125" s="253">
        <f>C19</f>
        <v>0</v>
      </c>
      <c r="D125" s="253">
        <f>D19</f>
        <v>0</v>
      </c>
      <c r="E125" s="253">
        <f>E19</f>
        <v>0</v>
      </c>
      <c r="F125" s="253">
        <f>F19</f>
        <v>0</v>
      </c>
      <c r="G125" s="192" t="e">
        <f t="shared" si="23"/>
        <v>#DIV/0!</v>
      </c>
      <c r="H125" s="192" t="e">
        <f t="shared" si="23"/>
        <v>#DIV/0!</v>
      </c>
      <c r="I125" s="192" t="e">
        <f t="shared" si="23"/>
        <v>#DIV/0!</v>
      </c>
      <c r="J125" s="192" t="e">
        <f t="shared" si="23"/>
        <v>#DIV/0!</v>
      </c>
    </row>
    <row r="126" spans="1:10" x14ac:dyDescent="0.25">
      <c r="A126" s="190" t="s">
        <v>675</v>
      </c>
      <c r="B126" s="253">
        <f t="shared" ref="B126:F127" si="24">B32</f>
        <v>0</v>
      </c>
      <c r="C126" s="253">
        <f t="shared" si="24"/>
        <v>0</v>
      </c>
      <c r="D126" s="253">
        <f t="shared" si="24"/>
        <v>0</v>
      </c>
      <c r="E126" s="253">
        <f t="shared" si="24"/>
        <v>0</v>
      </c>
      <c r="F126" s="253">
        <f t="shared" si="24"/>
        <v>0</v>
      </c>
      <c r="G126" s="192" t="e">
        <f t="shared" si="23"/>
        <v>#DIV/0!</v>
      </c>
      <c r="H126" s="192" t="e">
        <f t="shared" si="23"/>
        <v>#DIV/0!</v>
      </c>
      <c r="I126" s="192" t="e">
        <f t="shared" si="23"/>
        <v>#DIV/0!</v>
      </c>
      <c r="J126" s="192" t="e">
        <f t="shared" si="23"/>
        <v>#DIV/0!</v>
      </c>
    </row>
    <row r="127" spans="1:10" x14ac:dyDescent="0.25">
      <c r="A127" s="190" t="s">
        <v>676</v>
      </c>
      <c r="B127" s="253">
        <f t="shared" si="24"/>
        <v>0</v>
      </c>
      <c r="C127" s="253">
        <f t="shared" si="24"/>
        <v>0</v>
      </c>
      <c r="D127" s="253">
        <f t="shared" si="24"/>
        <v>0</v>
      </c>
      <c r="E127" s="253">
        <f t="shared" si="24"/>
        <v>0</v>
      </c>
      <c r="F127" s="253">
        <f t="shared" si="24"/>
        <v>0</v>
      </c>
      <c r="G127" s="192" t="e">
        <f t="shared" si="23"/>
        <v>#DIV/0!</v>
      </c>
      <c r="H127" s="192" t="e">
        <f t="shared" si="23"/>
        <v>#DIV/0!</v>
      </c>
      <c r="I127" s="192" t="e">
        <f t="shared" si="23"/>
        <v>#DIV/0!</v>
      </c>
      <c r="J127" s="192" t="e">
        <f t="shared" si="23"/>
        <v>#DIV/0!</v>
      </c>
    </row>
    <row r="128" spans="1:10" x14ac:dyDescent="0.25">
      <c r="A128" s="190" t="s">
        <v>677</v>
      </c>
      <c r="B128" s="253">
        <f>B28</f>
        <v>17.2315</v>
      </c>
      <c r="C128" s="253">
        <f>C28</f>
        <v>7.3876499999999998</v>
      </c>
      <c r="D128" s="253">
        <f>D28</f>
        <v>1.7231500000000001E-4</v>
      </c>
      <c r="E128" s="253">
        <f>E28</f>
        <v>7.3876500000000003E-5</v>
      </c>
      <c r="F128" s="253">
        <f>F28</f>
        <v>0</v>
      </c>
      <c r="G128" s="192">
        <f t="shared" si="23"/>
        <v>1.3324737907182933</v>
      </c>
      <c r="H128" s="192">
        <f t="shared" si="23"/>
        <v>42871.936192438261</v>
      </c>
      <c r="I128" s="192">
        <f t="shared" si="23"/>
        <v>1.3324737907182933</v>
      </c>
      <c r="J128" s="192" t="e">
        <f t="shared" si="23"/>
        <v>#DIV/0!</v>
      </c>
    </row>
    <row r="129" spans="1:10" x14ac:dyDescent="0.25">
      <c r="A129" s="190" t="s">
        <v>678</v>
      </c>
      <c r="B129" s="253">
        <f>B23</f>
        <v>86.874430000000004</v>
      </c>
      <c r="C129" s="253">
        <f>C23</f>
        <v>16.3765</v>
      </c>
      <c r="D129" s="253">
        <f>D23</f>
        <v>8.6874430000000006E-4</v>
      </c>
      <c r="E129" s="253">
        <f>E23</f>
        <v>1.6376499999999999E-4</v>
      </c>
      <c r="F129" s="253">
        <f>F23</f>
        <v>0</v>
      </c>
      <c r="G129" s="192">
        <f t="shared" si="23"/>
        <v>4.3048227643269312</v>
      </c>
      <c r="H129" s="192">
        <f t="shared" si="23"/>
        <v>18849.771164771959</v>
      </c>
      <c r="I129" s="192">
        <f t="shared" si="23"/>
        <v>4.304822764326933</v>
      </c>
      <c r="J129" s="192" t="e">
        <f t="shared" si="23"/>
        <v>#DIV/0!</v>
      </c>
    </row>
    <row r="130" spans="1:10" s="213" customFormat="1" ht="12.75" x14ac:dyDescent="0.2">
      <c r="A130" s="209" t="s">
        <v>802</v>
      </c>
      <c r="B130" s="210"/>
      <c r="C130" s="210"/>
      <c r="D130" s="210"/>
      <c r="E130" s="210"/>
      <c r="F130" s="210"/>
      <c r="G130" s="211"/>
      <c r="H130" s="211"/>
      <c r="I130" s="211"/>
      <c r="J130" s="212"/>
    </row>
    <row r="131" spans="1:10" x14ac:dyDescent="0.25">
      <c r="A131" s="190" t="s">
        <v>803</v>
      </c>
      <c r="B131" s="253">
        <f>B25</f>
        <v>4.14663</v>
      </c>
      <c r="C131" s="253">
        <f>C25</f>
        <v>102.84507000000001</v>
      </c>
      <c r="D131" s="253">
        <f>D25</f>
        <v>4.14663E-5</v>
      </c>
      <c r="E131" s="253">
        <f>E25</f>
        <v>1.0284507E-3</v>
      </c>
      <c r="F131" s="253">
        <f>F25</f>
        <v>0</v>
      </c>
      <c r="G131" s="192">
        <f t="shared" ref="G131:J140" si="25">(B131-C131)/C131</f>
        <v>-0.95968080920164667</v>
      </c>
      <c r="H131" s="192">
        <f t="shared" si="25"/>
        <v>2480207.5066668596</v>
      </c>
      <c r="I131" s="192">
        <f t="shared" si="25"/>
        <v>-0.95968080920164667</v>
      </c>
      <c r="J131" s="192" t="e">
        <f t="shared" si="25"/>
        <v>#DIV/0!</v>
      </c>
    </row>
    <row r="132" spans="1:10" x14ac:dyDescent="0.25">
      <c r="A132" s="199" t="s">
        <v>804</v>
      </c>
      <c r="B132" s="249">
        <f>SUM(B124:B129)+B122-B131</f>
        <v>113.37863</v>
      </c>
      <c r="C132" s="249">
        <f>SUM(C124:C129)+C122-C131</f>
        <v>-60.748660000000008</v>
      </c>
      <c r="D132" s="249">
        <f>SUM(D124:D129)+D122-D131</f>
        <v>1.1337863E-3</v>
      </c>
      <c r="E132" s="249">
        <f>SUM(E124:E129)+E122-E131</f>
        <v>-6.0748659999999995E-4</v>
      </c>
      <c r="F132" s="249">
        <f>SUM(F124:F129)+F122-F131</f>
        <v>0</v>
      </c>
      <c r="G132" s="236">
        <f t="shared" si="25"/>
        <v>-2.8663560644794468</v>
      </c>
      <c r="H132" s="236">
        <f t="shared" si="25"/>
        <v>-53581.34402073831</v>
      </c>
      <c r="I132" s="236">
        <f t="shared" si="25"/>
        <v>-2.8663560644794472</v>
      </c>
      <c r="J132" s="236" t="e">
        <f t="shared" si="25"/>
        <v>#DIV/0!</v>
      </c>
    </row>
    <row r="133" spans="1:10" x14ac:dyDescent="0.25">
      <c r="A133" s="190" t="s">
        <v>679</v>
      </c>
      <c r="B133" s="253">
        <f>(C85+C77)-(B85+B77)</f>
        <v>26.71124</v>
      </c>
      <c r="C133" s="253">
        <f>(D85+D77)-(C85+C77)</f>
        <v>-37.056756543799999</v>
      </c>
      <c r="D133" s="253">
        <f>(E85+E77)-(D85+D77)</f>
        <v>2.6711239999999999E-4</v>
      </c>
      <c r="E133" s="253">
        <f>(F85+F77)-(E85+E77)</f>
        <v>-3.7056859999999998E-4</v>
      </c>
      <c r="F133" s="253" t="e">
        <f>(H85+H77)-(F85+F77)</f>
        <v>#DIV/0!</v>
      </c>
      <c r="G133" s="192">
        <f t="shared" si="25"/>
        <v>-1.7208196963603142</v>
      </c>
      <c r="H133" s="192">
        <f t="shared" si="25"/>
        <v>-138731.94825923469</v>
      </c>
      <c r="I133" s="192">
        <f t="shared" si="25"/>
        <v>-1.7208176839591913</v>
      </c>
      <c r="J133" s="192" t="e">
        <f t="shared" si="25"/>
        <v>#DIV/0!</v>
      </c>
    </row>
    <row r="134" spans="1:10" x14ac:dyDescent="0.25">
      <c r="A134" s="190" t="s">
        <v>648</v>
      </c>
      <c r="B134" s="253">
        <f>C83-B83</f>
        <v>-37.261080000000007</v>
      </c>
      <c r="C134" s="253">
        <f>D83-C83</f>
        <v>-93.828679089299996</v>
      </c>
      <c r="D134" s="253">
        <f>E83-D83</f>
        <v>-3.7261080000000005E-4</v>
      </c>
      <c r="E134" s="253">
        <f>F83-E83</f>
        <v>-9.3829989999999995E-4</v>
      </c>
      <c r="F134" s="253">
        <f>H83-F83</f>
        <v>71575.187455026491</v>
      </c>
      <c r="G134" s="192">
        <f t="shared" si="25"/>
        <v>-0.60288175894986917</v>
      </c>
      <c r="H134" s="192">
        <f t="shared" si="25"/>
        <v>251813.16934050215</v>
      </c>
      <c r="I134" s="192">
        <f t="shared" si="25"/>
        <v>-0.60288730713922056</v>
      </c>
      <c r="J134" s="192">
        <f t="shared" si="25"/>
        <v>-1.0000000131092901</v>
      </c>
    </row>
    <row r="135" spans="1:10" x14ac:dyDescent="0.25">
      <c r="A135" s="190" t="s">
        <v>653</v>
      </c>
      <c r="B135" s="253">
        <f>(C78+C88)-(B78+B88)</f>
        <v>160.12423999999999</v>
      </c>
      <c r="C135" s="253">
        <f>(D78+D88)-(C78+C88)</f>
        <v>-190.62577498159999</v>
      </c>
      <c r="D135" s="253">
        <f>(E78+E88)-(D78+D88)</f>
        <v>1.6012423999999998E-3</v>
      </c>
      <c r="E135" s="253">
        <f>(F78+F88)-(E78+E88)</f>
        <v>-1.9062608E-3</v>
      </c>
      <c r="F135" s="253" t="e">
        <f>(H78+H88)-(F78+F88)</f>
        <v>#DIV/0!</v>
      </c>
      <c r="G135" s="192">
        <f t="shared" si="25"/>
        <v>-1.8399925981439595</v>
      </c>
      <c r="H135" s="192">
        <f t="shared" si="25"/>
        <v>-119049.66807274152</v>
      </c>
      <c r="I135" s="192">
        <f t="shared" si="25"/>
        <v>-1.8399912540823373</v>
      </c>
      <c r="J135" s="192" t="e">
        <f t="shared" si="25"/>
        <v>#DIV/0!</v>
      </c>
    </row>
    <row r="136" spans="1:10" x14ac:dyDescent="0.25">
      <c r="A136" s="190" t="s">
        <v>680</v>
      </c>
      <c r="B136" s="253">
        <f>B65-C65</f>
        <v>132.13675000000001</v>
      </c>
      <c r="C136" s="253">
        <f>C65-D65</f>
        <v>94.120737402499998</v>
      </c>
      <c r="D136" s="253">
        <f>D65-E65</f>
        <v>1.3213675000000001E-3</v>
      </c>
      <c r="E136" s="253">
        <f>E65-F65</f>
        <v>9.4123000000000004E-4</v>
      </c>
      <c r="F136" s="253">
        <f>F65-H65</f>
        <v>-41598.53327978131</v>
      </c>
      <c r="G136" s="192">
        <f t="shared" si="25"/>
        <v>0.40390687160606797</v>
      </c>
      <c r="H136" s="192">
        <f t="shared" si="25"/>
        <v>71228.795951921013</v>
      </c>
      <c r="I136" s="192">
        <f t="shared" si="25"/>
        <v>0.40387312346610293</v>
      </c>
      <c r="J136" s="192">
        <f t="shared" si="25"/>
        <v>-1.0000000226265189</v>
      </c>
    </row>
    <row r="137" spans="1:10" x14ac:dyDescent="0.25">
      <c r="A137" s="199" t="s">
        <v>805</v>
      </c>
      <c r="B137" s="249">
        <f>SUM(B133:B136)</f>
        <v>281.71114999999998</v>
      </c>
      <c r="C137" s="249">
        <f>SUM(C133:C136)</f>
        <v>-227.39047321219996</v>
      </c>
      <c r="D137" s="249">
        <f>SUM(D133:D136)</f>
        <v>2.8171114999999999E-3</v>
      </c>
      <c r="E137" s="249">
        <f>SUM(E133:E136)</f>
        <v>-2.2738992999999999E-3</v>
      </c>
      <c r="F137" s="249" t="e">
        <f>SUM(F133:F136)</f>
        <v>#DIV/0!</v>
      </c>
      <c r="G137" s="236">
        <f t="shared" si="25"/>
        <v>-2.2388872146684355</v>
      </c>
      <c r="H137" s="236">
        <f t="shared" si="25"/>
        <v>-80718.597870087848</v>
      </c>
      <c r="I137" s="236">
        <f t="shared" si="25"/>
        <v>-2.2388901742482616</v>
      </c>
      <c r="J137" s="236" t="e">
        <f t="shared" si="25"/>
        <v>#DIV/0!</v>
      </c>
    </row>
    <row r="138" spans="1:10" x14ac:dyDescent="0.25">
      <c r="A138" s="199" t="s">
        <v>681</v>
      </c>
      <c r="B138" s="249">
        <f>B132+B137</f>
        <v>395.08977999999996</v>
      </c>
      <c r="C138" s="249">
        <f>C132+C137</f>
        <v>-288.13913321219997</v>
      </c>
      <c r="D138" s="249">
        <f>D132+D137</f>
        <v>3.9508978000000004E-3</v>
      </c>
      <c r="E138" s="249">
        <f>E132+E137</f>
        <v>-2.8813859000000001E-3</v>
      </c>
      <c r="F138" s="249" t="e">
        <f>F132+F137</f>
        <v>#DIV/0!</v>
      </c>
      <c r="G138" s="236">
        <f t="shared" si="25"/>
        <v>-2.3711770962711829</v>
      </c>
      <c r="H138" s="236">
        <f t="shared" si="25"/>
        <v>-72931.039651291387</v>
      </c>
      <c r="I138" s="236">
        <f t="shared" si="25"/>
        <v>-2.3711796812776798</v>
      </c>
      <c r="J138" s="236" t="e">
        <f t="shared" si="25"/>
        <v>#DIV/0!</v>
      </c>
    </row>
    <row r="139" spans="1:10" x14ac:dyDescent="0.25">
      <c r="A139" s="190" t="s">
        <v>682</v>
      </c>
      <c r="B139" s="253">
        <f>B28</f>
        <v>17.2315</v>
      </c>
      <c r="C139" s="253">
        <f>C28</f>
        <v>7.3876499999999998</v>
      </c>
      <c r="D139" s="253">
        <f>D28</f>
        <v>1.7231500000000001E-4</v>
      </c>
      <c r="E139" s="253">
        <f>E28</f>
        <v>7.3876500000000003E-5</v>
      </c>
      <c r="F139" s="253">
        <f>F28</f>
        <v>0</v>
      </c>
      <c r="G139" s="192">
        <f t="shared" si="25"/>
        <v>1.3324737907182933</v>
      </c>
      <c r="H139" s="192">
        <f t="shared" si="25"/>
        <v>42871.936192438261</v>
      </c>
      <c r="I139" s="192">
        <f t="shared" si="25"/>
        <v>1.3324737907182933</v>
      </c>
      <c r="J139" s="192" t="e">
        <f t="shared" si="25"/>
        <v>#DIV/0!</v>
      </c>
    </row>
    <row r="140" spans="1:10" x14ac:dyDescent="0.25">
      <c r="A140" s="199" t="s">
        <v>683</v>
      </c>
      <c r="B140" s="249">
        <f>B138-B139</f>
        <v>377.85827999999998</v>
      </c>
      <c r="C140" s="249">
        <f>C138-C139</f>
        <v>-295.52678321219997</v>
      </c>
      <c r="D140" s="249">
        <f>D138-D139</f>
        <v>3.7785828000000002E-3</v>
      </c>
      <c r="E140" s="249">
        <f>E138-E139</f>
        <v>-2.9552623999999999E-3</v>
      </c>
      <c r="F140" s="249" t="e">
        <f>F138-F139</f>
        <v>#DIV/0!</v>
      </c>
      <c r="G140" s="236">
        <f t="shared" si="25"/>
        <v>-2.2785923356688884</v>
      </c>
      <c r="H140" s="236">
        <f t="shared" si="25"/>
        <v>-78212.01160260402</v>
      </c>
      <c r="I140" s="236">
        <f t="shared" si="25"/>
        <v>-2.2785946858729025</v>
      </c>
      <c r="J140" s="236" t="e">
        <f t="shared" si="25"/>
        <v>#DIV/0!</v>
      </c>
    </row>
  </sheetData>
  <mergeCells count="17">
    <mergeCell ref="A68:A69"/>
    <mergeCell ref="G68:J68"/>
    <mergeCell ref="A1:J1"/>
    <mergeCell ref="A3:A4"/>
    <mergeCell ref="G3:J3"/>
    <mergeCell ref="A37:A38"/>
    <mergeCell ref="G37:J37"/>
    <mergeCell ref="A120:A121"/>
    <mergeCell ref="G120:G121"/>
    <mergeCell ref="H120:H121"/>
    <mergeCell ref="I120:I121"/>
    <mergeCell ref="J120:J121"/>
    <mergeCell ref="A95:A96"/>
    <mergeCell ref="G95:G96"/>
    <mergeCell ref="H95:H96"/>
    <mergeCell ref="I95:I96"/>
    <mergeCell ref="J95:J96"/>
  </mergeCells>
  <dataValidations count="1">
    <dataValidation type="list" showInputMessage="1" showErrorMessage="1" sqref="B3:F3 B95:F95 B37:F37 B68:F68 B120:F120" xr:uid="{00000000-0002-0000-0D00-000000000000}">
      <formula1>$L$3:$L$5</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8"/>
  <dimension ref="A1:W1048576"/>
  <sheetViews>
    <sheetView zoomScaleNormal="100" workbookViewId="0">
      <selection activeCell="A3" sqref="A3"/>
    </sheetView>
  </sheetViews>
  <sheetFormatPr defaultColWidth="0" defaultRowHeight="15" zeroHeight="1" x14ac:dyDescent="0.25"/>
  <cols>
    <col min="1" max="1" width="9.140625" style="13" customWidth="1"/>
    <col min="2" max="19" width="14.140625" style="13" customWidth="1"/>
    <col min="20" max="20" width="1.28515625" style="13" customWidth="1"/>
    <col min="21" max="23" width="0" style="13" hidden="1" customWidth="1"/>
    <col min="24" max="16384" width="9.140625" style="13" hidden="1"/>
  </cols>
  <sheetData>
    <row r="1" spans="1:19" ht="18.75" x14ac:dyDescent="0.25">
      <c r="A1" s="564" t="s">
        <v>825</v>
      </c>
      <c r="B1" s="565"/>
      <c r="C1" s="565"/>
      <c r="D1" s="565"/>
      <c r="E1" s="565"/>
      <c r="F1" s="565"/>
      <c r="G1" s="565"/>
      <c r="H1" s="565"/>
      <c r="I1" s="565"/>
      <c r="J1" s="565"/>
      <c r="K1" s="565"/>
      <c r="L1" s="565"/>
      <c r="M1" s="565"/>
      <c r="N1" s="565"/>
      <c r="O1" s="565"/>
      <c r="P1" s="565"/>
      <c r="Q1" s="565"/>
      <c r="R1" s="565"/>
      <c r="S1" s="566"/>
    </row>
    <row r="2" spans="1:19" x14ac:dyDescent="0.25">
      <c r="A2" s="57" t="s">
        <v>494</v>
      </c>
      <c r="B2" s="56" t="s">
        <v>808</v>
      </c>
      <c r="C2" s="56" t="s">
        <v>809</v>
      </c>
      <c r="D2" s="56" t="s">
        <v>810</v>
      </c>
      <c r="E2" s="56" t="s">
        <v>811</v>
      </c>
      <c r="F2" s="56" t="s">
        <v>812</v>
      </c>
      <c r="G2" s="56" t="s">
        <v>813</v>
      </c>
      <c r="H2" s="56" t="s">
        <v>814</v>
      </c>
      <c r="I2" s="56" t="s">
        <v>815</v>
      </c>
      <c r="J2" s="56" t="s">
        <v>816</v>
      </c>
      <c r="K2" s="56" t="s">
        <v>817</v>
      </c>
      <c r="L2" s="56" t="s">
        <v>818</v>
      </c>
      <c r="M2" s="56" t="s">
        <v>819</v>
      </c>
      <c r="N2" s="56" t="s">
        <v>820</v>
      </c>
      <c r="O2" s="56" t="s">
        <v>821</v>
      </c>
      <c r="P2" s="56" t="s">
        <v>822</v>
      </c>
      <c r="Q2" s="56" t="s">
        <v>823</v>
      </c>
      <c r="R2" s="56" t="s">
        <v>824</v>
      </c>
      <c r="S2" s="56" t="s">
        <v>248</v>
      </c>
    </row>
    <row r="3" spans="1:19" x14ac:dyDescent="0.25">
      <c r="A3" s="53" t="str">
        <f>Banking!A13</f>
        <v>Feb</v>
      </c>
      <c r="B3" s="54">
        <f>Banking!J13</f>
        <v>0</v>
      </c>
      <c r="C3" s="54">
        <f>Banking!$J29</f>
        <v>0</v>
      </c>
      <c r="D3" s="54">
        <f>Banking!$J45</f>
        <v>0</v>
      </c>
      <c r="E3" s="54">
        <f>Banking!$J61</f>
        <v>0</v>
      </c>
      <c r="F3" s="54">
        <f>Banking!$J77</f>
        <v>0</v>
      </c>
      <c r="G3" s="54">
        <f>Banking!$J93</f>
        <v>0</v>
      </c>
      <c r="H3" s="54">
        <f>Banking!$J109</f>
        <v>0</v>
      </c>
      <c r="I3" s="54">
        <f>Banking!$J125</f>
        <v>0</v>
      </c>
      <c r="J3" s="54">
        <f>Banking!$J141</f>
        <v>0</v>
      </c>
      <c r="K3" s="54">
        <f>Banking!$J157</f>
        <v>0</v>
      </c>
      <c r="L3" s="54">
        <f>Banking!$J173</f>
        <v>0</v>
      </c>
      <c r="M3" s="54">
        <f>Banking!$J189</f>
        <v>0</v>
      </c>
      <c r="N3" s="54">
        <f>Banking!$J205</f>
        <v>0</v>
      </c>
      <c r="O3" s="54">
        <f>Banking!$J221</f>
        <v>0</v>
      </c>
      <c r="P3" s="54">
        <f>Banking!$J237</f>
        <v>0</v>
      </c>
      <c r="Q3" s="54">
        <f>Banking!$J253</f>
        <v>0</v>
      </c>
      <c r="R3" s="54">
        <f>Banking!$J269</f>
        <v>0</v>
      </c>
      <c r="S3" s="62">
        <f t="shared" ref="S3:S11" si="0">SUM(B3:R3)</f>
        <v>0</v>
      </c>
    </row>
    <row r="4" spans="1:19" x14ac:dyDescent="0.25">
      <c r="A4" s="53" t="str">
        <f>Banking!A14</f>
        <v>May</v>
      </c>
      <c r="B4" s="54">
        <f>Banking!J14</f>
        <v>0</v>
      </c>
      <c r="C4" s="54">
        <f>Banking!$J30</f>
        <v>0</v>
      </c>
      <c r="D4" s="54">
        <f>Banking!$J46</f>
        <v>0</v>
      </c>
      <c r="E4" s="54">
        <f>Banking!$J62</f>
        <v>0</v>
      </c>
      <c r="F4" s="54">
        <f>Banking!$J78</f>
        <v>0</v>
      </c>
      <c r="G4" s="54">
        <f>Banking!$J94</f>
        <v>0</v>
      </c>
      <c r="H4" s="54">
        <f>Banking!$J110</f>
        <v>0</v>
      </c>
      <c r="I4" s="54">
        <f>Banking!$J126</f>
        <v>0</v>
      </c>
      <c r="J4" s="54">
        <f>Banking!$J142</f>
        <v>0</v>
      </c>
      <c r="K4" s="54">
        <f>Banking!$J158</f>
        <v>0</v>
      </c>
      <c r="L4" s="54">
        <f>Banking!$J174</f>
        <v>0</v>
      </c>
      <c r="M4" s="54">
        <f>Banking!$J190</f>
        <v>0</v>
      </c>
      <c r="N4" s="54">
        <f>Banking!$J206</f>
        <v>0</v>
      </c>
      <c r="O4" s="54">
        <f>Banking!$J222</f>
        <v>0</v>
      </c>
      <c r="P4" s="54">
        <f>Banking!$J238</f>
        <v>0</v>
      </c>
      <c r="Q4" s="54">
        <f>Banking!$J254</f>
        <v>0</v>
      </c>
      <c r="R4" s="54">
        <f>Banking!$J270</f>
        <v>0</v>
      </c>
      <c r="S4" s="62">
        <f t="shared" si="0"/>
        <v>0</v>
      </c>
    </row>
    <row r="5" spans="1:19" x14ac:dyDescent="0.25">
      <c r="A5" s="53" t="str">
        <f>Banking!A15</f>
        <v>Jun</v>
      </c>
      <c r="B5" s="54">
        <f>Banking!J15</f>
        <v>0</v>
      </c>
      <c r="C5" s="54">
        <f>Banking!$J31</f>
        <v>0</v>
      </c>
      <c r="D5" s="54">
        <f>Banking!$J47</f>
        <v>0</v>
      </c>
      <c r="E5" s="54">
        <f>Banking!$J63</f>
        <v>0</v>
      </c>
      <c r="F5" s="54">
        <f>Banking!$J79</f>
        <v>0</v>
      </c>
      <c r="G5" s="54">
        <f>Banking!$J95</f>
        <v>0</v>
      </c>
      <c r="H5" s="54">
        <f>Banking!$J111</f>
        <v>0</v>
      </c>
      <c r="I5" s="54">
        <f>Banking!$J127</f>
        <v>0</v>
      </c>
      <c r="J5" s="54">
        <f>Banking!$J143</f>
        <v>0</v>
      </c>
      <c r="K5" s="54">
        <f>Banking!$J159</f>
        <v>0</v>
      </c>
      <c r="L5" s="54">
        <f>Banking!$J175</f>
        <v>0</v>
      </c>
      <c r="M5" s="54">
        <f>Banking!$J191</f>
        <v>0</v>
      </c>
      <c r="N5" s="54">
        <f>Banking!$J207</f>
        <v>0</v>
      </c>
      <c r="O5" s="54">
        <f>Banking!$J223</f>
        <v>0</v>
      </c>
      <c r="P5" s="54">
        <f>Banking!$J239</f>
        <v>0</v>
      </c>
      <c r="Q5" s="54">
        <f>Banking!$J255</f>
        <v>0</v>
      </c>
      <c r="R5" s="54">
        <f>Banking!$J271</f>
        <v>0</v>
      </c>
      <c r="S5" s="62">
        <f t="shared" si="0"/>
        <v>0</v>
      </c>
    </row>
    <row r="6" spans="1:19" x14ac:dyDescent="0.25">
      <c r="A6" s="53" t="str">
        <f>Banking!A16</f>
        <v>Jul</v>
      </c>
      <c r="B6" s="54">
        <f>Banking!J16</f>
        <v>0</v>
      </c>
      <c r="C6" s="54">
        <f>Banking!$J32</f>
        <v>0</v>
      </c>
      <c r="D6" s="54">
        <f>Banking!$J48</f>
        <v>0</v>
      </c>
      <c r="E6" s="54">
        <f>Banking!$J64</f>
        <v>0</v>
      </c>
      <c r="F6" s="54">
        <f>Banking!$J80</f>
        <v>0</v>
      </c>
      <c r="G6" s="54">
        <f>Banking!$J96</f>
        <v>0</v>
      </c>
      <c r="H6" s="54">
        <f>Banking!$J112</f>
        <v>0</v>
      </c>
      <c r="I6" s="54">
        <f>Banking!$J128</f>
        <v>0</v>
      </c>
      <c r="J6" s="54">
        <f>Banking!$J144</f>
        <v>0</v>
      </c>
      <c r="K6" s="54">
        <f>Banking!$J160</f>
        <v>0</v>
      </c>
      <c r="L6" s="54">
        <f>Banking!$J176</f>
        <v>0</v>
      </c>
      <c r="M6" s="54">
        <f>Banking!$J192</f>
        <v>0</v>
      </c>
      <c r="N6" s="54">
        <f>Banking!$J208</f>
        <v>0</v>
      </c>
      <c r="O6" s="54">
        <f>Banking!$J224</f>
        <v>0</v>
      </c>
      <c r="P6" s="54">
        <f>Banking!$J240</f>
        <v>0</v>
      </c>
      <c r="Q6" s="54">
        <f>Banking!$J256</f>
        <v>0</v>
      </c>
      <c r="R6" s="54">
        <f>Banking!$J272</f>
        <v>0</v>
      </c>
      <c r="S6" s="62">
        <f t="shared" si="0"/>
        <v>0</v>
      </c>
    </row>
    <row r="7" spans="1:19" x14ac:dyDescent="0.25">
      <c r="A7" s="53" t="s">
        <v>505</v>
      </c>
      <c r="B7" s="54">
        <f>Banking!J17</f>
        <v>0</v>
      </c>
      <c r="C7" s="54">
        <f>Banking!$J33</f>
        <v>0</v>
      </c>
      <c r="D7" s="54">
        <f>Banking!$J49</f>
        <v>0</v>
      </c>
      <c r="E7" s="54">
        <f>Banking!$J65</f>
        <v>0</v>
      </c>
      <c r="F7" s="54">
        <f>Banking!$J81</f>
        <v>0</v>
      </c>
      <c r="G7" s="54">
        <f>Banking!$J97</f>
        <v>0</v>
      </c>
      <c r="H7" s="54">
        <f>Banking!$J113</f>
        <v>0</v>
      </c>
      <c r="I7" s="54">
        <f>Banking!$J129</f>
        <v>0</v>
      </c>
      <c r="J7" s="54">
        <f>Banking!$J145</f>
        <v>0</v>
      </c>
      <c r="K7" s="54">
        <f>Banking!$J161</f>
        <v>0</v>
      </c>
      <c r="L7" s="54">
        <f>Banking!$J177</f>
        <v>0</v>
      </c>
      <c r="M7" s="54">
        <f>Banking!$J193</f>
        <v>0</v>
      </c>
      <c r="N7" s="54">
        <f>Banking!$J209</f>
        <v>0</v>
      </c>
      <c r="O7" s="54">
        <f>Banking!$J225</f>
        <v>0</v>
      </c>
      <c r="P7" s="54">
        <f>Banking!$J241</f>
        <v>0</v>
      </c>
      <c r="Q7" s="54">
        <f>Banking!$J257</f>
        <v>0</v>
      </c>
      <c r="R7" s="54">
        <f>Banking!$J273</f>
        <v>0</v>
      </c>
      <c r="S7" s="62">
        <f t="shared" si="0"/>
        <v>0</v>
      </c>
    </row>
    <row r="8" spans="1:19" x14ac:dyDescent="0.25">
      <c r="A8" s="53" t="str">
        <f>Banking!A18</f>
        <v>Sep</v>
      </c>
      <c r="B8" s="54">
        <f>Banking!J18</f>
        <v>0</v>
      </c>
      <c r="C8" s="54">
        <f>Banking!$J34</f>
        <v>0</v>
      </c>
      <c r="D8" s="54">
        <f>Banking!$J50</f>
        <v>0</v>
      </c>
      <c r="E8" s="54">
        <f>Banking!$J66</f>
        <v>0</v>
      </c>
      <c r="F8" s="54">
        <f>Banking!$J82</f>
        <v>0</v>
      </c>
      <c r="G8" s="54">
        <f>Banking!$J98</f>
        <v>0</v>
      </c>
      <c r="H8" s="54">
        <f>Banking!$J114</f>
        <v>0</v>
      </c>
      <c r="I8" s="54">
        <f>Banking!$J130</f>
        <v>0</v>
      </c>
      <c r="J8" s="54">
        <f>Banking!$J146</f>
        <v>0</v>
      </c>
      <c r="K8" s="54">
        <f>Banking!$J162</f>
        <v>0</v>
      </c>
      <c r="L8" s="54">
        <f>Banking!$J178</f>
        <v>0</v>
      </c>
      <c r="M8" s="54">
        <f>Banking!$J194</f>
        <v>0</v>
      </c>
      <c r="N8" s="54">
        <f>Banking!$J210</f>
        <v>0</v>
      </c>
      <c r="O8" s="54">
        <f>Banking!$J226</f>
        <v>0</v>
      </c>
      <c r="P8" s="54">
        <f>Banking!$J242</f>
        <v>0</v>
      </c>
      <c r="Q8" s="54">
        <f>Banking!$J258</f>
        <v>0</v>
      </c>
      <c r="R8" s="54">
        <f>Banking!$J274</f>
        <v>0</v>
      </c>
      <c r="S8" s="62">
        <f t="shared" si="0"/>
        <v>0</v>
      </c>
    </row>
    <row r="9" spans="1:19" x14ac:dyDescent="0.25">
      <c r="A9" s="53" t="str">
        <f>Banking!A19</f>
        <v>Oct</v>
      </c>
      <c r="B9" s="54">
        <f>Banking!J19</f>
        <v>0</v>
      </c>
      <c r="C9" s="54">
        <f>Banking!$J35</f>
        <v>0</v>
      </c>
      <c r="D9" s="54">
        <f>Banking!$J51</f>
        <v>0</v>
      </c>
      <c r="E9" s="54">
        <f>Banking!$J67</f>
        <v>0</v>
      </c>
      <c r="F9" s="54">
        <f>Banking!$J83</f>
        <v>0</v>
      </c>
      <c r="G9" s="54">
        <f>Banking!$J99</f>
        <v>0</v>
      </c>
      <c r="H9" s="54">
        <f>Banking!$J115</f>
        <v>0</v>
      </c>
      <c r="I9" s="54">
        <f>Banking!$J131</f>
        <v>0</v>
      </c>
      <c r="J9" s="54">
        <f>Banking!$J147</f>
        <v>0</v>
      </c>
      <c r="K9" s="54">
        <f>Banking!$J163</f>
        <v>0</v>
      </c>
      <c r="L9" s="54">
        <f>Banking!$J179</f>
        <v>0</v>
      </c>
      <c r="M9" s="54">
        <f>Banking!$J195</f>
        <v>0</v>
      </c>
      <c r="N9" s="54">
        <f>Banking!$J211</f>
        <v>0</v>
      </c>
      <c r="O9" s="54">
        <f>Banking!$J227</f>
        <v>0</v>
      </c>
      <c r="P9" s="54">
        <f>Banking!$J243</f>
        <v>0</v>
      </c>
      <c r="Q9" s="54">
        <f>Banking!$J259</f>
        <v>0</v>
      </c>
      <c r="R9" s="54">
        <f>Banking!$J275</f>
        <v>0</v>
      </c>
      <c r="S9" s="62">
        <f t="shared" si="0"/>
        <v>0</v>
      </c>
    </row>
    <row r="10" spans="1:19" x14ac:dyDescent="0.25">
      <c r="A10" s="53" t="str">
        <f>Banking!A20</f>
        <v>Nov</v>
      </c>
      <c r="B10" s="54">
        <f>Banking!J20</f>
        <v>0</v>
      </c>
      <c r="C10" s="54">
        <f>Banking!$J36</f>
        <v>0</v>
      </c>
      <c r="D10" s="54">
        <f>Banking!$J52</f>
        <v>0</v>
      </c>
      <c r="E10" s="54">
        <f>Banking!$J68</f>
        <v>0</v>
      </c>
      <c r="F10" s="54">
        <f>Banking!$J84</f>
        <v>0</v>
      </c>
      <c r="G10" s="54">
        <f>Banking!$J100</f>
        <v>0</v>
      </c>
      <c r="H10" s="54">
        <f>Banking!$J116</f>
        <v>0</v>
      </c>
      <c r="I10" s="54">
        <f>Banking!$J132</f>
        <v>0</v>
      </c>
      <c r="J10" s="54">
        <f>Banking!$J148</f>
        <v>0</v>
      </c>
      <c r="K10" s="54">
        <f>Banking!$J164</f>
        <v>0</v>
      </c>
      <c r="L10" s="54">
        <f>Banking!$J180</f>
        <v>0</v>
      </c>
      <c r="M10" s="54">
        <f>Banking!$J196</f>
        <v>0</v>
      </c>
      <c r="N10" s="54">
        <f>Banking!$J212</f>
        <v>0</v>
      </c>
      <c r="O10" s="54">
        <f>Banking!$J228</f>
        <v>0</v>
      </c>
      <c r="P10" s="54">
        <f>Banking!$J244</f>
        <v>0</v>
      </c>
      <c r="Q10" s="54">
        <f>Banking!$J260</f>
        <v>0</v>
      </c>
      <c r="R10" s="54">
        <f>Banking!$J276</f>
        <v>0</v>
      </c>
      <c r="S10" s="62">
        <f t="shared" si="0"/>
        <v>0</v>
      </c>
    </row>
    <row r="11" spans="1:19" x14ac:dyDescent="0.25">
      <c r="A11" s="53" t="str">
        <f>Banking!A21</f>
        <v>Dec</v>
      </c>
      <c r="B11" s="54">
        <f>Banking!J21</f>
        <v>0</v>
      </c>
      <c r="C11" s="54">
        <f>Banking!$J37</f>
        <v>0</v>
      </c>
      <c r="D11" s="54">
        <f>Banking!$J53</f>
        <v>0</v>
      </c>
      <c r="E11" s="54">
        <f>Banking!$J69</f>
        <v>0</v>
      </c>
      <c r="F11" s="54">
        <f>Banking!$J85</f>
        <v>0</v>
      </c>
      <c r="G11" s="54">
        <f>Banking!$J101</f>
        <v>0</v>
      </c>
      <c r="H11" s="54">
        <f>Banking!$J117</f>
        <v>0</v>
      </c>
      <c r="I11" s="54">
        <f>Banking!$J133</f>
        <v>0</v>
      </c>
      <c r="J11" s="54">
        <f>Banking!$J149</f>
        <v>0</v>
      </c>
      <c r="K11" s="54">
        <f>Banking!$J165</f>
        <v>0</v>
      </c>
      <c r="L11" s="54">
        <f>Banking!$J181</f>
        <v>0</v>
      </c>
      <c r="M11" s="54">
        <f>Banking!$J197</f>
        <v>0</v>
      </c>
      <c r="N11" s="54">
        <f>Banking!$J213</f>
        <v>0</v>
      </c>
      <c r="O11" s="54">
        <f>Banking!$J229</f>
        <v>0</v>
      </c>
      <c r="P11" s="54">
        <f>Banking!$J245</f>
        <v>0</v>
      </c>
      <c r="Q11" s="54">
        <f>Banking!$J261</f>
        <v>0</v>
      </c>
      <c r="R11" s="54">
        <f>Banking!$J277</f>
        <v>0</v>
      </c>
      <c r="S11" s="62">
        <f t="shared" si="0"/>
        <v>0</v>
      </c>
    </row>
    <row r="12" spans="1:19" x14ac:dyDescent="0.25">
      <c r="A12" s="56" t="s">
        <v>507</v>
      </c>
      <c r="B12" s="42">
        <f t="shared" ref="B12:S12" si="1">SUM(B3:B11)</f>
        <v>0</v>
      </c>
      <c r="C12" s="42">
        <f t="shared" si="1"/>
        <v>0</v>
      </c>
      <c r="D12" s="42">
        <f t="shared" si="1"/>
        <v>0</v>
      </c>
      <c r="E12" s="42">
        <f t="shared" si="1"/>
        <v>0</v>
      </c>
      <c r="F12" s="42">
        <f t="shared" si="1"/>
        <v>0</v>
      </c>
      <c r="G12" s="42">
        <f t="shared" si="1"/>
        <v>0</v>
      </c>
      <c r="H12" s="42">
        <f t="shared" si="1"/>
        <v>0</v>
      </c>
      <c r="I12" s="42">
        <f t="shared" si="1"/>
        <v>0</v>
      </c>
      <c r="J12" s="42">
        <f t="shared" si="1"/>
        <v>0</v>
      </c>
      <c r="K12" s="42">
        <f t="shared" si="1"/>
        <v>0</v>
      </c>
      <c r="L12" s="42">
        <f t="shared" si="1"/>
        <v>0</v>
      </c>
      <c r="M12" s="42">
        <f t="shared" si="1"/>
        <v>0</v>
      </c>
      <c r="N12" s="42">
        <f t="shared" si="1"/>
        <v>0</v>
      </c>
      <c r="O12" s="42">
        <f t="shared" si="1"/>
        <v>0</v>
      </c>
      <c r="P12" s="42">
        <f t="shared" si="1"/>
        <v>0</v>
      </c>
      <c r="Q12" s="42">
        <f t="shared" si="1"/>
        <v>0</v>
      </c>
      <c r="R12" s="42">
        <f t="shared" si="1"/>
        <v>0</v>
      </c>
      <c r="S12" s="63">
        <f t="shared" si="1"/>
        <v>0</v>
      </c>
    </row>
    <row r="13" spans="1:19" x14ac:dyDescent="0.25">
      <c r="A13" s="56" t="s">
        <v>496</v>
      </c>
      <c r="B13" s="42">
        <f t="shared" ref="B13:S13" si="2">B12/9</f>
        <v>0</v>
      </c>
      <c r="C13" s="42">
        <f t="shared" si="2"/>
        <v>0</v>
      </c>
      <c r="D13" s="42">
        <f t="shared" si="2"/>
        <v>0</v>
      </c>
      <c r="E13" s="42">
        <f t="shared" si="2"/>
        <v>0</v>
      </c>
      <c r="F13" s="42">
        <f t="shared" si="2"/>
        <v>0</v>
      </c>
      <c r="G13" s="42">
        <f t="shared" si="2"/>
        <v>0</v>
      </c>
      <c r="H13" s="42">
        <f t="shared" si="2"/>
        <v>0</v>
      </c>
      <c r="I13" s="42">
        <f t="shared" si="2"/>
        <v>0</v>
      </c>
      <c r="J13" s="42">
        <f t="shared" si="2"/>
        <v>0</v>
      </c>
      <c r="K13" s="42">
        <f t="shared" si="2"/>
        <v>0</v>
      </c>
      <c r="L13" s="42">
        <f t="shared" si="2"/>
        <v>0</v>
      </c>
      <c r="M13" s="42">
        <f t="shared" si="2"/>
        <v>0</v>
      </c>
      <c r="N13" s="42">
        <f t="shared" si="2"/>
        <v>0</v>
      </c>
      <c r="O13" s="42">
        <f t="shared" si="2"/>
        <v>0</v>
      </c>
      <c r="P13" s="42">
        <f t="shared" si="2"/>
        <v>0</v>
      </c>
      <c r="Q13" s="42">
        <f t="shared" si="2"/>
        <v>0</v>
      </c>
      <c r="R13" s="42">
        <f t="shared" si="2"/>
        <v>0</v>
      </c>
      <c r="S13" s="63">
        <f t="shared" si="2"/>
        <v>0</v>
      </c>
    </row>
    <row r="17" spans="2:3" hidden="1" x14ac:dyDescent="0.25">
      <c r="B17" s="13" t="s">
        <v>537</v>
      </c>
      <c r="C17" s="13" t="s">
        <v>569</v>
      </c>
    </row>
    <row r="18" spans="2:3" hidden="1" x14ac:dyDescent="0.25">
      <c r="B18" s="13" t="s">
        <v>539</v>
      </c>
      <c r="C18" s="13" t="s">
        <v>570</v>
      </c>
    </row>
    <row r="19" spans="2:3" hidden="1" x14ac:dyDescent="0.25">
      <c r="B19" s="13" t="s">
        <v>515</v>
      </c>
      <c r="C19" s="13" t="s">
        <v>518</v>
      </c>
    </row>
    <row r="20" spans="2:3" hidden="1" x14ac:dyDescent="0.25">
      <c r="B20" s="13" t="s">
        <v>516</v>
      </c>
      <c r="C20" s="13" t="s">
        <v>571</v>
      </c>
    </row>
    <row r="21" spans="2:3" hidden="1" x14ac:dyDescent="0.25">
      <c r="B21" s="13" t="s">
        <v>517</v>
      </c>
      <c r="C21" s="13" t="s">
        <v>572</v>
      </c>
    </row>
    <row r="22" spans="2:3" hidden="1" x14ac:dyDescent="0.25">
      <c r="B22" s="13" t="s">
        <v>504</v>
      </c>
      <c r="C22" s="13" t="s">
        <v>573</v>
      </c>
    </row>
    <row r="23" spans="2:3" hidden="1" x14ac:dyDescent="0.25">
      <c r="B23" s="13" t="s">
        <v>505</v>
      </c>
      <c r="C23" s="13" t="s">
        <v>574</v>
      </c>
    </row>
    <row r="24" spans="2:3" hidden="1" x14ac:dyDescent="0.25">
      <c r="B24" s="13" t="s">
        <v>506</v>
      </c>
      <c r="C24" s="13" t="s">
        <v>575</v>
      </c>
    </row>
    <row r="25" spans="2:3" hidden="1" x14ac:dyDescent="0.25">
      <c r="B25" s="13" t="s">
        <v>546</v>
      </c>
      <c r="C25" s="13" t="s">
        <v>576</v>
      </c>
    </row>
    <row r="26" spans="2:3" hidden="1" x14ac:dyDescent="0.25">
      <c r="B26" s="13" t="s">
        <v>548</v>
      </c>
      <c r="C26" s="13" t="s">
        <v>577</v>
      </c>
    </row>
    <row r="27" spans="2:3" hidden="1" x14ac:dyDescent="0.25">
      <c r="B27" s="13" t="s">
        <v>550</v>
      </c>
      <c r="C27" s="13" t="s">
        <v>578</v>
      </c>
    </row>
    <row r="28" spans="2:3" hidden="1" x14ac:dyDescent="0.25">
      <c r="B28" s="13" t="s">
        <v>552</v>
      </c>
      <c r="C28" s="13" t="s">
        <v>579</v>
      </c>
    </row>
    <row r="1048575" ht="9" hidden="1" customHeight="1" x14ac:dyDescent="0.25"/>
    <row r="1048576" ht="7.5" hidden="1" customHeight="1" x14ac:dyDescent="0.25"/>
  </sheetData>
  <sheetProtection algorithmName="SHA-512" hashValue="4eIBH9ps+ahBNxot6kraBAMlw2l64pBwhFDtFZD827az/jMuvr0xfLKGZ8omzvQnWwzox8Ao3c5IiD95u8anyg==" saltValue="a/rdSkOHM2qxs5KTZu2Z/w==" spinCount="100000" sheet="1" objects="1" scenarios="1"/>
  <mergeCells count="1">
    <mergeCell ref="A1:S1"/>
  </mergeCells>
  <dataValidations count="1">
    <dataValidation type="list" allowBlank="1" showInputMessage="1" showErrorMessage="1" sqref="A3:A11" xr:uid="{00000000-0002-0000-0E00-000000000000}">
      <formula1>$B$17:$B$28</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9"/>
  <dimension ref="A1:N27"/>
  <sheetViews>
    <sheetView zoomScale="80" zoomScaleNormal="80" workbookViewId="0">
      <selection sqref="A1:M1"/>
    </sheetView>
  </sheetViews>
  <sheetFormatPr defaultColWidth="0" defaultRowHeight="15" zeroHeight="1" x14ac:dyDescent="0.25"/>
  <cols>
    <col min="1" max="1" width="15.5703125" style="13" bestFit="1" customWidth="1"/>
    <col min="2" max="13" width="18.140625" style="13" customWidth="1"/>
    <col min="14" max="14" width="2.140625" style="13" customWidth="1"/>
    <col min="15" max="16384" width="9.140625" style="13" hidden="1"/>
  </cols>
  <sheetData>
    <row r="1" spans="1:13" ht="20.25" x14ac:dyDescent="0.3">
      <c r="A1" s="567" t="s">
        <v>843</v>
      </c>
      <c r="B1" s="568"/>
      <c r="C1" s="568"/>
      <c r="D1" s="568"/>
      <c r="E1" s="568"/>
      <c r="F1" s="568"/>
      <c r="G1" s="568"/>
      <c r="H1" s="568"/>
      <c r="I1" s="568"/>
      <c r="J1" s="568"/>
      <c r="K1" s="568"/>
      <c r="L1" s="568"/>
      <c r="M1" s="569"/>
    </row>
    <row r="2" spans="1:13" x14ac:dyDescent="0.25">
      <c r="A2" s="485" t="s">
        <v>554</v>
      </c>
      <c r="B2" s="485"/>
      <c r="C2" s="485"/>
      <c r="D2" s="485"/>
      <c r="E2" s="489">
        <f>G25</f>
        <v>0</v>
      </c>
      <c r="F2" s="489"/>
      <c r="G2" s="489"/>
      <c r="H2" s="489"/>
      <c r="I2" s="489"/>
      <c r="J2" s="489"/>
      <c r="K2" s="489"/>
      <c r="L2" s="489"/>
      <c r="M2" s="489"/>
    </row>
    <row r="3" spans="1:13" x14ac:dyDescent="0.25">
      <c r="A3" s="485" t="s">
        <v>555</v>
      </c>
      <c r="B3" s="485"/>
      <c r="C3" s="485"/>
      <c r="D3" s="485"/>
      <c r="E3" s="379">
        <f>'Loan Details'!E14</f>
        <v>0</v>
      </c>
      <c r="F3" s="379"/>
      <c r="G3" s="379"/>
      <c r="H3" s="379"/>
      <c r="I3" s="379"/>
      <c r="J3" s="379"/>
      <c r="K3" s="379"/>
      <c r="L3" s="379"/>
      <c r="M3" s="379"/>
    </row>
    <row r="4" spans="1:13" x14ac:dyDescent="0.25">
      <c r="A4" s="485" t="s">
        <v>487</v>
      </c>
      <c r="B4" s="485"/>
      <c r="C4" s="485"/>
      <c r="D4" s="485"/>
      <c r="E4" s="570" t="e">
        <f>E2/E3</f>
        <v>#DIV/0!</v>
      </c>
      <c r="F4" s="570"/>
      <c r="G4" s="570"/>
      <c r="H4" s="570"/>
      <c r="I4" s="570"/>
      <c r="J4" s="570"/>
      <c r="K4" s="570"/>
      <c r="L4" s="570"/>
      <c r="M4" s="570"/>
    </row>
    <row r="5" spans="1:13" x14ac:dyDescent="0.25">
      <c r="A5" s="485" t="s">
        <v>556</v>
      </c>
      <c r="B5" s="485"/>
      <c r="C5" s="485"/>
      <c r="D5" s="485"/>
      <c r="E5" s="454" t="s">
        <v>766</v>
      </c>
      <c r="F5" s="454"/>
      <c r="G5" s="454"/>
      <c r="H5" s="454" t="s">
        <v>687</v>
      </c>
      <c r="I5" s="454"/>
      <c r="J5" s="454"/>
      <c r="K5" s="454" t="s">
        <v>559</v>
      </c>
      <c r="L5" s="454"/>
      <c r="M5" s="454"/>
    </row>
    <row r="6" spans="1:13" x14ac:dyDescent="0.25">
      <c r="A6" s="571" t="s">
        <v>557</v>
      </c>
      <c r="B6" s="571"/>
      <c r="C6" s="571"/>
      <c r="D6" s="571"/>
      <c r="E6" s="444">
        <f>J25</f>
        <v>0</v>
      </c>
      <c r="F6" s="443"/>
      <c r="G6" s="443"/>
      <c r="H6" s="444">
        <f>M24</f>
        <v>0</v>
      </c>
      <c r="I6" s="443"/>
      <c r="J6" s="443"/>
      <c r="K6" s="543" t="e">
        <f>E6/H6</f>
        <v>#DIV/0!</v>
      </c>
      <c r="L6" s="543"/>
      <c r="M6" s="543"/>
    </row>
    <row r="7" spans="1:13" x14ac:dyDescent="0.25">
      <c r="A7" s="571" t="s">
        <v>560</v>
      </c>
      <c r="B7" s="571"/>
      <c r="C7" s="571"/>
      <c r="D7" s="571"/>
      <c r="E7" s="444">
        <f>K25</f>
        <v>0</v>
      </c>
      <c r="F7" s="443"/>
      <c r="G7" s="443"/>
      <c r="H7" s="444">
        <f>L25</f>
        <v>0</v>
      </c>
      <c r="I7" s="443"/>
      <c r="J7" s="443"/>
      <c r="K7" s="543" t="e">
        <f>E7/H7</f>
        <v>#DIV/0!</v>
      </c>
      <c r="L7" s="543"/>
      <c r="M7" s="543"/>
    </row>
    <row r="8" spans="1:13" x14ac:dyDescent="0.25">
      <c r="A8" s="571" t="s">
        <v>248</v>
      </c>
      <c r="B8" s="571"/>
      <c r="C8" s="571"/>
      <c r="D8" s="571"/>
      <c r="E8" s="444">
        <f>E6+E7</f>
        <v>0</v>
      </c>
      <c r="F8" s="443"/>
      <c r="G8" s="443"/>
      <c r="H8" s="444">
        <f>H6+H7</f>
        <v>0</v>
      </c>
      <c r="I8" s="443"/>
      <c r="J8" s="443"/>
      <c r="K8" s="543" t="e">
        <f>E8/H8</f>
        <v>#DIV/0!</v>
      </c>
      <c r="L8" s="543"/>
      <c r="M8" s="543"/>
    </row>
    <row r="9" spans="1:13" ht="18.75" x14ac:dyDescent="0.25">
      <c r="A9" s="466" t="s">
        <v>491</v>
      </c>
      <c r="B9" s="466"/>
      <c r="C9" s="466"/>
      <c r="D9" s="466"/>
      <c r="E9" s="466"/>
      <c r="F9" s="466"/>
      <c r="G9" s="466"/>
      <c r="H9" s="466"/>
      <c r="I9" s="466"/>
      <c r="J9" s="466"/>
      <c r="K9" s="466"/>
      <c r="L9" s="466"/>
      <c r="M9" s="466"/>
    </row>
    <row r="10" spans="1:13" ht="15.75" x14ac:dyDescent="0.25">
      <c r="A10" s="572" t="s">
        <v>694</v>
      </c>
      <c r="B10" s="572"/>
      <c r="C10" s="573"/>
      <c r="D10" s="573"/>
      <c r="E10" s="48"/>
      <c r="F10" s="58" t="s">
        <v>695</v>
      </c>
      <c r="G10" s="573"/>
      <c r="H10" s="573"/>
      <c r="I10" s="573"/>
      <c r="J10" s="58" t="s">
        <v>492</v>
      </c>
      <c r="K10" s="574"/>
      <c r="L10" s="574"/>
      <c r="M10" s="574"/>
    </row>
    <row r="11" spans="1:13" x14ac:dyDescent="0.25">
      <c r="A11" s="486" t="s">
        <v>494</v>
      </c>
      <c r="B11" s="486" t="s">
        <v>495</v>
      </c>
      <c r="C11" s="486"/>
      <c r="D11" s="486"/>
      <c r="E11" s="461" t="s">
        <v>496</v>
      </c>
      <c r="F11" s="461" t="s">
        <v>685</v>
      </c>
      <c r="G11" s="461" t="s">
        <v>497</v>
      </c>
      <c r="H11" s="461" t="s">
        <v>498</v>
      </c>
      <c r="I11" s="461" t="s">
        <v>499</v>
      </c>
      <c r="J11" s="461" t="s">
        <v>500</v>
      </c>
      <c r="K11" s="461" t="s">
        <v>501</v>
      </c>
      <c r="L11" s="461" t="s">
        <v>502</v>
      </c>
      <c r="M11" s="461" t="s">
        <v>503</v>
      </c>
    </row>
    <row r="12" spans="1:13" x14ac:dyDescent="0.25">
      <c r="A12" s="486"/>
      <c r="B12" s="57">
        <v>5</v>
      </c>
      <c r="C12" s="57">
        <v>15</v>
      </c>
      <c r="D12" s="57">
        <v>25</v>
      </c>
      <c r="E12" s="461"/>
      <c r="F12" s="461"/>
      <c r="G12" s="461"/>
      <c r="H12" s="461"/>
      <c r="I12" s="461"/>
      <c r="J12" s="461"/>
      <c r="K12" s="461"/>
      <c r="L12" s="461"/>
      <c r="M12" s="461"/>
    </row>
    <row r="13" spans="1:13" x14ac:dyDescent="0.25">
      <c r="A13" s="5" t="s">
        <v>515</v>
      </c>
      <c r="B13" s="43">
        <v>0</v>
      </c>
      <c r="C13" s="43">
        <v>0</v>
      </c>
      <c r="D13" s="43">
        <v>0</v>
      </c>
      <c r="E13" s="42">
        <f>AVERAGE(B13:D13)</f>
        <v>0</v>
      </c>
      <c r="F13" s="43">
        <v>0</v>
      </c>
      <c r="G13" s="43">
        <v>0</v>
      </c>
      <c r="H13" s="44">
        <v>0</v>
      </c>
      <c r="I13" s="45">
        <f>G13-H13</f>
        <v>0</v>
      </c>
      <c r="J13" s="7">
        <v>0</v>
      </c>
      <c r="K13" s="7">
        <v>0</v>
      </c>
      <c r="L13" s="7">
        <v>0</v>
      </c>
      <c r="M13" s="7">
        <v>0</v>
      </c>
    </row>
    <row r="14" spans="1:13" x14ac:dyDescent="0.25">
      <c r="A14" s="5" t="s">
        <v>516</v>
      </c>
      <c r="B14" s="43">
        <v>0</v>
      </c>
      <c r="C14" s="43">
        <v>0</v>
      </c>
      <c r="D14" s="43">
        <v>0</v>
      </c>
      <c r="E14" s="42">
        <f t="shared" ref="E14:E24" si="0">AVERAGE(B14:D14)</f>
        <v>0</v>
      </c>
      <c r="F14" s="43">
        <v>0</v>
      </c>
      <c r="G14" s="43">
        <v>0</v>
      </c>
      <c r="H14" s="44">
        <v>0</v>
      </c>
      <c r="I14" s="45">
        <f t="shared" ref="I14:I24" si="1">G14-H14</f>
        <v>0</v>
      </c>
      <c r="J14" s="7">
        <v>0</v>
      </c>
      <c r="K14" s="7">
        <v>0</v>
      </c>
      <c r="L14" s="7">
        <v>0</v>
      </c>
      <c r="M14" s="7">
        <v>0</v>
      </c>
    </row>
    <row r="15" spans="1:13" x14ac:dyDescent="0.25">
      <c r="A15" s="5" t="s">
        <v>517</v>
      </c>
      <c r="B15" s="43">
        <v>0</v>
      </c>
      <c r="C15" s="43">
        <v>0</v>
      </c>
      <c r="D15" s="43">
        <v>0</v>
      </c>
      <c r="E15" s="42">
        <f t="shared" si="0"/>
        <v>0</v>
      </c>
      <c r="F15" s="43">
        <v>0</v>
      </c>
      <c r="G15" s="43">
        <v>0</v>
      </c>
      <c r="H15" s="44">
        <v>0</v>
      </c>
      <c r="I15" s="45">
        <f t="shared" si="1"/>
        <v>0</v>
      </c>
      <c r="J15" s="7">
        <v>0</v>
      </c>
      <c r="K15" s="7">
        <v>0</v>
      </c>
      <c r="L15" s="7">
        <v>0</v>
      </c>
      <c r="M15" s="7">
        <v>0</v>
      </c>
    </row>
    <row r="16" spans="1:13" x14ac:dyDescent="0.25">
      <c r="A16" s="5" t="s">
        <v>504</v>
      </c>
      <c r="B16" s="43">
        <v>0</v>
      </c>
      <c r="C16" s="43">
        <v>0</v>
      </c>
      <c r="D16" s="43">
        <v>0</v>
      </c>
      <c r="E16" s="42">
        <f t="shared" si="0"/>
        <v>0</v>
      </c>
      <c r="F16" s="43">
        <v>0</v>
      </c>
      <c r="G16" s="43">
        <v>0</v>
      </c>
      <c r="H16" s="44">
        <v>0</v>
      </c>
      <c r="I16" s="45">
        <f t="shared" si="1"/>
        <v>0</v>
      </c>
      <c r="J16" s="7">
        <v>0</v>
      </c>
      <c r="K16" s="7">
        <v>0</v>
      </c>
      <c r="L16" s="7">
        <v>0</v>
      </c>
      <c r="M16" s="7">
        <v>0</v>
      </c>
    </row>
    <row r="17" spans="1:13" x14ac:dyDescent="0.25">
      <c r="A17" s="5" t="s">
        <v>505</v>
      </c>
      <c r="B17" s="43">
        <v>0</v>
      </c>
      <c r="C17" s="43">
        <v>0</v>
      </c>
      <c r="D17" s="43">
        <v>0</v>
      </c>
      <c r="E17" s="42">
        <f t="shared" si="0"/>
        <v>0</v>
      </c>
      <c r="F17" s="43">
        <v>0</v>
      </c>
      <c r="G17" s="43">
        <v>0</v>
      </c>
      <c r="H17" s="44">
        <v>0</v>
      </c>
      <c r="I17" s="45">
        <f t="shared" si="1"/>
        <v>0</v>
      </c>
      <c r="J17" s="7">
        <v>0</v>
      </c>
      <c r="K17" s="7">
        <v>0</v>
      </c>
      <c r="L17" s="7">
        <v>0</v>
      </c>
      <c r="M17" s="7">
        <v>0</v>
      </c>
    </row>
    <row r="18" spans="1:13" x14ac:dyDescent="0.25">
      <c r="A18" s="5" t="s">
        <v>506</v>
      </c>
      <c r="B18" s="43">
        <v>0</v>
      </c>
      <c r="C18" s="43">
        <v>0</v>
      </c>
      <c r="D18" s="43">
        <v>0</v>
      </c>
      <c r="E18" s="42">
        <f t="shared" si="0"/>
        <v>0</v>
      </c>
      <c r="F18" s="43">
        <v>0</v>
      </c>
      <c r="G18" s="43">
        <v>0</v>
      </c>
      <c r="H18" s="44">
        <v>0</v>
      </c>
      <c r="I18" s="45">
        <f t="shared" si="1"/>
        <v>0</v>
      </c>
      <c r="J18" s="7">
        <v>0</v>
      </c>
      <c r="K18" s="7">
        <v>0</v>
      </c>
      <c r="L18" s="7">
        <v>0</v>
      </c>
      <c r="M18" s="7">
        <v>0</v>
      </c>
    </row>
    <row r="19" spans="1:13" x14ac:dyDescent="0.25">
      <c r="A19" s="5" t="s">
        <v>546</v>
      </c>
      <c r="B19" s="43">
        <v>0</v>
      </c>
      <c r="C19" s="43">
        <v>0</v>
      </c>
      <c r="D19" s="43">
        <v>0</v>
      </c>
      <c r="E19" s="42">
        <f t="shared" si="0"/>
        <v>0</v>
      </c>
      <c r="F19" s="44">
        <v>0</v>
      </c>
      <c r="G19" s="44">
        <v>0</v>
      </c>
      <c r="H19" s="44">
        <v>0</v>
      </c>
      <c r="I19" s="45">
        <f t="shared" si="1"/>
        <v>0</v>
      </c>
      <c r="J19" s="7">
        <v>0</v>
      </c>
      <c r="K19" s="7">
        <v>0</v>
      </c>
      <c r="L19" s="7">
        <v>0</v>
      </c>
      <c r="M19" s="7">
        <v>0</v>
      </c>
    </row>
    <row r="20" spans="1:13" x14ac:dyDescent="0.25">
      <c r="A20" s="5" t="s">
        <v>548</v>
      </c>
      <c r="B20" s="43">
        <v>0</v>
      </c>
      <c r="C20" s="43">
        <v>0</v>
      </c>
      <c r="D20" s="43">
        <v>0</v>
      </c>
      <c r="E20" s="42">
        <f t="shared" si="0"/>
        <v>0</v>
      </c>
      <c r="F20" s="44">
        <v>0</v>
      </c>
      <c r="G20" s="44">
        <v>0</v>
      </c>
      <c r="H20" s="44">
        <v>0</v>
      </c>
      <c r="I20" s="45">
        <f t="shared" si="1"/>
        <v>0</v>
      </c>
      <c r="J20" s="7">
        <v>0</v>
      </c>
      <c r="K20" s="7">
        <v>0</v>
      </c>
      <c r="L20" s="7">
        <v>0</v>
      </c>
      <c r="M20" s="7">
        <v>0</v>
      </c>
    </row>
    <row r="21" spans="1:13" x14ac:dyDescent="0.25">
      <c r="A21" s="5" t="s">
        <v>550</v>
      </c>
      <c r="B21" s="43">
        <v>0</v>
      </c>
      <c r="C21" s="43">
        <v>0</v>
      </c>
      <c r="D21" s="43">
        <v>0</v>
      </c>
      <c r="E21" s="42">
        <f t="shared" si="0"/>
        <v>0</v>
      </c>
      <c r="F21" s="44">
        <v>0</v>
      </c>
      <c r="G21" s="44">
        <v>0</v>
      </c>
      <c r="H21" s="44">
        <v>0</v>
      </c>
      <c r="I21" s="45">
        <f t="shared" si="1"/>
        <v>0</v>
      </c>
      <c r="J21" s="7">
        <v>0</v>
      </c>
      <c r="K21" s="7">
        <v>0</v>
      </c>
      <c r="L21" s="7">
        <v>0</v>
      </c>
      <c r="M21" s="7">
        <v>0</v>
      </c>
    </row>
    <row r="22" spans="1:13" x14ac:dyDescent="0.25">
      <c r="A22" s="5" t="s">
        <v>552</v>
      </c>
      <c r="B22" s="43">
        <v>0</v>
      </c>
      <c r="C22" s="43">
        <v>0</v>
      </c>
      <c r="D22" s="43">
        <v>0</v>
      </c>
      <c r="E22" s="42">
        <f t="shared" si="0"/>
        <v>0</v>
      </c>
      <c r="F22" s="44">
        <v>0</v>
      </c>
      <c r="G22" s="44">
        <v>0</v>
      </c>
      <c r="H22" s="44">
        <v>0</v>
      </c>
      <c r="I22" s="45">
        <f t="shared" si="1"/>
        <v>0</v>
      </c>
      <c r="J22" s="7">
        <v>0</v>
      </c>
      <c r="K22" s="7">
        <v>0</v>
      </c>
      <c r="L22" s="7">
        <v>0</v>
      </c>
      <c r="M22" s="7">
        <v>0</v>
      </c>
    </row>
    <row r="23" spans="1:13" x14ac:dyDescent="0.25">
      <c r="A23" s="5" t="s">
        <v>537</v>
      </c>
      <c r="B23" s="43">
        <v>0</v>
      </c>
      <c r="C23" s="43">
        <v>0</v>
      </c>
      <c r="D23" s="43">
        <v>0</v>
      </c>
      <c r="E23" s="42">
        <f t="shared" si="0"/>
        <v>0</v>
      </c>
      <c r="F23" s="44">
        <v>0</v>
      </c>
      <c r="G23" s="44">
        <v>0</v>
      </c>
      <c r="H23" s="44">
        <v>0</v>
      </c>
      <c r="I23" s="45">
        <f t="shared" si="1"/>
        <v>0</v>
      </c>
      <c r="J23" s="7">
        <v>0</v>
      </c>
      <c r="K23" s="7">
        <v>0</v>
      </c>
      <c r="L23" s="7">
        <v>0</v>
      </c>
      <c r="M23" s="7">
        <v>0</v>
      </c>
    </row>
    <row r="24" spans="1:13" x14ac:dyDescent="0.25">
      <c r="A24" s="5" t="s">
        <v>539</v>
      </c>
      <c r="B24" s="43">
        <v>0</v>
      </c>
      <c r="C24" s="43">
        <v>0</v>
      </c>
      <c r="D24" s="43">
        <v>0</v>
      </c>
      <c r="E24" s="42">
        <f t="shared" si="0"/>
        <v>0</v>
      </c>
      <c r="F24" s="44">
        <v>0</v>
      </c>
      <c r="G24" s="44">
        <v>0</v>
      </c>
      <c r="H24" s="44">
        <v>0</v>
      </c>
      <c r="I24" s="45">
        <f t="shared" si="1"/>
        <v>0</v>
      </c>
      <c r="J24" s="7">
        <v>0</v>
      </c>
      <c r="K24" s="7">
        <v>0</v>
      </c>
      <c r="L24" s="7">
        <v>0</v>
      </c>
      <c r="M24" s="7">
        <v>0</v>
      </c>
    </row>
    <row r="25" spans="1:13" x14ac:dyDescent="0.25">
      <c r="A25" s="56" t="s">
        <v>507</v>
      </c>
      <c r="B25" s="42">
        <f>SUM(B13:B24)</f>
        <v>0</v>
      </c>
      <c r="C25" s="42">
        <f t="shared" ref="C25:D25" si="2">SUM(C13:C24)</f>
        <v>0</v>
      </c>
      <c r="D25" s="42">
        <f t="shared" si="2"/>
        <v>0</v>
      </c>
      <c r="E25" s="42">
        <f t="shared" ref="E25:M25" si="3">SUM(E13:E24)</f>
        <v>0</v>
      </c>
      <c r="F25" s="42">
        <f t="shared" si="3"/>
        <v>0</v>
      </c>
      <c r="G25" s="42">
        <f t="shared" si="3"/>
        <v>0</v>
      </c>
      <c r="H25" s="42">
        <f t="shared" si="3"/>
        <v>0</v>
      </c>
      <c r="I25" s="42">
        <f t="shared" si="3"/>
        <v>0</v>
      </c>
      <c r="J25" s="8">
        <f t="shared" si="3"/>
        <v>0</v>
      </c>
      <c r="K25" s="8">
        <f t="shared" si="3"/>
        <v>0</v>
      </c>
      <c r="L25" s="8">
        <f t="shared" si="3"/>
        <v>0</v>
      </c>
      <c r="M25" s="8">
        <f t="shared" si="3"/>
        <v>0</v>
      </c>
    </row>
    <row r="26" spans="1:13" x14ac:dyDescent="0.25">
      <c r="A26" s="56" t="s">
        <v>496</v>
      </c>
      <c r="B26" s="42">
        <f t="shared" ref="B26:K26" si="4">AVERAGE(B13:B24)</f>
        <v>0</v>
      </c>
      <c r="C26" s="42">
        <f t="shared" si="4"/>
        <v>0</v>
      </c>
      <c r="D26" s="42">
        <f t="shared" si="4"/>
        <v>0</v>
      </c>
      <c r="E26" s="42">
        <f t="shared" si="4"/>
        <v>0</v>
      </c>
      <c r="F26" s="42">
        <f t="shared" si="4"/>
        <v>0</v>
      </c>
      <c r="G26" s="42">
        <f t="shared" si="4"/>
        <v>0</v>
      </c>
      <c r="H26" s="42">
        <f t="shared" si="4"/>
        <v>0</v>
      </c>
      <c r="I26" s="42">
        <f t="shared" si="4"/>
        <v>0</v>
      </c>
      <c r="J26" s="8">
        <f t="shared" si="4"/>
        <v>0</v>
      </c>
      <c r="K26" s="8">
        <f t="shared" si="4"/>
        <v>0</v>
      </c>
      <c r="L26" s="52" t="e">
        <f>K25/L25</f>
        <v>#DIV/0!</v>
      </c>
      <c r="M26" s="52" t="e">
        <f>J25/M25</f>
        <v>#DIV/0!</v>
      </c>
    </row>
    <row r="27" spans="1:13" ht="25.5" x14ac:dyDescent="0.25">
      <c r="A27" s="56" t="s">
        <v>508</v>
      </c>
      <c r="B27" s="42">
        <f>B26+F26</f>
        <v>0</v>
      </c>
      <c r="C27" s="42">
        <f>C26+F26</f>
        <v>0</v>
      </c>
      <c r="D27" s="42">
        <f>D26+F26</f>
        <v>0</v>
      </c>
      <c r="E27" s="42">
        <f>E26+F26</f>
        <v>0</v>
      </c>
      <c r="F27" s="575"/>
      <c r="G27" s="575"/>
      <c r="H27" s="575"/>
      <c r="I27" s="575"/>
      <c r="J27" s="575"/>
      <c r="K27" s="575"/>
      <c r="L27" s="6" t="s">
        <v>509</v>
      </c>
      <c r="M27" s="6" t="s">
        <v>510</v>
      </c>
    </row>
  </sheetData>
  <mergeCells count="40">
    <mergeCell ref="F27:K27"/>
    <mergeCell ref="H11:H12"/>
    <mergeCell ref="I11:I12"/>
    <mergeCell ref="J11:J12"/>
    <mergeCell ref="K11:K12"/>
    <mergeCell ref="A8:D8"/>
    <mergeCell ref="E8:G8"/>
    <mergeCell ref="H8:J8"/>
    <mergeCell ref="K8:M8"/>
    <mergeCell ref="L11:L12"/>
    <mergeCell ref="M11:M12"/>
    <mergeCell ref="A9:M9"/>
    <mergeCell ref="A10:B10"/>
    <mergeCell ref="C10:D10"/>
    <mergeCell ref="G10:I10"/>
    <mergeCell ref="K10:M10"/>
    <mergeCell ref="A11:A12"/>
    <mergeCell ref="B11:D11"/>
    <mergeCell ref="E11:E12"/>
    <mergeCell ref="F11:F12"/>
    <mergeCell ref="G11:G12"/>
    <mergeCell ref="A6:D6"/>
    <mergeCell ref="E6:G6"/>
    <mergeCell ref="H6:J6"/>
    <mergeCell ref="K6:M6"/>
    <mergeCell ref="A7:D7"/>
    <mergeCell ref="E7:G7"/>
    <mergeCell ref="H7:J7"/>
    <mergeCell ref="K7:M7"/>
    <mergeCell ref="A4:D4"/>
    <mergeCell ref="E4:M4"/>
    <mergeCell ref="A5:D5"/>
    <mergeCell ref="E5:G5"/>
    <mergeCell ref="H5:J5"/>
    <mergeCell ref="K5:M5"/>
    <mergeCell ref="A1:M1"/>
    <mergeCell ref="A2:D2"/>
    <mergeCell ref="E2:M2"/>
    <mergeCell ref="A3:D3"/>
    <mergeCell ref="E3:M3"/>
  </mergeCells>
  <pageMargins left="0.7" right="0.7" top="0.75" bottom="0.75" header="0.3" footer="0.3"/>
  <pageSetup paperSize="9" orientation="portrait" horizontalDpi="4294967295" verticalDpi="4294967295"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Banking!$S$2:$S$13</xm:f>
          </x14:formula1>
          <xm:sqref>A13:A24</xm:sqref>
        </x14:dataValidation>
        <x14:dataValidation type="list" allowBlank="1" showInputMessage="1" showErrorMessage="1" xr:uid="{00000000-0002-0000-0F00-000001000000}">
          <x14:formula1>
            <xm:f>Banking!$T$2:$T$13</xm:f>
          </x14:formula1>
          <xm:sqref>K10:M10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1"/>
  <dimension ref="A1:AI162"/>
  <sheetViews>
    <sheetView zoomScale="80" zoomScaleNormal="80" workbookViewId="0">
      <pane xSplit="1" ySplit="1" topLeftCell="B2" activePane="bottomRight" state="frozen"/>
      <selection pane="topRight" activeCell="B1" sqref="B1"/>
      <selection pane="bottomLeft" activeCell="A4" sqref="A4"/>
      <selection pane="bottomRight"/>
    </sheetView>
  </sheetViews>
  <sheetFormatPr defaultColWidth="0" defaultRowHeight="15" zeroHeight="1" x14ac:dyDescent="0.25"/>
  <cols>
    <col min="1" max="1" width="6.42578125" style="13" bestFit="1" customWidth="1"/>
    <col min="2" max="2" width="31.5703125" style="13" customWidth="1"/>
    <col min="3" max="4" width="13.85546875" style="13" customWidth="1"/>
    <col min="5" max="5" width="13.7109375" style="13" customWidth="1"/>
    <col min="6" max="6" width="16.42578125" style="13" customWidth="1"/>
    <col min="7" max="7" width="6.5703125" style="13" bestFit="1" customWidth="1"/>
    <col min="8" max="8" width="7.5703125" style="13" customWidth="1"/>
    <col min="9" max="9" width="13.7109375" style="13" customWidth="1"/>
    <col min="10" max="10" width="15.85546875" style="13" bestFit="1" customWidth="1"/>
    <col min="11" max="12" width="13.85546875" style="13" customWidth="1"/>
    <col min="13" max="14" width="9.85546875" style="13" bestFit="1" customWidth="1"/>
    <col min="15" max="15" width="21.5703125" style="13" customWidth="1"/>
    <col min="16" max="16" width="13.85546875" style="13" customWidth="1"/>
    <col min="17" max="17" width="7.85546875" style="13" bestFit="1" customWidth="1"/>
    <col min="18" max="18" width="7.42578125" style="13" bestFit="1" customWidth="1"/>
    <col min="19" max="19" width="8" style="13" bestFit="1" customWidth="1"/>
    <col min="20" max="20" width="7.7109375" style="13" bestFit="1" customWidth="1"/>
    <col min="21" max="21" width="7.140625" style="13" bestFit="1" customWidth="1"/>
    <col min="22" max="22" width="7.85546875" style="13" bestFit="1" customWidth="1"/>
    <col min="23" max="25" width="7.42578125" style="13" bestFit="1" customWidth="1"/>
    <col min="26" max="26" width="11.28515625" style="13" hidden="1" customWidth="1"/>
    <col min="27" max="28" width="27.5703125" style="13" hidden="1" customWidth="1"/>
    <col min="29" max="29" width="17.7109375" style="13" hidden="1" customWidth="1"/>
    <col min="30" max="30" width="13" style="13" hidden="1" customWidth="1"/>
    <col min="31" max="31" width="17.140625" style="13" hidden="1" customWidth="1"/>
    <col min="32" max="16384" width="9.140625" style="13" hidden="1"/>
  </cols>
  <sheetData>
    <row r="1" spans="1:35" ht="41.25" customHeight="1" x14ac:dyDescent="0.25">
      <c r="A1" s="76" t="s">
        <v>529</v>
      </c>
      <c r="B1" s="76" t="s">
        <v>530</v>
      </c>
      <c r="C1" s="76" t="s">
        <v>730</v>
      </c>
      <c r="D1" s="76" t="s">
        <v>580</v>
      </c>
      <c r="E1" s="76" t="s">
        <v>531</v>
      </c>
      <c r="F1" s="76" t="s">
        <v>13</v>
      </c>
      <c r="G1" s="76" t="s">
        <v>533</v>
      </c>
      <c r="H1" s="60" t="s">
        <v>2</v>
      </c>
      <c r="I1" s="76" t="s">
        <v>12</v>
      </c>
      <c r="J1" s="76" t="s">
        <v>855</v>
      </c>
      <c r="K1" s="59" t="s">
        <v>532</v>
      </c>
      <c r="L1" s="59" t="s">
        <v>886</v>
      </c>
      <c r="M1" s="59" t="s">
        <v>534</v>
      </c>
      <c r="N1" s="59" t="s">
        <v>535</v>
      </c>
      <c r="O1" s="76" t="s">
        <v>536</v>
      </c>
      <c r="P1" s="76" t="s">
        <v>731</v>
      </c>
      <c r="Q1" s="317">
        <f t="shared" ref="Q1:W1" si="0">EDATE(R1,-1)</f>
        <v>44013</v>
      </c>
      <c r="R1" s="317">
        <f t="shared" si="0"/>
        <v>44044</v>
      </c>
      <c r="S1" s="317">
        <f t="shared" si="0"/>
        <v>44075</v>
      </c>
      <c r="T1" s="317">
        <f t="shared" si="0"/>
        <v>44105</v>
      </c>
      <c r="U1" s="317">
        <f t="shared" si="0"/>
        <v>44136</v>
      </c>
      <c r="V1" s="317">
        <f t="shared" si="0"/>
        <v>44166</v>
      </c>
      <c r="W1" s="317">
        <f t="shared" si="0"/>
        <v>44197</v>
      </c>
      <c r="X1" s="317">
        <f>EDATE(Y1,-1)</f>
        <v>44228</v>
      </c>
      <c r="Y1" s="317">
        <v>44256</v>
      </c>
    </row>
    <row r="2" spans="1:35" x14ac:dyDescent="0.25">
      <c r="A2" s="67">
        <v>1</v>
      </c>
      <c r="B2" s="262"/>
      <c r="C2" s="262"/>
      <c r="D2" s="262"/>
      <c r="E2" s="262"/>
      <c r="F2" s="49"/>
      <c r="G2" s="262"/>
      <c r="H2" s="75"/>
      <c r="I2" s="49">
        <f t="shared" ref="I2:I51" si="1">IFERROR(-PMT(H2/12,G2,F2),0)</f>
        <v>0</v>
      </c>
      <c r="J2" s="69"/>
      <c r="K2" s="352"/>
      <c r="L2" s="84" t="str">
        <f>IF(K2="","","FY - "&amp;YEAR(K2)+(MONTH(K2)&gt;=4))</f>
        <v/>
      </c>
      <c r="M2" s="268" t="str">
        <f ca="1">IF(K2&lt;&gt;0,DATEDIF(K2,TODAY(),"M"),"")</f>
        <v/>
      </c>
      <c r="N2" s="268" t="str">
        <f ca="1">IFERROR(IF(AND(K2&lt;&gt;"",G2&lt;&gt;""),DATEDIF(TODAY(),EDATE(K2,G2),"M"),""),"")</f>
        <v/>
      </c>
      <c r="O2" s="262"/>
      <c r="P2" s="262"/>
      <c r="Q2" s="264"/>
      <c r="R2" s="264"/>
      <c r="S2" s="264"/>
      <c r="T2" s="264"/>
      <c r="U2" s="264"/>
      <c r="V2" s="264"/>
      <c r="W2" s="264"/>
      <c r="X2" s="262"/>
      <c r="Y2" s="318"/>
      <c r="AB2" s="13" t="s">
        <v>537</v>
      </c>
      <c r="AC2" s="13" t="s">
        <v>538</v>
      </c>
      <c r="AD2" s="13" t="s">
        <v>698</v>
      </c>
      <c r="AG2" s="13" t="s">
        <v>695</v>
      </c>
      <c r="AH2" s="13" t="s">
        <v>851</v>
      </c>
    </row>
    <row r="3" spans="1:35" x14ac:dyDescent="0.25">
      <c r="A3" s="67">
        <v>2</v>
      </c>
      <c r="B3" s="262"/>
      <c r="C3" s="262"/>
      <c r="D3" s="262"/>
      <c r="E3" s="262"/>
      <c r="F3" s="49"/>
      <c r="G3" s="263"/>
      <c r="H3" s="75"/>
      <c r="I3" s="49">
        <f t="shared" si="1"/>
        <v>0</v>
      </c>
      <c r="J3" s="69"/>
      <c r="K3" s="352"/>
      <c r="L3" s="84" t="str">
        <f>IF(K3=0,"","FY - "&amp;YEAR(K3)+(MONTH(K3)&gt;=4))</f>
        <v/>
      </c>
      <c r="M3" s="350" t="str">
        <f t="shared" ref="M3:M51" ca="1" si="2">IF(K3&lt;&gt;0,DATEDIF(K3,TODAY(),"M"),"")</f>
        <v/>
      </c>
      <c r="N3" s="268" t="str">
        <f t="shared" ref="N3:N51" ca="1" si="3">IFERROR(IF(AND(K3&lt;&gt;"",G3&lt;&gt;""),DATEDIF(TODAY(),EDATE(K3,G3),"M"),""),"")</f>
        <v/>
      </c>
      <c r="O3" s="268" t="str">
        <f t="shared" ref="O3:O34" ca="1" si="4">IFERROR(IF(AND(K3&lt;&gt;"",G3&lt;&gt;""),DATEDIF(TODAY(),EDATE(K3,G3),"M"),""),"")</f>
        <v/>
      </c>
      <c r="P3" s="262"/>
      <c r="Q3" s="262"/>
      <c r="R3" s="262"/>
      <c r="S3" s="262"/>
      <c r="T3" s="262"/>
      <c r="U3" s="262"/>
      <c r="V3" s="262"/>
      <c r="W3" s="262"/>
      <c r="X3" s="262"/>
      <c r="Y3" s="262"/>
      <c r="AB3" s="13" t="s">
        <v>539</v>
      </c>
      <c r="AC3" s="13" t="s">
        <v>540</v>
      </c>
      <c r="AD3" s="13" t="s">
        <v>697</v>
      </c>
      <c r="AG3" s="64">
        <f>Banking!J10</f>
        <v>0</v>
      </c>
      <c r="AH3" s="65">
        <f>Banking!H10</f>
        <v>0</v>
      </c>
      <c r="AI3" s="13" t="str">
        <f>AG3&amp;" - "&amp;AH3</f>
        <v>0 - 0</v>
      </c>
    </row>
    <row r="4" spans="1:35" x14ac:dyDescent="0.25">
      <c r="A4" s="67">
        <v>3</v>
      </c>
      <c r="B4" s="262"/>
      <c r="C4" s="262"/>
      <c r="D4" s="262"/>
      <c r="E4" s="262"/>
      <c r="F4" s="49"/>
      <c r="G4" s="263"/>
      <c r="H4" s="75"/>
      <c r="I4" s="49">
        <f t="shared" si="1"/>
        <v>0</v>
      </c>
      <c r="J4" s="69"/>
      <c r="K4" s="352"/>
      <c r="L4" s="84" t="str">
        <f t="shared" ref="L4:L51" si="5">IF(K4=0,"","FY - "&amp;YEAR(K4)+(MONTH(K4)&gt;=4))</f>
        <v/>
      </c>
      <c r="M4" s="350" t="str">
        <f t="shared" ca="1" si="2"/>
        <v/>
      </c>
      <c r="N4" s="268" t="str">
        <f t="shared" ca="1" si="3"/>
        <v/>
      </c>
      <c r="O4" s="268" t="str">
        <f t="shared" ca="1" si="4"/>
        <v/>
      </c>
      <c r="P4" s="262"/>
      <c r="Q4" s="262"/>
      <c r="R4" s="262"/>
      <c r="S4" s="262"/>
      <c r="T4" s="262"/>
      <c r="U4" s="262"/>
      <c r="V4" s="262"/>
      <c r="W4" s="262"/>
      <c r="X4" s="262"/>
      <c r="Y4" s="262"/>
      <c r="AB4" s="13" t="s">
        <v>515</v>
      </c>
      <c r="AC4" s="13" t="s">
        <v>541</v>
      </c>
      <c r="AD4" s="13" t="s">
        <v>708</v>
      </c>
      <c r="AG4" s="64">
        <f>Banking!J26</f>
        <v>0</v>
      </c>
      <c r="AH4" s="65">
        <f>Banking!H26</f>
        <v>0</v>
      </c>
      <c r="AI4" s="13" t="str">
        <f t="shared" ref="AI4:AI22" si="6">AG4&amp;" - "&amp;AH4</f>
        <v>0 - 0</v>
      </c>
    </row>
    <row r="5" spans="1:35" x14ac:dyDescent="0.25">
      <c r="A5" s="67">
        <v>4</v>
      </c>
      <c r="B5" s="262"/>
      <c r="C5" s="262"/>
      <c r="D5" s="262"/>
      <c r="E5" s="262"/>
      <c r="F5" s="49"/>
      <c r="G5" s="263"/>
      <c r="H5" s="75"/>
      <c r="I5" s="49">
        <f t="shared" si="1"/>
        <v>0</v>
      </c>
      <c r="J5" s="69"/>
      <c r="K5" s="352"/>
      <c r="L5" s="84" t="str">
        <f t="shared" si="5"/>
        <v/>
      </c>
      <c r="M5" s="350" t="str">
        <f t="shared" ca="1" si="2"/>
        <v/>
      </c>
      <c r="N5" s="268" t="str">
        <f t="shared" ca="1" si="3"/>
        <v/>
      </c>
      <c r="O5" s="268" t="str">
        <f t="shared" ca="1" si="4"/>
        <v/>
      </c>
      <c r="P5" s="262"/>
      <c r="Q5" s="262"/>
      <c r="R5" s="262"/>
      <c r="S5" s="262"/>
      <c r="T5" s="262"/>
      <c r="U5" s="262"/>
      <c r="V5" s="262"/>
      <c r="W5" s="262"/>
      <c r="X5" s="262"/>
      <c r="Y5" s="262"/>
      <c r="AB5" s="13" t="s">
        <v>516</v>
      </c>
      <c r="AC5" s="13" t="s">
        <v>542</v>
      </c>
      <c r="AD5" s="13" t="s">
        <v>704</v>
      </c>
      <c r="AG5" s="64" t="str">
        <f>Banking!J42</f>
        <v>-</v>
      </c>
      <c r="AH5" s="65" t="str">
        <f>Banking!H42</f>
        <v>-</v>
      </c>
      <c r="AI5" s="13" t="str">
        <f t="shared" si="6"/>
        <v>- - -</v>
      </c>
    </row>
    <row r="6" spans="1:35" x14ac:dyDescent="0.25">
      <c r="A6" s="67">
        <v>5</v>
      </c>
      <c r="B6" s="262"/>
      <c r="C6" s="262"/>
      <c r="D6" s="262"/>
      <c r="E6" s="262"/>
      <c r="F6" s="49"/>
      <c r="G6" s="263"/>
      <c r="H6" s="75"/>
      <c r="I6" s="49">
        <f t="shared" si="1"/>
        <v>0</v>
      </c>
      <c r="J6" s="69"/>
      <c r="K6" s="352"/>
      <c r="L6" s="84" t="str">
        <f t="shared" si="5"/>
        <v/>
      </c>
      <c r="M6" s="350" t="str">
        <f t="shared" ca="1" si="2"/>
        <v/>
      </c>
      <c r="N6" s="268" t="str">
        <f t="shared" ca="1" si="3"/>
        <v/>
      </c>
      <c r="O6" s="268" t="str">
        <f t="shared" ca="1" si="4"/>
        <v/>
      </c>
      <c r="P6" s="262"/>
      <c r="Q6" s="262"/>
      <c r="R6" s="262"/>
      <c r="S6" s="262"/>
      <c r="T6" s="262"/>
      <c r="U6" s="262"/>
      <c r="V6" s="262"/>
      <c r="W6" s="262"/>
      <c r="X6" s="262"/>
      <c r="Y6" s="262"/>
      <c r="AB6" s="13" t="s">
        <v>517</v>
      </c>
      <c r="AC6" s="13" t="s">
        <v>543</v>
      </c>
      <c r="AD6" s="13" t="s">
        <v>705</v>
      </c>
      <c r="AG6" s="64" t="str">
        <f>Banking!J58</f>
        <v>-</v>
      </c>
      <c r="AH6" s="65" t="str">
        <f>Banking!H58</f>
        <v>-</v>
      </c>
      <c r="AI6" s="13" t="str">
        <f t="shared" si="6"/>
        <v>- - -</v>
      </c>
    </row>
    <row r="7" spans="1:35" x14ac:dyDescent="0.25">
      <c r="A7" s="67">
        <v>6</v>
      </c>
      <c r="B7" s="262"/>
      <c r="C7" s="262"/>
      <c r="D7" s="262"/>
      <c r="E7" s="262"/>
      <c r="F7" s="49"/>
      <c r="G7" s="263"/>
      <c r="H7" s="75"/>
      <c r="I7" s="49">
        <f t="shared" si="1"/>
        <v>0</v>
      </c>
      <c r="J7" s="69"/>
      <c r="K7" s="352"/>
      <c r="L7" s="84" t="str">
        <f t="shared" si="5"/>
        <v/>
      </c>
      <c r="M7" s="350" t="str">
        <f t="shared" ca="1" si="2"/>
        <v/>
      </c>
      <c r="N7" s="268" t="str">
        <f t="shared" ca="1" si="3"/>
        <v/>
      </c>
      <c r="O7" s="268" t="str">
        <f t="shared" ca="1" si="4"/>
        <v/>
      </c>
      <c r="P7" s="262"/>
      <c r="Q7" s="262"/>
      <c r="R7" s="262"/>
      <c r="S7" s="262"/>
      <c r="T7" s="262"/>
      <c r="U7" s="262"/>
      <c r="V7" s="262"/>
      <c r="W7" s="262"/>
      <c r="X7" s="262"/>
      <c r="Y7" s="262"/>
      <c r="AB7" s="13" t="s">
        <v>504</v>
      </c>
      <c r="AC7" s="13" t="s">
        <v>493</v>
      </c>
      <c r="AD7" s="13" t="s">
        <v>700</v>
      </c>
      <c r="AG7" s="64" t="str">
        <f>Banking!J74</f>
        <v>-</v>
      </c>
      <c r="AH7" s="65" t="str">
        <f>Banking!H74</f>
        <v>-</v>
      </c>
      <c r="AI7" s="13" t="str">
        <f t="shared" si="6"/>
        <v>- - -</v>
      </c>
    </row>
    <row r="8" spans="1:35" x14ac:dyDescent="0.25">
      <c r="A8" s="67">
        <v>7</v>
      </c>
      <c r="B8" s="262"/>
      <c r="C8" s="262"/>
      <c r="D8" s="262"/>
      <c r="E8" s="262"/>
      <c r="F8" s="49"/>
      <c r="G8" s="263"/>
      <c r="H8" s="75"/>
      <c r="I8" s="49">
        <f t="shared" si="1"/>
        <v>0</v>
      </c>
      <c r="J8" s="69"/>
      <c r="K8" s="352"/>
      <c r="L8" s="84" t="str">
        <f t="shared" si="5"/>
        <v/>
      </c>
      <c r="M8" s="350" t="str">
        <f t="shared" ca="1" si="2"/>
        <v/>
      </c>
      <c r="N8" s="268" t="str">
        <f t="shared" ca="1" si="3"/>
        <v/>
      </c>
      <c r="O8" s="268" t="str">
        <f t="shared" ca="1" si="4"/>
        <v/>
      </c>
      <c r="P8" s="262"/>
      <c r="Q8" s="262"/>
      <c r="R8" s="262"/>
      <c r="S8" s="262"/>
      <c r="T8" s="262"/>
      <c r="U8" s="262"/>
      <c r="V8" s="262"/>
      <c r="W8" s="262"/>
      <c r="X8" s="262"/>
      <c r="Y8" s="262"/>
      <c r="AB8" s="13" t="s">
        <v>505</v>
      </c>
      <c r="AC8" s="13" t="s">
        <v>544</v>
      </c>
      <c r="AD8" s="13" t="s">
        <v>701</v>
      </c>
      <c r="AG8" s="64" t="str">
        <f>Banking!J90</f>
        <v>-</v>
      </c>
      <c r="AH8" s="65" t="str">
        <f>Banking!H90</f>
        <v>-</v>
      </c>
      <c r="AI8" s="13" t="str">
        <f t="shared" si="6"/>
        <v>- - -</v>
      </c>
    </row>
    <row r="9" spans="1:35" x14ac:dyDescent="0.25">
      <c r="A9" s="67">
        <v>8</v>
      </c>
      <c r="B9" s="262"/>
      <c r="C9" s="262"/>
      <c r="D9" s="262"/>
      <c r="E9" s="262"/>
      <c r="F9" s="49"/>
      <c r="G9" s="263"/>
      <c r="H9" s="75"/>
      <c r="I9" s="49">
        <f t="shared" si="1"/>
        <v>0</v>
      </c>
      <c r="J9" s="69"/>
      <c r="K9" s="352"/>
      <c r="L9" s="84" t="str">
        <f t="shared" si="5"/>
        <v/>
      </c>
      <c r="M9" s="350" t="str">
        <f t="shared" ca="1" si="2"/>
        <v/>
      </c>
      <c r="N9" s="268" t="str">
        <f t="shared" ca="1" si="3"/>
        <v/>
      </c>
      <c r="O9" s="268" t="str">
        <f t="shared" ca="1" si="4"/>
        <v/>
      </c>
      <c r="P9" s="262"/>
      <c r="Q9" s="262"/>
      <c r="R9" s="262"/>
      <c r="S9" s="262"/>
      <c r="T9" s="262"/>
      <c r="U9" s="262"/>
      <c r="V9" s="262"/>
      <c r="W9" s="262"/>
      <c r="X9" s="262"/>
      <c r="Y9" s="262"/>
      <c r="AB9" s="13" t="s">
        <v>506</v>
      </c>
      <c r="AC9" s="13" t="s">
        <v>545</v>
      </c>
      <c r="AD9" s="13" t="s">
        <v>699</v>
      </c>
      <c r="AG9" s="64" t="str">
        <f>Banking!J106</f>
        <v>-</v>
      </c>
      <c r="AH9" s="65" t="str">
        <f>Banking!H106</f>
        <v>-</v>
      </c>
      <c r="AI9" s="13" t="str">
        <f t="shared" si="6"/>
        <v>- - -</v>
      </c>
    </row>
    <row r="10" spans="1:35" x14ac:dyDescent="0.25">
      <c r="A10" s="67">
        <v>9</v>
      </c>
      <c r="B10" s="262"/>
      <c r="C10" s="262"/>
      <c r="D10" s="262"/>
      <c r="E10" s="262"/>
      <c r="F10" s="49"/>
      <c r="G10" s="263"/>
      <c r="H10" s="75"/>
      <c r="I10" s="49">
        <f t="shared" si="1"/>
        <v>0</v>
      </c>
      <c r="J10" s="69"/>
      <c r="K10" s="352"/>
      <c r="L10" s="84" t="str">
        <f t="shared" si="5"/>
        <v/>
      </c>
      <c r="M10" s="350" t="str">
        <f t="shared" ca="1" si="2"/>
        <v/>
      </c>
      <c r="N10" s="268" t="str">
        <f t="shared" ca="1" si="3"/>
        <v/>
      </c>
      <c r="O10" s="268" t="str">
        <f t="shared" ca="1" si="4"/>
        <v/>
      </c>
      <c r="P10" s="262"/>
      <c r="Q10" s="262"/>
      <c r="R10" s="262"/>
      <c r="S10" s="262"/>
      <c r="T10" s="262"/>
      <c r="U10" s="262"/>
      <c r="V10" s="262"/>
      <c r="W10" s="262"/>
      <c r="X10" s="262"/>
      <c r="Y10" s="262"/>
      <c r="AB10" s="13" t="s">
        <v>546</v>
      </c>
      <c r="AC10" s="13" t="s">
        <v>547</v>
      </c>
      <c r="AD10" s="13" t="s">
        <v>703</v>
      </c>
      <c r="AG10" s="64" t="str">
        <f>Banking!J122</f>
        <v>-</v>
      </c>
      <c r="AH10" s="65" t="str">
        <f>Banking!H122</f>
        <v>-</v>
      </c>
      <c r="AI10" s="13" t="str">
        <f t="shared" si="6"/>
        <v>- - -</v>
      </c>
    </row>
    <row r="11" spans="1:35" x14ac:dyDescent="0.25">
      <c r="A11" s="67">
        <v>10</v>
      </c>
      <c r="B11" s="262"/>
      <c r="C11" s="262"/>
      <c r="D11" s="262"/>
      <c r="E11" s="262"/>
      <c r="F11" s="49"/>
      <c r="G11" s="263"/>
      <c r="H11" s="75"/>
      <c r="I11" s="49">
        <f t="shared" si="1"/>
        <v>0</v>
      </c>
      <c r="J11" s="69"/>
      <c r="K11" s="352"/>
      <c r="L11" s="84" t="str">
        <f t="shared" si="5"/>
        <v/>
      </c>
      <c r="M11" s="350" t="str">
        <f t="shared" ca="1" si="2"/>
        <v/>
      </c>
      <c r="N11" s="268" t="str">
        <f t="shared" ca="1" si="3"/>
        <v/>
      </c>
      <c r="O11" s="268" t="str">
        <f t="shared" ca="1" si="4"/>
        <v/>
      </c>
      <c r="P11" s="262"/>
      <c r="Q11" s="262"/>
      <c r="R11" s="262"/>
      <c r="S11" s="262"/>
      <c r="T11" s="262"/>
      <c r="U11" s="262"/>
      <c r="V11" s="262"/>
      <c r="W11" s="262"/>
      <c r="X11" s="262"/>
      <c r="Y11" s="262"/>
      <c r="AB11" s="13" t="s">
        <v>548</v>
      </c>
      <c r="AC11" s="13" t="s">
        <v>549</v>
      </c>
      <c r="AD11" s="13" t="s">
        <v>709</v>
      </c>
      <c r="AG11" s="64" t="str">
        <f>Banking!J138</f>
        <v>-</v>
      </c>
      <c r="AH11" s="65" t="str">
        <f>Banking!H138</f>
        <v>-</v>
      </c>
      <c r="AI11" s="13" t="str">
        <f t="shared" si="6"/>
        <v>- - -</v>
      </c>
    </row>
    <row r="12" spans="1:35" x14ac:dyDescent="0.25">
      <c r="A12" s="67">
        <v>11</v>
      </c>
      <c r="B12" s="262"/>
      <c r="C12" s="262"/>
      <c r="D12" s="262"/>
      <c r="E12" s="262"/>
      <c r="F12" s="49"/>
      <c r="G12" s="263"/>
      <c r="H12" s="75"/>
      <c r="I12" s="49">
        <f t="shared" si="1"/>
        <v>0</v>
      </c>
      <c r="J12" s="69"/>
      <c r="K12" s="352"/>
      <c r="L12" s="84" t="str">
        <f t="shared" si="5"/>
        <v/>
      </c>
      <c r="M12" s="350" t="str">
        <f t="shared" ca="1" si="2"/>
        <v/>
      </c>
      <c r="N12" s="268" t="str">
        <f t="shared" ca="1" si="3"/>
        <v/>
      </c>
      <c r="O12" s="268" t="str">
        <f t="shared" ca="1" si="4"/>
        <v/>
      </c>
      <c r="P12" s="262"/>
      <c r="Q12" s="262"/>
      <c r="R12" s="262"/>
      <c r="S12" s="262"/>
      <c r="T12" s="262"/>
      <c r="U12" s="262"/>
      <c r="V12" s="262"/>
      <c r="W12" s="262"/>
      <c r="X12" s="262"/>
      <c r="Y12" s="262"/>
      <c r="AB12" s="13" t="s">
        <v>550</v>
      </c>
      <c r="AC12" s="13" t="s">
        <v>551</v>
      </c>
      <c r="AD12" s="13" t="s">
        <v>707</v>
      </c>
      <c r="AG12" s="64" t="str">
        <f>Banking!J154</f>
        <v>-</v>
      </c>
      <c r="AH12" s="65" t="str">
        <f>Banking!H154</f>
        <v>-</v>
      </c>
      <c r="AI12" s="13" t="str">
        <f t="shared" si="6"/>
        <v>- - -</v>
      </c>
    </row>
    <row r="13" spans="1:35" x14ac:dyDescent="0.25">
      <c r="A13" s="67">
        <v>12</v>
      </c>
      <c r="B13" s="262"/>
      <c r="C13" s="262"/>
      <c r="D13" s="262"/>
      <c r="E13" s="262"/>
      <c r="F13" s="49"/>
      <c r="G13" s="263"/>
      <c r="H13" s="75"/>
      <c r="I13" s="49">
        <f t="shared" si="1"/>
        <v>0</v>
      </c>
      <c r="J13" s="69"/>
      <c r="K13" s="352"/>
      <c r="L13" s="84" t="str">
        <f t="shared" si="5"/>
        <v/>
      </c>
      <c r="M13" s="350" t="str">
        <f t="shared" ca="1" si="2"/>
        <v/>
      </c>
      <c r="N13" s="268" t="str">
        <f t="shared" ca="1" si="3"/>
        <v/>
      </c>
      <c r="O13" s="268" t="str">
        <f t="shared" ca="1" si="4"/>
        <v/>
      </c>
      <c r="P13" s="262"/>
      <c r="Q13" s="262"/>
      <c r="R13" s="262"/>
      <c r="S13" s="262"/>
      <c r="T13" s="262"/>
      <c r="U13" s="262"/>
      <c r="V13" s="262"/>
      <c r="W13" s="262"/>
      <c r="X13" s="262"/>
      <c r="Y13" s="262"/>
      <c r="AB13" s="13" t="s">
        <v>552</v>
      </c>
      <c r="AC13" s="13" t="s">
        <v>553</v>
      </c>
      <c r="AD13" s="13" t="s">
        <v>696</v>
      </c>
      <c r="AG13" s="64" t="str">
        <f>Banking!J170</f>
        <v>-</v>
      </c>
      <c r="AH13" s="65" t="str">
        <f>Banking!H170</f>
        <v>-</v>
      </c>
      <c r="AI13" s="13" t="str">
        <f t="shared" si="6"/>
        <v>- - -</v>
      </c>
    </row>
    <row r="14" spans="1:35" x14ac:dyDescent="0.25">
      <c r="A14" s="67">
        <v>13</v>
      </c>
      <c r="B14" s="262"/>
      <c r="C14" s="262"/>
      <c r="D14" s="262"/>
      <c r="E14" s="262"/>
      <c r="F14" s="49"/>
      <c r="G14" s="263"/>
      <c r="H14" s="75"/>
      <c r="I14" s="49">
        <f t="shared" si="1"/>
        <v>0</v>
      </c>
      <c r="J14" s="69"/>
      <c r="K14" s="352"/>
      <c r="L14" s="84" t="str">
        <f t="shared" si="5"/>
        <v/>
      </c>
      <c r="M14" s="350" t="str">
        <f t="shared" ca="1" si="2"/>
        <v/>
      </c>
      <c r="N14" s="268" t="str">
        <f t="shared" ca="1" si="3"/>
        <v/>
      </c>
      <c r="O14" s="268" t="str">
        <f t="shared" ca="1" si="4"/>
        <v/>
      </c>
      <c r="P14" s="262"/>
      <c r="Q14" s="262"/>
      <c r="R14" s="262"/>
      <c r="S14" s="262"/>
      <c r="T14" s="262"/>
      <c r="U14" s="262"/>
      <c r="V14" s="262"/>
      <c r="W14" s="262"/>
      <c r="X14" s="262"/>
      <c r="Y14" s="262"/>
      <c r="AD14" s="13" t="s">
        <v>706</v>
      </c>
      <c r="AG14" s="64" t="str">
        <f>Banking!J186</f>
        <v>-</v>
      </c>
      <c r="AH14" s="65" t="str">
        <f>Banking!H186</f>
        <v>-</v>
      </c>
      <c r="AI14" s="13" t="str">
        <f t="shared" si="6"/>
        <v>- - -</v>
      </c>
    </row>
    <row r="15" spans="1:35" x14ac:dyDescent="0.25">
      <c r="A15" s="67">
        <v>14</v>
      </c>
      <c r="B15" s="262"/>
      <c r="C15" s="262"/>
      <c r="D15" s="262"/>
      <c r="E15" s="262"/>
      <c r="F15" s="49"/>
      <c r="G15" s="263"/>
      <c r="H15" s="75"/>
      <c r="I15" s="49">
        <f t="shared" si="1"/>
        <v>0</v>
      </c>
      <c r="J15" s="69"/>
      <c r="K15" s="352"/>
      <c r="L15" s="84" t="str">
        <f t="shared" si="5"/>
        <v/>
      </c>
      <c r="M15" s="350" t="str">
        <f t="shared" ca="1" si="2"/>
        <v/>
      </c>
      <c r="N15" s="268" t="str">
        <f t="shared" ca="1" si="3"/>
        <v/>
      </c>
      <c r="O15" s="268" t="str">
        <f t="shared" ca="1" si="4"/>
        <v/>
      </c>
      <c r="P15" s="262"/>
      <c r="Q15" s="262"/>
      <c r="R15" s="262"/>
      <c r="S15" s="262"/>
      <c r="T15" s="262"/>
      <c r="U15" s="262"/>
      <c r="V15" s="262"/>
      <c r="W15" s="262"/>
      <c r="X15" s="262"/>
      <c r="Y15" s="262"/>
      <c r="AD15" s="13" t="s">
        <v>702</v>
      </c>
      <c r="AG15" s="64" t="str">
        <f>Banking!J202</f>
        <v>-</v>
      </c>
      <c r="AH15" s="65" t="str">
        <f>Banking!H202</f>
        <v>-</v>
      </c>
      <c r="AI15" s="13" t="str">
        <f t="shared" si="6"/>
        <v>- - -</v>
      </c>
    </row>
    <row r="16" spans="1:35" x14ac:dyDescent="0.25">
      <c r="A16" s="67">
        <v>15</v>
      </c>
      <c r="B16" s="262"/>
      <c r="C16" s="262"/>
      <c r="D16" s="262"/>
      <c r="E16" s="262"/>
      <c r="F16" s="49"/>
      <c r="G16" s="263"/>
      <c r="H16" s="75"/>
      <c r="I16" s="49">
        <f t="shared" si="1"/>
        <v>0</v>
      </c>
      <c r="J16" s="69"/>
      <c r="K16" s="352"/>
      <c r="L16" s="84" t="str">
        <f t="shared" si="5"/>
        <v/>
      </c>
      <c r="M16" s="350" t="str">
        <f t="shared" ca="1" si="2"/>
        <v/>
      </c>
      <c r="N16" s="268" t="str">
        <f t="shared" ca="1" si="3"/>
        <v/>
      </c>
      <c r="O16" s="268" t="str">
        <f t="shared" ca="1" si="4"/>
        <v/>
      </c>
      <c r="P16" s="262"/>
      <c r="Q16" s="262"/>
      <c r="R16" s="262"/>
      <c r="S16" s="262"/>
      <c r="T16" s="262"/>
      <c r="U16" s="262"/>
      <c r="V16" s="262"/>
      <c r="W16" s="262"/>
      <c r="X16" s="262"/>
      <c r="Y16" s="262"/>
      <c r="AG16" s="64" t="str">
        <f>Banking!J218</f>
        <v>-</v>
      </c>
      <c r="AH16" s="65" t="str">
        <f>Banking!H218</f>
        <v>-</v>
      </c>
      <c r="AI16" s="13" t="str">
        <f t="shared" si="6"/>
        <v>- - -</v>
      </c>
    </row>
    <row r="17" spans="1:35" x14ac:dyDescent="0.25">
      <c r="A17" s="67">
        <v>16</v>
      </c>
      <c r="B17" s="262"/>
      <c r="C17" s="262"/>
      <c r="D17" s="262"/>
      <c r="E17" s="262"/>
      <c r="F17" s="49"/>
      <c r="G17" s="263"/>
      <c r="H17" s="75"/>
      <c r="I17" s="49">
        <f t="shared" si="1"/>
        <v>0</v>
      </c>
      <c r="J17" s="69"/>
      <c r="K17" s="352"/>
      <c r="L17" s="84" t="str">
        <f t="shared" si="5"/>
        <v/>
      </c>
      <c r="M17" s="350" t="str">
        <f t="shared" ca="1" si="2"/>
        <v/>
      </c>
      <c r="N17" s="268" t="str">
        <f t="shared" ca="1" si="3"/>
        <v/>
      </c>
      <c r="O17" s="268" t="str">
        <f t="shared" ca="1" si="4"/>
        <v/>
      </c>
      <c r="P17" s="262"/>
      <c r="Q17" s="262"/>
      <c r="R17" s="262"/>
      <c r="S17" s="262"/>
      <c r="T17" s="262"/>
      <c r="U17" s="262"/>
      <c r="V17" s="262"/>
      <c r="W17" s="262"/>
      <c r="X17" s="262"/>
      <c r="Y17" s="262"/>
      <c r="AG17" s="64" t="str">
        <f>Banking!J234</f>
        <v>-</v>
      </c>
      <c r="AH17" s="65" t="str">
        <f>Banking!H234</f>
        <v>-</v>
      </c>
      <c r="AI17" s="13" t="str">
        <f t="shared" si="6"/>
        <v>- - -</v>
      </c>
    </row>
    <row r="18" spans="1:35" x14ac:dyDescent="0.25">
      <c r="A18" s="67">
        <v>17</v>
      </c>
      <c r="B18" s="262"/>
      <c r="C18" s="262"/>
      <c r="D18" s="262"/>
      <c r="E18" s="262"/>
      <c r="F18" s="49"/>
      <c r="G18" s="263"/>
      <c r="H18" s="75"/>
      <c r="I18" s="49">
        <f t="shared" si="1"/>
        <v>0</v>
      </c>
      <c r="J18" s="69"/>
      <c r="K18" s="352"/>
      <c r="L18" s="84" t="str">
        <f t="shared" si="5"/>
        <v/>
      </c>
      <c r="M18" s="350" t="str">
        <f t="shared" ca="1" si="2"/>
        <v/>
      </c>
      <c r="N18" s="268" t="str">
        <f t="shared" ca="1" si="3"/>
        <v/>
      </c>
      <c r="O18" s="268" t="str">
        <f t="shared" ca="1" si="4"/>
        <v/>
      </c>
      <c r="P18" s="262"/>
      <c r="Q18" s="262"/>
      <c r="R18" s="262"/>
      <c r="S18" s="262"/>
      <c r="T18" s="262"/>
      <c r="U18" s="262"/>
      <c r="V18" s="262"/>
      <c r="W18" s="262"/>
      <c r="X18" s="262"/>
      <c r="Y18" s="262"/>
      <c r="AG18" s="64" t="str">
        <f>Banking!J250</f>
        <v>-</v>
      </c>
      <c r="AH18" s="65" t="str">
        <f>Banking!H250</f>
        <v>-</v>
      </c>
      <c r="AI18" s="13" t="str">
        <f t="shared" si="6"/>
        <v>- - -</v>
      </c>
    </row>
    <row r="19" spans="1:35" x14ac:dyDescent="0.25">
      <c r="A19" s="67">
        <v>18</v>
      </c>
      <c r="B19" s="262"/>
      <c r="C19" s="262"/>
      <c r="D19" s="262"/>
      <c r="E19" s="262"/>
      <c r="F19" s="49"/>
      <c r="G19" s="263"/>
      <c r="H19" s="75"/>
      <c r="I19" s="49">
        <f t="shared" si="1"/>
        <v>0</v>
      </c>
      <c r="J19" s="69"/>
      <c r="K19" s="352"/>
      <c r="L19" s="84" t="str">
        <f t="shared" si="5"/>
        <v/>
      </c>
      <c r="M19" s="350" t="str">
        <f t="shared" ca="1" si="2"/>
        <v/>
      </c>
      <c r="N19" s="268" t="str">
        <f t="shared" ca="1" si="3"/>
        <v/>
      </c>
      <c r="O19" s="268" t="str">
        <f t="shared" ca="1" si="4"/>
        <v/>
      </c>
      <c r="P19" s="262"/>
      <c r="Q19" s="262"/>
      <c r="R19" s="262"/>
      <c r="S19" s="262"/>
      <c r="T19" s="262"/>
      <c r="U19" s="262"/>
      <c r="V19" s="262"/>
      <c r="W19" s="262"/>
      <c r="X19" s="262"/>
      <c r="Y19" s="262"/>
      <c r="AG19" s="64" t="str">
        <f>Banking!J266</f>
        <v>-</v>
      </c>
      <c r="AH19" s="65" t="str">
        <f>Banking!H266</f>
        <v>-</v>
      </c>
      <c r="AI19" s="13" t="str">
        <f t="shared" si="6"/>
        <v>- - -</v>
      </c>
    </row>
    <row r="20" spans="1:35" x14ac:dyDescent="0.25">
      <c r="A20" s="67">
        <v>19</v>
      </c>
      <c r="B20" s="262"/>
      <c r="C20" s="262"/>
      <c r="D20" s="262"/>
      <c r="E20" s="262"/>
      <c r="F20" s="49"/>
      <c r="G20" s="263"/>
      <c r="H20" s="75"/>
      <c r="I20" s="49">
        <f t="shared" si="1"/>
        <v>0</v>
      </c>
      <c r="J20" s="69"/>
      <c r="K20" s="352"/>
      <c r="L20" s="84" t="str">
        <f t="shared" si="5"/>
        <v/>
      </c>
      <c r="M20" s="350" t="str">
        <f t="shared" ca="1" si="2"/>
        <v/>
      </c>
      <c r="N20" s="268" t="str">
        <f t="shared" ca="1" si="3"/>
        <v/>
      </c>
      <c r="O20" s="268" t="str">
        <f t="shared" ca="1" si="4"/>
        <v/>
      </c>
      <c r="P20" s="262"/>
      <c r="Q20" s="262"/>
      <c r="R20" s="262"/>
      <c r="S20" s="262"/>
      <c r="T20" s="262"/>
      <c r="U20" s="262"/>
      <c r="V20" s="262"/>
      <c r="W20" s="262"/>
      <c r="X20" s="262"/>
      <c r="Y20" s="262"/>
      <c r="AG20" s="64" t="str">
        <f>Banking!J282</f>
        <v>-</v>
      </c>
      <c r="AH20" s="65" t="str">
        <f>Banking!H282</f>
        <v>-</v>
      </c>
      <c r="AI20" s="13" t="str">
        <f t="shared" si="6"/>
        <v>- - -</v>
      </c>
    </row>
    <row r="21" spans="1:35" x14ac:dyDescent="0.25">
      <c r="A21" s="67">
        <v>20</v>
      </c>
      <c r="B21" s="262"/>
      <c r="C21" s="262"/>
      <c r="D21" s="262"/>
      <c r="E21" s="262"/>
      <c r="F21" s="49"/>
      <c r="G21" s="263"/>
      <c r="H21" s="75"/>
      <c r="I21" s="49">
        <f t="shared" si="1"/>
        <v>0</v>
      </c>
      <c r="J21" s="69"/>
      <c r="K21" s="352"/>
      <c r="L21" s="84" t="str">
        <f t="shared" si="5"/>
        <v/>
      </c>
      <c r="M21" s="350" t="str">
        <f t="shared" ca="1" si="2"/>
        <v/>
      </c>
      <c r="N21" s="268" t="str">
        <f t="shared" ca="1" si="3"/>
        <v/>
      </c>
      <c r="O21" s="268" t="str">
        <f t="shared" ca="1" si="4"/>
        <v/>
      </c>
      <c r="P21" s="262"/>
      <c r="Q21" s="262"/>
      <c r="R21" s="262"/>
      <c r="S21" s="262"/>
      <c r="T21" s="262"/>
      <c r="U21" s="262"/>
      <c r="V21" s="262"/>
      <c r="W21" s="262"/>
      <c r="X21" s="262"/>
      <c r="Y21" s="262"/>
      <c r="AG21" s="64" t="str">
        <f>Banking!J295</f>
        <v>-</v>
      </c>
      <c r="AH21" s="65" t="str">
        <f>Banking!H295</f>
        <v>-</v>
      </c>
      <c r="AI21" s="13" t="str">
        <f t="shared" si="6"/>
        <v>- - -</v>
      </c>
    </row>
    <row r="22" spans="1:35" x14ac:dyDescent="0.25">
      <c r="A22" s="67">
        <v>21</v>
      </c>
      <c r="B22" s="262"/>
      <c r="C22" s="262"/>
      <c r="D22" s="262"/>
      <c r="E22" s="262"/>
      <c r="F22" s="49"/>
      <c r="G22" s="263"/>
      <c r="H22" s="75"/>
      <c r="I22" s="49">
        <f t="shared" si="1"/>
        <v>0</v>
      </c>
      <c r="J22" s="69"/>
      <c r="K22" s="352"/>
      <c r="L22" s="84" t="str">
        <f t="shared" si="5"/>
        <v/>
      </c>
      <c r="M22" s="350" t="str">
        <f t="shared" ca="1" si="2"/>
        <v/>
      </c>
      <c r="N22" s="268" t="str">
        <f t="shared" ca="1" si="3"/>
        <v/>
      </c>
      <c r="O22" s="268" t="str">
        <f t="shared" ca="1" si="4"/>
        <v/>
      </c>
      <c r="P22" s="262"/>
      <c r="Q22" s="262"/>
      <c r="R22" s="262"/>
      <c r="S22" s="262"/>
      <c r="T22" s="262"/>
      <c r="U22" s="262"/>
      <c r="V22" s="262"/>
      <c r="W22" s="262"/>
      <c r="X22" s="262"/>
      <c r="Y22" s="262"/>
      <c r="AG22" s="64" t="str">
        <f>Banking!J308</f>
        <v>-</v>
      </c>
      <c r="AH22" s="65" t="str">
        <f>Banking!H308</f>
        <v>-</v>
      </c>
      <c r="AI22" s="13" t="str">
        <f t="shared" si="6"/>
        <v>- - -</v>
      </c>
    </row>
    <row r="23" spans="1:35" x14ac:dyDescent="0.25">
      <c r="A23" s="67">
        <v>22</v>
      </c>
      <c r="B23" s="262"/>
      <c r="C23" s="262"/>
      <c r="D23" s="262"/>
      <c r="E23" s="262"/>
      <c r="F23" s="49"/>
      <c r="G23" s="263"/>
      <c r="H23" s="75"/>
      <c r="I23" s="49">
        <f t="shared" si="1"/>
        <v>0</v>
      </c>
      <c r="J23" s="69"/>
      <c r="K23" s="352"/>
      <c r="L23" s="84" t="str">
        <f t="shared" si="5"/>
        <v/>
      </c>
      <c r="M23" s="350" t="str">
        <f t="shared" ca="1" si="2"/>
        <v/>
      </c>
      <c r="N23" s="268" t="str">
        <f t="shared" ca="1" si="3"/>
        <v/>
      </c>
      <c r="O23" s="268" t="str">
        <f t="shared" ca="1" si="4"/>
        <v/>
      </c>
      <c r="P23" s="262"/>
      <c r="Q23" s="262"/>
      <c r="R23" s="262"/>
      <c r="S23" s="262"/>
      <c r="T23" s="262"/>
      <c r="U23" s="262"/>
      <c r="V23" s="262"/>
      <c r="W23" s="262"/>
      <c r="X23" s="262"/>
      <c r="Y23" s="262"/>
    </row>
    <row r="24" spans="1:35" x14ac:dyDescent="0.25">
      <c r="A24" s="67">
        <v>23</v>
      </c>
      <c r="B24" s="262"/>
      <c r="C24" s="262"/>
      <c r="D24" s="262"/>
      <c r="E24" s="262"/>
      <c r="F24" s="49"/>
      <c r="G24" s="263"/>
      <c r="H24" s="75"/>
      <c r="I24" s="49">
        <f t="shared" si="1"/>
        <v>0</v>
      </c>
      <c r="J24" s="69"/>
      <c r="K24" s="352"/>
      <c r="L24" s="84" t="str">
        <f t="shared" si="5"/>
        <v/>
      </c>
      <c r="M24" s="350" t="str">
        <f t="shared" ca="1" si="2"/>
        <v/>
      </c>
      <c r="N24" s="268" t="str">
        <f t="shared" ca="1" si="3"/>
        <v/>
      </c>
      <c r="O24" s="268" t="str">
        <f t="shared" ca="1" si="4"/>
        <v/>
      </c>
      <c r="P24" s="262"/>
      <c r="Q24" s="262"/>
      <c r="R24" s="262"/>
      <c r="S24" s="262"/>
      <c r="T24" s="262"/>
      <c r="U24" s="262"/>
      <c r="V24" s="262"/>
      <c r="W24" s="262"/>
      <c r="X24" s="262"/>
      <c r="Y24" s="262"/>
    </row>
    <row r="25" spans="1:35" x14ac:dyDescent="0.25">
      <c r="A25" s="67">
        <v>24</v>
      </c>
      <c r="B25" s="262"/>
      <c r="C25" s="262"/>
      <c r="D25" s="262"/>
      <c r="E25" s="262"/>
      <c r="F25" s="49"/>
      <c r="G25" s="263"/>
      <c r="H25" s="75"/>
      <c r="I25" s="49">
        <f t="shared" si="1"/>
        <v>0</v>
      </c>
      <c r="J25" s="69"/>
      <c r="K25" s="352"/>
      <c r="L25" s="84" t="str">
        <f t="shared" si="5"/>
        <v/>
      </c>
      <c r="M25" s="350" t="str">
        <f t="shared" ca="1" si="2"/>
        <v/>
      </c>
      <c r="N25" s="268" t="str">
        <f t="shared" ca="1" si="3"/>
        <v/>
      </c>
      <c r="O25" s="268" t="str">
        <f t="shared" ca="1" si="4"/>
        <v/>
      </c>
      <c r="P25" s="262"/>
      <c r="Q25" s="262"/>
      <c r="R25" s="262"/>
      <c r="S25" s="262"/>
      <c r="T25" s="262"/>
      <c r="U25" s="262"/>
      <c r="V25" s="262"/>
      <c r="W25" s="262"/>
      <c r="X25" s="262"/>
      <c r="Y25" s="262"/>
    </row>
    <row r="26" spans="1:35" x14ac:dyDescent="0.25">
      <c r="A26" s="67">
        <v>25</v>
      </c>
      <c r="B26" s="262"/>
      <c r="C26" s="262"/>
      <c r="D26" s="262"/>
      <c r="E26" s="262"/>
      <c r="F26" s="49"/>
      <c r="G26" s="263"/>
      <c r="H26" s="75"/>
      <c r="I26" s="49">
        <f t="shared" si="1"/>
        <v>0</v>
      </c>
      <c r="J26" s="69"/>
      <c r="K26" s="352"/>
      <c r="L26" s="84" t="str">
        <f t="shared" si="5"/>
        <v/>
      </c>
      <c r="M26" s="350" t="str">
        <f t="shared" ca="1" si="2"/>
        <v/>
      </c>
      <c r="N26" s="268" t="str">
        <f t="shared" ca="1" si="3"/>
        <v/>
      </c>
      <c r="O26" s="268" t="str">
        <f t="shared" ca="1" si="4"/>
        <v/>
      </c>
      <c r="P26" s="262"/>
      <c r="Q26" s="262"/>
      <c r="R26" s="262"/>
      <c r="S26" s="262"/>
      <c r="T26" s="262"/>
      <c r="U26" s="262"/>
      <c r="V26" s="262"/>
      <c r="W26" s="262"/>
      <c r="X26" s="262"/>
      <c r="Y26" s="262"/>
    </row>
    <row r="27" spans="1:35" x14ac:dyDescent="0.25">
      <c r="A27" s="67">
        <v>26</v>
      </c>
      <c r="B27" s="77"/>
      <c r="C27" s="77"/>
      <c r="D27" s="77"/>
      <c r="E27" s="77"/>
      <c r="F27" s="49"/>
      <c r="G27" s="263"/>
      <c r="H27" s="75"/>
      <c r="I27" s="49">
        <f t="shared" si="1"/>
        <v>0</v>
      </c>
      <c r="J27" s="69"/>
      <c r="K27" s="352"/>
      <c r="L27" s="84" t="str">
        <f t="shared" si="5"/>
        <v/>
      </c>
      <c r="M27" s="350" t="str">
        <f t="shared" ca="1" si="2"/>
        <v/>
      </c>
      <c r="N27" s="268" t="str">
        <f t="shared" ca="1" si="3"/>
        <v/>
      </c>
      <c r="O27" s="268" t="str">
        <f t="shared" ca="1" si="4"/>
        <v/>
      </c>
      <c r="P27" s="77"/>
      <c r="Q27" s="77"/>
      <c r="R27" s="77"/>
      <c r="S27" s="77"/>
      <c r="T27" s="77"/>
      <c r="U27" s="171"/>
      <c r="V27" s="171"/>
      <c r="W27" s="171"/>
      <c r="X27" s="77"/>
      <c r="Y27" s="77"/>
    </row>
    <row r="28" spans="1:35" x14ac:dyDescent="0.25">
      <c r="A28" s="67">
        <v>27</v>
      </c>
      <c r="B28" s="77"/>
      <c r="C28" s="77"/>
      <c r="D28" s="77"/>
      <c r="E28" s="77"/>
      <c r="F28" s="49"/>
      <c r="G28" s="263"/>
      <c r="H28" s="75"/>
      <c r="I28" s="49">
        <f t="shared" si="1"/>
        <v>0</v>
      </c>
      <c r="J28" s="69"/>
      <c r="K28" s="352"/>
      <c r="L28" s="84" t="str">
        <f t="shared" si="5"/>
        <v/>
      </c>
      <c r="M28" s="350" t="str">
        <f t="shared" ca="1" si="2"/>
        <v/>
      </c>
      <c r="N28" s="268" t="str">
        <f t="shared" ca="1" si="3"/>
        <v/>
      </c>
      <c r="O28" s="268" t="str">
        <f t="shared" ca="1" si="4"/>
        <v/>
      </c>
      <c r="P28" s="77"/>
      <c r="Q28" s="77"/>
      <c r="R28" s="77"/>
      <c r="S28" s="77"/>
      <c r="T28" s="77"/>
      <c r="U28" s="171"/>
      <c r="V28" s="171"/>
      <c r="W28" s="171"/>
      <c r="X28" s="77"/>
      <c r="Y28" s="77"/>
    </row>
    <row r="29" spans="1:35" x14ac:dyDescent="0.25">
      <c r="A29" s="67">
        <v>28</v>
      </c>
      <c r="B29" s="77"/>
      <c r="C29" s="77"/>
      <c r="D29" s="77"/>
      <c r="E29" s="77"/>
      <c r="F29" s="49"/>
      <c r="G29" s="263"/>
      <c r="H29" s="75"/>
      <c r="I29" s="49">
        <f t="shared" si="1"/>
        <v>0</v>
      </c>
      <c r="J29" s="69"/>
      <c r="K29" s="352"/>
      <c r="L29" s="84" t="str">
        <f t="shared" si="5"/>
        <v/>
      </c>
      <c r="M29" s="350" t="str">
        <f t="shared" ca="1" si="2"/>
        <v/>
      </c>
      <c r="N29" s="268" t="str">
        <f t="shared" ca="1" si="3"/>
        <v/>
      </c>
      <c r="O29" s="268" t="str">
        <f t="shared" ca="1" si="4"/>
        <v/>
      </c>
      <c r="P29" s="77"/>
      <c r="Q29" s="77"/>
      <c r="R29" s="77"/>
      <c r="S29" s="77"/>
      <c r="T29" s="77"/>
      <c r="U29" s="171"/>
      <c r="V29" s="171"/>
      <c r="W29" s="171"/>
      <c r="X29" s="77"/>
      <c r="Y29" s="77"/>
    </row>
    <row r="30" spans="1:35" x14ac:dyDescent="0.25">
      <c r="A30" s="67">
        <v>29</v>
      </c>
      <c r="B30" s="77"/>
      <c r="C30" s="77"/>
      <c r="D30" s="77"/>
      <c r="E30" s="77"/>
      <c r="F30" s="49"/>
      <c r="G30" s="263"/>
      <c r="H30" s="75"/>
      <c r="I30" s="49">
        <f t="shared" si="1"/>
        <v>0</v>
      </c>
      <c r="J30" s="69"/>
      <c r="K30" s="352"/>
      <c r="L30" s="84" t="str">
        <f t="shared" si="5"/>
        <v/>
      </c>
      <c r="M30" s="350" t="str">
        <f t="shared" ca="1" si="2"/>
        <v/>
      </c>
      <c r="N30" s="268" t="str">
        <f t="shared" ca="1" si="3"/>
        <v/>
      </c>
      <c r="O30" s="268" t="str">
        <f t="shared" ca="1" si="4"/>
        <v/>
      </c>
      <c r="P30" s="77"/>
      <c r="Q30" s="77"/>
      <c r="R30" s="77"/>
      <c r="S30" s="77"/>
      <c r="T30" s="77"/>
      <c r="U30" s="171"/>
      <c r="V30" s="171"/>
      <c r="W30" s="171"/>
      <c r="X30" s="77"/>
      <c r="Y30" s="77"/>
    </row>
    <row r="31" spans="1:35" x14ac:dyDescent="0.25">
      <c r="A31" s="67">
        <v>30</v>
      </c>
      <c r="B31" s="77"/>
      <c r="C31" s="77"/>
      <c r="D31" s="77"/>
      <c r="E31" s="77"/>
      <c r="F31" s="49"/>
      <c r="G31" s="263"/>
      <c r="H31" s="75"/>
      <c r="I31" s="49">
        <f t="shared" si="1"/>
        <v>0</v>
      </c>
      <c r="J31" s="69"/>
      <c r="K31" s="352"/>
      <c r="L31" s="84" t="str">
        <f t="shared" si="5"/>
        <v/>
      </c>
      <c r="M31" s="350" t="str">
        <f t="shared" ca="1" si="2"/>
        <v/>
      </c>
      <c r="N31" s="268" t="str">
        <f t="shared" ca="1" si="3"/>
        <v/>
      </c>
      <c r="O31" s="268" t="str">
        <f t="shared" ca="1" si="4"/>
        <v/>
      </c>
      <c r="P31" s="77"/>
      <c r="Q31" s="77"/>
      <c r="R31" s="77"/>
      <c r="S31" s="77"/>
      <c r="T31" s="77"/>
      <c r="U31" s="171"/>
      <c r="V31" s="171"/>
      <c r="W31" s="171"/>
      <c r="X31" s="77"/>
      <c r="Y31" s="77"/>
    </row>
    <row r="32" spans="1:35" x14ac:dyDescent="0.25">
      <c r="A32" s="67">
        <v>31</v>
      </c>
      <c r="B32" s="77"/>
      <c r="C32" s="77"/>
      <c r="D32" s="77"/>
      <c r="E32" s="77"/>
      <c r="F32" s="49"/>
      <c r="G32" s="263"/>
      <c r="H32" s="75"/>
      <c r="I32" s="49">
        <f t="shared" si="1"/>
        <v>0</v>
      </c>
      <c r="J32" s="69"/>
      <c r="K32" s="352"/>
      <c r="L32" s="84" t="str">
        <f t="shared" si="5"/>
        <v/>
      </c>
      <c r="M32" s="350" t="str">
        <f t="shared" ca="1" si="2"/>
        <v/>
      </c>
      <c r="N32" s="268" t="str">
        <f t="shared" ca="1" si="3"/>
        <v/>
      </c>
      <c r="O32" s="268" t="str">
        <f t="shared" ca="1" si="4"/>
        <v/>
      </c>
      <c r="P32" s="77"/>
      <c r="Q32" s="77"/>
      <c r="R32" s="77"/>
      <c r="S32" s="77"/>
      <c r="T32" s="77"/>
      <c r="U32" s="171"/>
      <c r="V32" s="171"/>
      <c r="W32" s="171"/>
      <c r="X32" s="77"/>
      <c r="Y32" s="77"/>
    </row>
    <row r="33" spans="1:25" x14ac:dyDescent="0.25">
      <c r="A33" s="67">
        <v>32</v>
      </c>
      <c r="B33" s="77"/>
      <c r="C33" s="77"/>
      <c r="D33" s="77"/>
      <c r="E33" s="77"/>
      <c r="F33" s="49"/>
      <c r="G33" s="263"/>
      <c r="H33" s="75"/>
      <c r="I33" s="49">
        <f t="shared" si="1"/>
        <v>0</v>
      </c>
      <c r="J33" s="69"/>
      <c r="K33" s="352"/>
      <c r="L33" s="84" t="str">
        <f t="shared" si="5"/>
        <v/>
      </c>
      <c r="M33" s="350" t="str">
        <f t="shared" ca="1" si="2"/>
        <v/>
      </c>
      <c r="N33" s="268" t="str">
        <f t="shared" ca="1" si="3"/>
        <v/>
      </c>
      <c r="O33" s="268" t="str">
        <f t="shared" ca="1" si="4"/>
        <v/>
      </c>
      <c r="P33" s="77"/>
      <c r="Q33" s="77"/>
      <c r="R33" s="77"/>
      <c r="S33" s="77"/>
      <c r="T33" s="77"/>
      <c r="U33" s="171"/>
      <c r="V33" s="171"/>
      <c r="W33" s="171"/>
      <c r="X33" s="77"/>
      <c r="Y33" s="77"/>
    </row>
    <row r="34" spans="1:25" x14ac:dyDescent="0.25">
      <c r="A34" s="67">
        <v>33</v>
      </c>
      <c r="B34" s="77"/>
      <c r="C34" s="77"/>
      <c r="D34" s="77"/>
      <c r="E34" s="77"/>
      <c r="F34" s="49"/>
      <c r="G34" s="263"/>
      <c r="H34" s="75"/>
      <c r="I34" s="49">
        <f t="shared" si="1"/>
        <v>0</v>
      </c>
      <c r="J34" s="69"/>
      <c r="K34" s="352"/>
      <c r="L34" s="84" t="str">
        <f t="shared" si="5"/>
        <v/>
      </c>
      <c r="M34" s="350" t="str">
        <f t="shared" ca="1" si="2"/>
        <v/>
      </c>
      <c r="N34" s="268" t="str">
        <f t="shared" ca="1" si="3"/>
        <v/>
      </c>
      <c r="O34" s="268" t="str">
        <f t="shared" ca="1" si="4"/>
        <v/>
      </c>
      <c r="P34" s="77"/>
      <c r="Q34" s="77"/>
      <c r="R34" s="77"/>
      <c r="S34" s="77"/>
      <c r="T34" s="77"/>
      <c r="U34" s="171"/>
      <c r="V34" s="171"/>
      <c r="W34" s="171"/>
      <c r="X34" s="77"/>
      <c r="Y34" s="77"/>
    </row>
    <row r="35" spans="1:25" x14ac:dyDescent="0.25">
      <c r="A35" s="67">
        <v>34</v>
      </c>
      <c r="B35" s="77"/>
      <c r="C35" s="77"/>
      <c r="D35" s="77"/>
      <c r="E35" s="77"/>
      <c r="F35" s="49"/>
      <c r="G35" s="263"/>
      <c r="H35" s="75"/>
      <c r="I35" s="49">
        <f t="shared" si="1"/>
        <v>0</v>
      </c>
      <c r="J35" s="69"/>
      <c r="K35" s="352"/>
      <c r="L35" s="84" t="str">
        <f t="shared" si="5"/>
        <v/>
      </c>
      <c r="M35" s="350" t="str">
        <f t="shared" ca="1" si="2"/>
        <v/>
      </c>
      <c r="N35" s="268" t="str">
        <f t="shared" ca="1" si="3"/>
        <v/>
      </c>
      <c r="O35" s="268" t="str">
        <f t="shared" ref="O35:O51" ca="1" si="7">IFERROR(IF(AND(K35&lt;&gt;"",G35&lt;&gt;""),DATEDIF(TODAY(),EDATE(K35,G35),"M"),""),"")</f>
        <v/>
      </c>
      <c r="P35" s="77"/>
      <c r="Q35" s="77"/>
      <c r="R35" s="77"/>
      <c r="S35" s="77"/>
      <c r="T35" s="77"/>
      <c r="U35" s="171"/>
      <c r="V35" s="171"/>
      <c r="W35" s="171"/>
      <c r="X35" s="77"/>
      <c r="Y35" s="77"/>
    </row>
    <row r="36" spans="1:25" x14ac:dyDescent="0.25">
      <c r="A36" s="67">
        <v>35</v>
      </c>
      <c r="B36" s="77"/>
      <c r="C36" s="77"/>
      <c r="D36" s="77"/>
      <c r="E36" s="77"/>
      <c r="F36" s="49"/>
      <c r="G36" s="263"/>
      <c r="H36" s="75"/>
      <c r="I36" s="49">
        <f t="shared" si="1"/>
        <v>0</v>
      </c>
      <c r="J36" s="69"/>
      <c r="K36" s="352"/>
      <c r="L36" s="84" t="str">
        <f t="shared" si="5"/>
        <v/>
      </c>
      <c r="M36" s="350" t="str">
        <f t="shared" ca="1" si="2"/>
        <v/>
      </c>
      <c r="N36" s="268" t="str">
        <f t="shared" ca="1" si="3"/>
        <v/>
      </c>
      <c r="O36" s="268" t="str">
        <f t="shared" ca="1" si="7"/>
        <v/>
      </c>
      <c r="P36" s="77"/>
      <c r="Q36" s="77"/>
      <c r="R36" s="77"/>
      <c r="S36" s="77"/>
      <c r="T36" s="77"/>
      <c r="U36" s="171"/>
      <c r="V36" s="171"/>
      <c r="W36" s="171"/>
      <c r="X36" s="77"/>
      <c r="Y36" s="77"/>
    </row>
    <row r="37" spans="1:25" x14ac:dyDescent="0.25">
      <c r="A37" s="67">
        <v>36</v>
      </c>
      <c r="B37" s="77"/>
      <c r="C37" s="77"/>
      <c r="D37" s="77"/>
      <c r="E37" s="77"/>
      <c r="F37" s="49"/>
      <c r="G37" s="263"/>
      <c r="H37" s="75"/>
      <c r="I37" s="49">
        <f t="shared" si="1"/>
        <v>0</v>
      </c>
      <c r="J37" s="69"/>
      <c r="K37" s="352"/>
      <c r="L37" s="84" t="str">
        <f t="shared" si="5"/>
        <v/>
      </c>
      <c r="M37" s="350" t="str">
        <f t="shared" ca="1" si="2"/>
        <v/>
      </c>
      <c r="N37" s="268" t="str">
        <f t="shared" ca="1" si="3"/>
        <v/>
      </c>
      <c r="O37" s="268" t="str">
        <f t="shared" ca="1" si="7"/>
        <v/>
      </c>
      <c r="P37" s="77"/>
      <c r="Q37" s="77"/>
      <c r="R37" s="77"/>
      <c r="S37" s="77"/>
      <c r="T37" s="77"/>
      <c r="U37" s="171"/>
      <c r="V37" s="171"/>
      <c r="W37" s="171"/>
      <c r="X37" s="77"/>
      <c r="Y37" s="77"/>
    </row>
    <row r="38" spans="1:25" x14ac:dyDescent="0.25">
      <c r="A38" s="67">
        <v>37</v>
      </c>
      <c r="B38" s="77"/>
      <c r="C38" s="77"/>
      <c r="D38" s="77"/>
      <c r="E38" s="77"/>
      <c r="F38" s="49"/>
      <c r="G38" s="263"/>
      <c r="H38" s="75"/>
      <c r="I38" s="49">
        <f t="shared" ref="I38" si="8">IFERROR(-PMT(H38/12,G38,F38),0)</f>
        <v>0</v>
      </c>
      <c r="J38" s="69"/>
      <c r="K38" s="352"/>
      <c r="L38" s="84" t="str">
        <f t="shared" si="5"/>
        <v/>
      </c>
      <c r="M38" s="350" t="str">
        <f t="shared" ca="1" si="2"/>
        <v/>
      </c>
      <c r="N38" s="268" t="str">
        <f t="shared" ca="1" si="3"/>
        <v/>
      </c>
      <c r="O38" s="268" t="str">
        <f t="shared" ca="1" si="7"/>
        <v/>
      </c>
      <c r="P38" s="77"/>
      <c r="Q38" s="77"/>
      <c r="R38" s="77"/>
      <c r="S38" s="77"/>
      <c r="T38" s="77"/>
      <c r="U38" s="171"/>
      <c r="V38" s="171"/>
      <c r="W38" s="171"/>
      <c r="X38" s="77"/>
      <c r="Y38" s="77"/>
    </row>
    <row r="39" spans="1:25" x14ac:dyDescent="0.25">
      <c r="A39" s="67">
        <v>38</v>
      </c>
      <c r="B39" s="77"/>
      <c r="C39" s="77"/>
      <c r="D39" s="77"/>
      <c r="E39" s="77"/>
      <c r="F39" s="49"/>
      <c r="G39" s="263"/>
      <c r="H39" s="75"/>
      <c r="I39" s="49">
        <f t="shared" si="1"/>
        <v>0</v>
      </c>
      <c r="J39" s="69"/>
      <c r="K39" s="352"/>
      <c r="L39" s="84" t="str">
        <f t="shared" si="5"/>
        <v/>
      </c>
      <c r="M39" s="350" t="str">
        <f t="shared" ca="1" si="2"/>
        <v/>
      </c>
      <c r="N39" s="268" t="str">
        <f t="shared" ca="1" si="3"/>
        <v/>
      </c>
      <c r="O39" s="268" t="str">
        <f t="shared" ca="1" si="7"/>
        <v/>
      </c>
      <c r="P39" s="77"/>
      <c r="Q39" s="77"/>
      <c r="R39" s="77"/>
      <c r="S39" s="77"/>
      <c r="T39" s="77"/>
      <c r="U39" s="171"/>
      <c r="V39" s="171"/>
      <c r="W39" s="171"/>
      <c r="X39" s="77"/>
      <c r="Y39" s="77"/>
    </row>
    <row r="40" spans="1:25" x14ac:dyDescent="0.25">
      <c r="A40" s="67">
        <v>39</v>
      </c>
      <c r="B40" s="77"/>
      <c r="C40" s="77"/>
      <c r="D40" s="77"/>
      <c r="E40" s="77"/>
      <c r="F40" s="49"/>
      <c r="G40" s="263"/>
      <c r="H40" s="75"/>
      <c r="I40" s="49">
        <f t="shared" si="1"/>
        <v>0</v>
      </c>
      <c r="J40" s="69"/>
      <c r="K40" s="352"/>
      <c r="L40" s="84" t="str">
        <f t="shared" si="5"/>
        <v/>
      </c>
      <c r="M40" s="350" t="str">
        <f t="shared" ca="1" si="2"/>
        <v/>
      </c>
      <c r="N40" s="268" t="str">
        <f t="shared" ca="1" si="3"/>
        <v/>
      </c>
      <c r="O40" s="268" t="str">
        <f t="shared" ca="1" si="7"/>
        <v/>
      </c>
      <c r="P40" s="77"/>
      <c r="Q40" s="77"/>
      <c r="R40" s="77"/>
      <c r="S40" s="77"/>
      <c r="T40" s="77"/>
      <c r="U40" s="171"/>
      <c r="V40" s="171"/>
      <c r="W40" s="171"/>
      <c r="X40" s="77"/>
      <c r="Y40" s="77"/>
    </row>
    <row r="41" spans="1:25" x14ac:dyDescent="0.25">
      <c r="A41" s="67">
        <v>40</v>
      </c>
      <c r="B41" s="77"/>
      <c r="C41" s="77"/>
      <c r="D41" s="77"/>
      <c r="E41" s="77"/>
      <c r="F41" s="49"/>
      <c r="G41" s="263"/>
      <c r="H41" s="75"/>
      <c r="I41" s="49">
        <f t="shared" si="1"/>
        <v>0</v>
      </c>
      <c r="J41" s="69"/>
      <c r="K41" s="352"/>
      <c r="L41" s="84" t="str">
        <f t="shared" si="5"/>
        <v/>
      </c>
      <c r="M41" s="350" t="str">
        <f t="shared" ca="1" si="2"/>
        <v/>
      </c>
      <c r="N41" s="268" t="str">
        <f t="shared" ca="1" si="3"/>
        <v/>
      </c>
      <c r="O41" s="268" t="str">
        <f t="shared" ca="1" si="7"/>
        <v/>
      </c>
      <c r="P41" s="77"/>
      <c r="Q41" s="77"/>
      <c r="R41" s="77"/>
      <c r="S41" s="77"/>
      <c r="T41" s="77"/>
      <c r="U41" s="171"/>
      <c r="V41" s="171"/>
      <c r="W41" s="171"/>
      <c r="X41" s="77"/>
      <c r="Y41" s="77"/>
    </row>
    <row r="42" spans="1:25" x14ac:dyDescent="0.25">
      <c r="A42" s="67">
        <v>41</v>
      </c>
      <c r="B42" s="77"/>
      <c r="C42" s="77"/>
      <c r="D42" s="77"/>
      <c r="E42" s="77"/>
      <c r="F42" s="49"/>
      <c r="G42" s="263"/>
      <c r="H42" s="75"/>
      <c r="I42" s="49">
        <f t="shared" si="1"/>
        <v>0</v>
      </c>
      <c r="J42" s="69"/>
      <c r="K42" s="352"/>
      <c r="L42" s="84" t="str">
        <f t="shared" si="5"/>
        <v/>
      </c>
      <c r="M42" s="350" t="str">
        <f t="shared" ca="1" si="2"/>
        <v/>
      </c>
      <c r="N42" s="268" t="str">
        <f t="shared" ca="1" si="3"/>
        <v/>
      </c>
      <c r="O42" s="268" t="str">
        <f t="shared" ca="1" si="7"/>
        <v/>
      </c>
      <c r="P42" s="77"/>
      <c r="Q42" s="77"/>
      <c r="R42" s="77"/>
      <c r="S42" s="77"/>
      <c r="T42" s="77"/>
      <c r="U42" s="171"/>
      <c r="V42" s="171"/>
      <c r="W42" s="171"/>
      <c r="X42" s="77"/>
      <c r="Y42" s="77"/>
    </row>
    <row r="43" spans="1:25" x14ac:dyDescent="0.25">
      <c r="A43" s="67">
        <v>42</v>
      </c>
      <c r="B43" s="77"/>
      <c r="C43" s="77"/>
      <c r="D43" s="77"/>
      <c r="E43" s="77"/>
      <c r="F43" s="49"/>
      <c r="G43" s="263"/>
      <c r="H43" s="75"/>
      <c r="I43" s="49">
        <f t="shared" si="1"/>
        <v>0</v>
      </c>
      <c r="J43" s="69"/>
      <c r="K43" s="352"/>
      <c r="L43" s="84" t="str">
        <f t="shared" si="5"/>
        <v/>
      </c>
      <c r="M43" s="350" t="str">
        <f t="shared" ca="1" si="2"/>
        <v/>
      </c>
      <c r="N43" s="268" t="str">
        <f t="shared" ca="1" si="3"/>
        <v/>
      </c>
      <c r="O43" s="268" t="str">
        <f t="shared" ca="1" si="7"/>
        <v/>
      </c>
      <c r="P43" s="77"/>
      <c r="Q43" s="77"/>
      <c r="R43" s="77"/>
      <c r="S43" s="77"/>
      <c r="T43" s="77"/>
      <c r="U43" s="171"/>
      <c r="V43" s="171"/>
      <c r="W43" s="171"/>
      <c r="X43" s="77"/>
      <c r="Y43" s="77"/>
    </row>
    <row r="44" spans="1:25" x14ac:dyDescent="0.25">
      <c r="A44" s="67">
        <v>43</v>
      </c>
      <c r="B44" s="77"/>
      <c r="C44" s="77"/>
      <c r="D44" s="77"/>
      <c r="E44" s="77"/>
      <c r="F44" s="49"/>
      <c r="G44" s="263"/>
      <c r="H44" s="75"/>
      <c r="I44" s="49">
        <f>IFERROR(-PMT(H44/12,G44,F44),0)</f>
        <v>0</v>
      </c>
      <c r="J44" s="69"/>
      <c r="K44" s="352"/>
      <c r="L44" s="84" t="str">
        <f t="shared" si="5"/>
        <v/>
      </c>
      <c r="M44" s="350" t="str">
        <f t="shared" ca="1" si="2"/>
        <v/>
      </c>
      <c r="N44" s="268" t="str">
        <f t="shared" ca="1" si="3"/>
        <v/>
      </c>
      <c r="O44" s="268" t="str">
        <f t="shared" ca="1" si="7"/>
        <v/>
      </c>
      <c r="P44" s="77"/>
      <c r="Q44" s="77"/>
      <c r="R44" s="77"/>
      <c r="S44" s="77"/>
      <c r="T44" s="77"/>
      <c r="U44" s="171"/>
      <c r="V44" s="171"/>
      <c r="W44" s="171"/>
      <c r="X44" s="77"/>
      <c r="Y44" s="77"/>
    </row>
    <row r="45" spans="1:25" x14ac:dyDescent="0.25">
      <c r="A45" s="67">
        <v>44</v>
      </c>
      <c r="B45" s="77"/>
      <c r="C45" s="77"/>
      <c r="D45" s="77"/>
      <c r="E45" s="77"/>
      <c r="F45" s="49"/>
      <c r="G45" s="263"/>
      <c r="H45" s="75"/>
      <c r="I45" s="49">
        <f t="shared" si="1"/>
        <v>0</v>
      </c>
      <c r="J45" s="69"/>
      <c r="K45" s="352"/>
      <c r="L45" s="84" t="str">
        <f t="shared" si="5"/>
        <v/>
      </c>
      <c r="M45" s="350" t="str">
        <f t="shared" ca="1" si="2"/>
        <v/>
      </c>
      <c r="N45" s="268" t="str">
        <f t="shared" ca="1" si="3"/>
        <v/>
      </c>
      <c r="O45" s="268" t="str">
        <f t="shared" ca="1" si="7"/>
        <v/>
      </c>
      <c r="P45" s="77"/>
      <c r="Q45" s="77"/>
      <c r="R45" s="77"/>
      <c r="S45" s="77"/>
      <c r="T45" s="77"/>
      <c r="U45" s="171"/>
      <c r="V45" s="171"/>
      <c r="W45" s="171"/>
      <c r="X45" s="77"/>
      <c r="Y45" s="77"/>
    </row>
    <row r="46" spans="1:25" x14ac:dyDescent="0.25">
      <c r="A46" s="67">
        <v>45</v>
      </c>
      <c r="B46" s="77"/>
      <c r="C46" s="77"/>
      <c r="D46" s="77"/>
      <c r="E46" s="77"/>
      <c r="F46" s="49"/>
      <c r="G46" s="263"/>
      <c r="H46" s="75"/>
      <c r="I46" s="49">
        <f t="shared" si="1"/>
        <v>0</v>
      </c>
      <c r="J46" s="69"/>
      <c r="K46" s="352"/>
      <c r="L46" s="84" t="str">
        <f t="shared" si="5"/>
        <v/>
      </c>
      <c r="M46" s="350" t="str">
        <f t="shared" ca="1" si="2"/>
        <v/>
      </c>
      <c r="N46" s="268" t="str">
        <f t="shared" ca="1" si="3"/>
        <v/>
      </c>
      <c r="O46" s="268" t="str">
        <f t="shared" ca="1" si="7"/>
        <v/>
      </c>
      <c r="P46" s="77"/>
      <c r="Q46" s="77"/>
      <c r="R46" s="77"/>
      <c r="S46" s="77"/>
      <c r="T46" s="77"/>
      <c r="U46" s="171"/>
      <c r="V46" s="171"/>
      <c r="W46" s="171"/>
      <c r="X46" s="77"/>
      <c r="Y46" s="77"/>
    </row>
    <row r="47" spans="1:25" x14ac:dyDescent="0.25">
      <c r="A47" s="67">
        <v>46</v>
      </c>
      <c r="B47" s="77"/>
      <c r="C47" s="77"/>
      <c r="D47" s="77"/>
      <c r="E47" s="77"/>
      <c r="F47" s="49"/>
      <c r="G47" s="263"/>
      <c r="H47" s="75"/>
      <c r="I47" s="49">
        <f t="shared" si="1"/>
        <v>0</v>
      </c>
      <c r="J47" s="69"/>
      <c r="K47" s="352"/>
      <c r="L47" s="84" t="str">
        <f t="shared" si="5"/>
        <v/>
      </c>
      <c r="M47" s="350" t="str">
        <f t="shared" ca="1" si="2"/>
        <v/>
      </c>
      <c r="N47" s="268" t="str">
        <f t="shared" ca="1" si="3"/>
        <v/>
      </c>
      <c r="O47" s="268" t="str">
        <f t="shared" ca="1" si="7"/>
        <v/>
      </c>
      <c r="P47" s="77"/>
      <c r="Q47" s="77"/>
      <c r="R47" s="77"/>
      <c r="S47" s="77"/>
      <c r="T47" s="77"/>
      <c r="U47" s="171"/>
      <c r="V47" s="171"/>
      <c r="W47" s="171"/>
      <c r="X47" s="77"/>
      <c r="Y47" s="77"/>
    </row>
    <row r="48" spans="1:25" x14ac:dyDescent="0.25">
      <c r="A48" s="67">
        <v>47</v>
      </c>
      <c r="B48" s="77"/>
      <c r="C48" s="77"/>
      <c r="D48" s="77"/>
      <c r="E48" s="77"/>
      <c r="F48" s="49"/>
      <c r="G48" s="263"/>
      <c r="H48" s="75"/>
      <c r="I48" s="49">
        <f t="shared" si="1"/>
        <v>0</v>
      </c>
      <c r="J48" s="69"/>
      <c r="K48" s="352"/>
      <c r="L48" s="84" t="str">
        <f t="shared" si="5"/>
        <v/>
      </c>
      <c r="M48" s="350" t="str">
        <f t="shared" ca="1" si="2"/>
        <v/>
      </c>
      <c r="N48" s="268" t="str">
        <f t="shared" ca="1" si="3"/>
        <v/>
      </c>
      <c r="O48" s="268" t="str">
        <f t="shared" ca="1" si="7"/>
        <v/>
      </c>
      <c r="P48" s="77"/>
      <c r="Q48" s="77"/>
      <c r="R48" s="77"/>
      <c r="S48" s="77"/>
      <c r="T48" s="77"/>
      <c r="U48" s="171"/>
      <c r="V48" s="171"/>
      <c r="W48" s="171"/>
      <c r="X48" s="77"/>
      <c r="Y48" s="77"/>
    </row>
    <row r="49" spans="1:25" x14ac:dyDescent="0.25">
      <c r="A49" s="67">
        <v>48</v>
      </c>
      <c r="B49" s="77"/>
      <c r="C49" s="77"/>
      <c r="D49" s="77"/>
      <c r="E49" s="77"/>
      <c r="F49" s="49"/>
      <c r="G49" s="263"/>
      <c r="H49" s="75"/>
      <c r="I49" s="49">
        <f t="shared" si="1"/>
        <v>0</v>
      </c>
      <c r="J49" s="69"/>
      <c r="K49" s="352"/>
      <c r="L49" s="84" t="str">
        <f t="shared" si="5"/>
        <v/>
      </c>
      <c r="M49" s="350" t="str">
        <f t="shared" ca="1" si="2"/>
        <v/>
      </c>
      <c r="N49" s="268" t="str">
        <f t="shared" ca="1" si="3"/>
        <v/>
      </c>
      <c r="O49" s="268" t="str">
        <f t="shared" ca="1" si="7"/>
        <v/>
      </c>
      <c r="P49" s="77"/>
      <c r="Q49" s="77"/>
      <c r="R49" s="77"/>
      <c r="S49" s="77"/>
      <c r="T49" s="77"/>
      <c r="U49" s="171"/>
      <c r="V49" s="171"/>
      <c r="W49" s="171"/>
      <c r="X49" s="77"/>
      <c r="Y49" s="77"/>
    </row>
    <row r="50" spans="1:25" x14ac:dyDescent="0.25">
      <c r="A50" s="67">
        <v>49</v>
      </c>
      <c r="B50" s="77"/>
      <c r="C50" s="77"/>
      <c r="D50" s="77"/>
      <c r="E50" s="77"/>
      <c r="F50" s="49"/>
      <c r="G50" s="263"/>
      <c r="H50" s="75"/>
      <c r="I50" s="49">
        <f t="shared" si="1"/>
        <v>0</v>
      </c>
      <c r="J50" s="69"/>
      <c r="K50" s="352"/>
      <c r="L50" s="84" t="str">
        <f t="shared" si="5"/>
        <v/>
      </c>
      <c r="M50" s="350" t="str">
        <f t="shared" ca="1" si="2"/>
        <v/>
      </c>
      <c r="N50" s="268" t="str">
        <f t="shared" ca="1" si="3"/>
        <v/>
      </c>
      <c r="O50" s="268" t="str">
        <f t="shared" ca="1" si="7"/>
        <v/>
      </c>
      <c r="P50" s="77"/>
      <c r="Q50" s="77"/>
      <c r="R50" s="77"/>
      <c r="S50" s="77"/>
      <c r="T50" s="77"/>
      <c r="U50" s="171"/>
      <c r="V50" s="171"/>
      <c r="W50" s="171"/>
      <c r="X50" s="77"/>
      <c r="Y50" s="77"/>
    </row>
    <row r="51" spans="1:25" x14ac:dyDescent="0.25">
      <c r="A51" s="67">
        <v>50</v>
      </c>
      <c r="B51" s="77"/>
      <c r="C51" s="77"/>
      <c r="D51" s="77"/>
      <c r="E51" s="77"/>
      <c r="F51" s="49"/>
      <c r="G51" s="263"/>
      <c r="H51" s="75"/>
      <c r="I51" s="49">
        <f t="shared" si="1"/>
        <v>0</v>
      </c>
      <c r="J51" s="69"/>
      <c r="K51" s="352"/>
      <c r="L51" s="84" t="str">
        <f t="shared" si="5"/>
        <v/>
      </c>
      <c r="M51" s="350" t="str">
        <f t="shared" ca="1" si="2"/>
        <v/>
      </c>
      <c r="N51" s="268" t="str">
        <f t="shared" ca="1" si="3"/>
        <v/>
      </c>
      <c r="O51" s="268" t="str">
        <f t="shared" ca="1" si="7"/>
        <v/>
      </c>
      <c r="P51" s="77"/>
      <c r="Q51" s="77"/>
      <c r="R51" s="77"/>
      <c r="S51" s="77"/>
      <c r="T51" s="77"/>
      <c r="U51" s="171"/>
      <c r="V51" s="171"/>
      <c r="W51" s="171"/>
      <c r="X51" s="77"/>
      <c r="Y51" s="77"/>
    </row>
    <row r="52" spans="1:25" x14ac:dyDescent="0.25">
      <c r="A52" s="17"/>
      <c r="B52" s="17"/>
      <c r="C52" s="17"/>
      <c r="D52" s="17"/>
      <c r="E52" s="76" t="s">
        <v>248</v>
      </c>
      <c r="F52" s="79">
        <f>SUM(F2:F51)</f>
        <v>0</v>
      </c>
      <c r="G52" s="80"/>
      <c r="H52" s="81"/>
      <c r="I52" s="79">
        <f>SUM(I2:I51)</f>
        <v>0</v>
      </c>
      <c r="J52" s="79">
        <f>SUM(J2:J51)</f>
        <v>0</v>
      </c>
      <c r="K52" s="80"/>
      <c r="L52" s="82"/>
      <c r="M52" s="82"/>
      <c r="N52" s="82"/>
      <c r="O52" s="82"/>
      <c r="P52" s="81"/>
      <c r="Q52" s="83"/>
      <c r="R52" s="83"/>
      <c r="S52" s="83"/>
      <c r="T52" s="83"/>
      <c r="U52" s="83"/>
      <c r="V52" s="83"/>
      <c r="W52" s="83"/>
      <c r="X52" s="83"/>
      <c r="Y52" s="83"/>
    </row>
    <row r="53" spans="1:25" ht="6.75" customHeight="1" x14ac:dyDescent="0.25"/>
    <row r="54" spans="1:25" ht="12" hidden="1" customHeight="1" x14ac:dyDescent="0.25"/>
    <row r="156" x14ac:dyDescent="0.25"/>
    <row r="157" x14ac:dyDescent="0.25"/>
    <row r="158" x14ac:dyDescent="0.25"/>
    <row r="159" x14ac:dyDescent="0.25"/>
    <row r="160" x14ac:dyDescent="0.25"/>
    <row r="161" x14ac:dyDescent="0.25"/>
    <row r="162" x14ac:dyDescent="0.25"/>
  </sheetData>
  <sheetProtection algorithmName="SHA-512" hashValue="o6SGcWSQ8MVQJMB9W9jJ2Aj2f/1XCCTMwJxP6thPq3FQ7ktaV0HnhAHZPuaJi5KTPTEDvzPhf7Mk0W03Yzq2HA==" saltValue="/nuWrx0GIPTEjPZ8bMfT/Q==" spinCount="100000" sheet="1" objects="1" scenarios="1" formatCells="0" formatColumns="0" formatRows="0" insertRows="0"/>
  <protectedRanges>
    <protectedRange algorithmName="SHA-512" hashValue="jnRiNYpsQTHZNeAEj8tz6qY9xaNCE1cGmPx5ob+KcmAi+8jfn/XcWuroGKJtUZaR5+HBo+tzYRjOaW6p/bX4Lw==" saltValue="juDAkr0xgh1VvkwtDZXhag==" spinCount="100000" sqref="A1:Y52" name="Range1"/>
  </protectedRanges>
  <sortState xmlns:xlrd2="http://schemas.microsoft.com/office/spreadsheetml/2017/richdata2" ref="AD4:AD17">
    <sortCondition ref="AD4"/>
  </sortState>
  <dataValidations count="4">
    <dataValidation type="list" allowBlank="1" showInputMessage="1" showErrorMessage="1" sqref="D2:D51" xr:uid="{00000000-0002-0000-1000-000000000000}">
      <formula1>"Sanction Letter,Individual CIBIL,Commercial CIBIL,Bank Statement,Other (mention in remark)"</formula1>
    </dataValidation>
    <dataValidation type="list" allowBlank="1" showInputMessage="1" showErrorMessage="1" sqref="E2:E51" xr:uid="{00000000-0002-0000-1000-000001000000}">
      <formula1>$AD$2:$AD$15</formula1>
    </dataValidation>
    <dataValidation type="list" allowBlank="1" showInputMessage="1" showErrorMessage="1" sqref="P2:P51" xr:uid="{00000000-0002-0000-1000-000002000000}">
      <formula1>$AI$3:$AI$22</formula1>
    </dataValidation>
    <dataValidation type="list" showInputMessage="1" showErrorMessage="1" sqref="Q1:Y1" xr:uid="{00000000-0002-0000-1000-000003000000}">
      <formula1>$AB$2:$AB$13</formula1>
    </dataValidation>
  </dataValidations>
  <pageMargins left="0.7" right="0.7" top="0.75" bottom="0.75" header="0.3" footer="0.3"/>
  <pageSetup paperSize="9"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91933-F189-492E-BA83-098EA0980D39}">
  <sheetPr codeName="Sheet27">
    <tabColor theme="3" tint="-0.499984740745262"/>
  </sheetPr>
  <dimension ref="A1:BD30"/>
  <sheetViews>
    <sheetView topLeftCell="H1" zoomScale="90" zoomScaleNormal="90" workbookViewId="0">
      <selection activeCell="AA1" sqref="AA1"/>
    </sheetView>
  </sheetViews>
  <sheetFormatPr defaultRowHeight="15" customHeight="1" outlineLevelRow="1" x14ac:dyDescent="0.2"/>
  <cols>
    <col min="1" max="1" width="1.7109375" style="269" customWidth="1"/>
    <col min="2" max="2" width="4.5703125" style="270" customWidth="1"/>
    <col min="3" max="3" width="22.5703125" style="270" customWidth="1"/>
    <col min="4" max="4" width="20.7109375" style="270" customWidth="1"/>
    <col min="5" max="5" width="14.140625" style="270" customWidth="1"/>
    <col min="6" max="7" width="11.7109375" style="270" customWidth="1"/>
    <col min="8" max="8" width="11.140625" style="270" customWidth="1"/>
    <col min="9" max="9" width="14.140625" style="270" customWidth="1"/>
    <col min="10" max="11" width="7.7109375" style="270" customWidth="1"/>
    <col min="12" max="12" width="4" style="270" customWidth="1"/>
    <col min="13" max="13" width="9.7109375" style="270" customWidth="1"/>
    <col min="14" max="14" width="12" style="270" customWidth="1"/>
    <col min="15" max="15" width="5.7109375" style="270" customWidth="1"/>
    <col min="16" max="16" width="7.28515625" style="270" customWidth="1"/>
    <col min="17" max="17" width="9.7109375" style="270" customWidth="1"/>
    <col min="18" max="18" width="13.7109375" style="270" customWidth="1"/>
    <col min="19" max="19" width="5.140625" style="270" customWidth="1"/>
    <col min="20" max="20" width="9.7109375" style="270" customWidth="1"/>
    <col min="21" max="21" width="12.5703125" style="270" customWidth="1"/>
    <col min="22" max="22" width="5.140625" style="270" customWidth="1"/>
    <col min="23" max="23" width="9.7109375" style="270" customWidth="1"/>
    <col min="24" max="24" width="12.7109375" style="270" customWidth="1"/>
    <col min="25" max="25" width="5.140625" style="270" customWidth="1"/>
    <col min="26" max="26" width="9.7109375" style="270" customWidth="1"/>
    <col min="27" max="27" width="12.7109375" style="270" customWidth="1"/>
    <col min="28" max="28" width="5.140625" style="270" customWidth="1"/>
    <col min="29" max="29" width="9.7109375" style="270" customWidth="1"/>
    <col min="30" max="30" width="12.7109375" style="270" customWidth="1"/>
    <col min="31" max="31" width="5.140625" style="270" customWidth="1"/>
    <col min="32" max="32" width="9.7109375" style="270" customWidth="1"/>
    <col min="33" max="33" width="12.7109375" style="270" customWidth="1"/>
    <col min="34" max="34" width="5.140625" style="270" customWidth="1"/>
    <col min="35" max="35" width="9.7109375" style="270" customWidth="1"/>
    <col min="36" max="36" width="12.7109375" style="270" customWidth="1"/>
    <col min="37" max="37" width="5.140625" style="270" customWidth="1"/>
    <col min="38" max="38" width="9.7109375" style="270" customWidth="1"/>
    <col min="39" max="39" width="12.7109375" style="270" customWidth="1"/>
    <col min="40" max="40" width="5.140625" style="270" customWidth="1"/>
    <col min="41" max="41" width="9.7109375" style="270" customWidth="1"/>
    <col min="42" max="42" width="12.7109375" style="270" customWidth="1"/>
    <col min="43" max="43" width="5.140625" style="270" customWidth="1"/>
    <col min="44" max="44" width="9.7109375" style="270" customWidth="1"/>
    <col min="45" max="45" width="12.7109375" style="270" customWidth="1"/>
    <col min="46" max="46" width="5.140625" style="270" customWidth="1"/>
    <col min="47" max="47" width="9.7109375" style="270" customWidth="1"/>
    <col min="48" max="48" width="12.7109375" style="270" customWidth="1"/>
    <col min="49" max="49" width="5.140625" style="270" customWidth="1"/>
    <col min="50" max="50" width="9.7109375" style="270" customWidth="1"/>
    <col min="51" max="51" width="12.7109375" style="270" customWidth="1"/>
    <col min="52" max="52" width="5.140625" style="270" customWidth="1"/>
    <col min="53" max="53" width="9.7109375" style="270" customWidth="1"/>
    <col min="54" max="54" width="12.7109375" style="270" customWidth="1"/>
    <col min="55" max="55" width="37.7109375" style="270" customWidth="1"/>
    <col min="56" max="56" width="9.140625" style="270"/>
    <col min="57" max="16384" width="9.140625" style="271"/>
  </cols>
  <sheetData>
    <row r="1" spans="1:56" ht="13.5" thickBot="1" x14ac:dyDescent="0.25">
      <c r="A1" s="269">
        <v>130</v>
      </c>
      <c r="AA1" s="270">
        <f>MATCH("Audited",Financial!$B$3:$F$3,0)+1</f>
        <v>2</v>
      </c>
    </row>
    <row r="2" spans="1:56" ht="18.75" customHeight="1" outlineLevel="1" thickBot="1" x14ac:dyDescent="0.25">
      <c r="B2" s="619" t="s">
        <v>1032</v>
      </c>
      <c r="C2" s="620"/>
      <c r="D2" s="620"/>
      <c r="E2" s="620"/>
      <c r="F2" s="620"/>
      <c r="G2" s="620"/>
      <c r="H2" s="620"/>
      <c r="I2" s="620"/>
      <c r="J2" s="620"/>
      <c r="K2" s="620"/>
      <c r="L2" s="620"/>
      <c r="M2" s="620"/>
      <c r="N2" s="620"/>
      <c r="O2" s="620"/>
      <c r="P2" s="620"/>
      <c r="Q2" s="620"/>
      <c r="R2" s="620"/>
      <c r="S2" s="620"/>
      <c r="T2" s="620"/>
      <c r="U2" s="620"/>
      <c r="V2" s="620"/>
      <c r="W2" s="620"/>
      <c r="X2" s="620"/>
      <c r="Y2" s="620"/>
      <c r="Z2" s="621"/>
      <c r="BC2" s="271"/>
      <c r="BD2" s="271"/>
    </row>
    <row r="3" spans="1:56" s="274" customFormat="1" ht="17.25" customHeight="1" outlineLevel="1" x14ac:dyDescent="0.25">
      <c r="A3" s="272"/>
      <c r="B3" s="622" t="s">
        <v>867</v>
      </c>
      <c r="C3" s="623"/>
      <c r="D3" s="623"/>
      <c r="E3" s="624" t="s">
        <v>1033</v>
      </c>
      <c r="F3" s="624"/>
      <c r="G3" s="624"/>
      <c r="H3" s="624" t="s">
        <v>1034</v>
      </c>
      <c r="I3" s="624"/>
      <c r="J3" s="624"/>
      <c r="K3" s="624" t="s">
        <v>1035</v>
      </c>
      <c r="L3" s="624"/>
      <c r="M3" s="624"/>
      <c r="N3" s="624"/>
      <c r="O3" s="624" t="s">
        <v>1036</v>
      </c>
      <c r="P3" s="624"/>
      <c r="Q3" s="624"/>
      <c r="R3" s="624"/>
      <c r="S3" s="624" t="s">
        <v>1037</v>
      </c>
      <c r="T3" s="624"/>
      <c r="U3" s="624"/>
      <c r="V3" s="624"/>
      <c r="W3" s="624" t="s">
        <v>1038</v>
      </c>
      <c r="X3" s="624"/>
      <c r="Y3" s="624"/>
      <c r="Z3" s="625"/>
      <c r="AA3" s="273"/>
      <c r="AB3" s="273"/>
      <c r="AC3" s="273"/>
      <c r="AD3" s="273"/>
      <c r="AE3" s="273"/>
      <c r="AF3" s="273"/>
      <c r="AG3" s="273"/>
      <c r="AH3" s="273"/>
      <c r="AI3" s="273"/>
      <c r="AJ3" s="273"/>
      <c r="AK3" s="273"/>
      <c r="AL3" s="273"/>
      <c r="AM3" s="273"/>
      <c r="AN3" s="273"/>
      <c r="AO3" s="273"/>
      <c r="AP3" s="273"/>
      <c r="AQ3" s="273"/>
      <c r="AR3" s="273"/>
      <c r="AS3" s="273"/>
      <c r="AT3" s="273"/>
      <c r="AU3" s="273"/>
      <c r="AV3" s="273"/>
      <c r="AW3" s="273"/>
      <c r="AX3" s="273"/>
      <c r="AY3" s="273"/>
      <c r="AZ3" s="273"/>
      <c r="BA3" s="273"/>
      <c r="BB3" s="273"/>
    </row>
    <row r="4" spans="1:56" ht="15" customHeight="1" outlineLevel="1" x14ac:dyDescent="0.2">
      <c r="B4" s="592" t="s">
        <v>1039</v>
      </c>
      <c r="C4" s="593"/>
      <c r="D4" s="593"/>
      <c r="E4" s="609"/>
      <c r="F4" s="609"/>
      <c r="G4" s="609"/>
      <c r="H4" s="609"/>
      <c r="I4" s="609"/>
      <c r="J4" s="609"/>
      <c r="K4" s="609"/>
      <c r="L4" s="609"/>
      <c r="M4" s="609"/>
      <c r="N4" s="609"/>
      <c r="O4" s="609"/>
      <c r="P4" s="609"/>
      <c r="Q4" s="609"/>
      <c r="R4" s="609"/>
      <c r="S4" s="609"/>
      <c r="T4" s="609"/>
      <c r="U4" s="609"/>
      <c r="V4" s="609"/>
      <c r="W4" s="609"/>
      <c r="X4" s="609"/>
      <c r="Y4" s="609"/>
      <c r="Z4" s="610"/>
      <c r="BA4" s="271"/>
      <c r="BB4" s="271"/>
      <c r="BC4" s="271"/>
      <c r="BD4" s="271"/>
    </row>
    <row r="5" spans="1:56" ht="15" customHeight="1" outlineLevel="1" x14ac:dyDescent="0.2">
      <c r="B5" s="592" t="s">
        <v>973</v>
      </c>
      <c r="C5" s="593"/>
      <c r="D5" s="593"/>
      <c r="E5" s="609"/>
      <c r="F5" s="609"/>
      <c r="G5" s="609"/>
      <c r="H5" s="609"/>
      <c r="I5" s="609"/>
      <c r="J5" s="609"/>
      <c r="K5" s="609"/>
      <c r="L5" s="609"/>
      <c r="M5" s="609"/>
      <c r="N5" s="609"/>
      <c r="O5" s="609"/>
      <c r="P5" s="609"/>
      <c r="Q5" s="609"/>
      <c r="R5" s="609"/>
      <c r="S5" s="609"/>
      <c r="T5" s="609"/>
      <c r="U5" s="609"/>
      <c r="V5" s="609"/>
      <c r="W5" s="609"/>
      <c r="X5" s="609"/>
      <c r="Y5" s="609"/>
      <c r="Z5" s="610"/>
      <c r="BA5" s="271"/>
      <c r="BB5" s="271"/>
      <c r="BC5" s="271"/>
      <c r="BD5" s="271"/>
    </row>
    <row r="6" spans="1:56" ht="15" customHeight="1" outlineLevel="1" x14ac:dyDescent="0.2">
      <c r="B6" s="592" t="s">
        <v>1040</v>
      </c>
      <c r="C6" s="593"/>
      <c r="D6" s="593"/>
      <c r="E6" s="617"/>
      <c r="F6" s="617"/>
      <c r="G6" s="617"/>
      <c r="H6" s="617"/>
      <c r="I6" s="617"/>
      <c r="J6" s="617"/>
      <c r="K6" s="617"/>
      <c r="L6" s="617"/>
      <c r="M6" s="617"/>
      <c r="N6" s="617"/>
      <c r="O6" s="617"/>
      <c r="P6" s="617"/>
      <c r="Q6" s="617"/>
      <c r="R6" s="617"/>
      <c r="S6" s="617"/>
      <c r="T6" s="617"/>
      <c r="U6" s="617"/>
      <c r="V6" s="617"/>
      <c r="W6" s="617"/>
      <c r="X6" s="617"/>
      <c r="Y6" s="617"/>
      <c r="Z6" s="618"/>
      <c r="BA6" s="271"/>
      <c r="BB6" s="271"/>
      <c r="BC6" s="271"/>
      <c r="BD6" s="271"/>
    </row>
    <row r="7" spans="1:56" ht="15" customHeight="1" outlineLevel="1" x14ac:dyDescent="0.2">
      <c r="B7" s="592" t="s">
        <v>1041</v>
      </c>
      <c r="C7" s="593"/>
      <c r="D7" s="593"/>
      <c r="E7" s="609"/>
      <c r="F7" s="609"/>
      <c r="G7" s="609"/>
      <c r="H7" s="609"/>
      <c r="I7" s="609"/>
      <c r="J7" s="609"/>
      <c r="K7" s="609"/>
      <c r="L7" s="609"/>
      <c r="M7" s="609"/>
      <c r="N7" s="609"/>
      <c r="O7" s="609"/>
      <c r="P7" s="609"/>
      <c r="Q7" s="609"/>
      <c r="R7" s="609"/>
      <c r="S7" s="609"/>
      <c r="T7" s="609"/>
      <c r="U7" s="609"/>
      <c r="V7" s="609"/>
      <c r="W7" s="609"/>
      <c r="X7" s="609"/>
      <c r="Y7" s="609"/>
      <c r="Z7" s="610"/>
      <c r="BA7" s="271"/>
      <c r="BB7" s="271"/>
      <c r="BC7" s="271"/>
      <c r="BD7" s="271"/>
    </row>
    <row r="8" spans="1:56" s="277" customFormat="1" ht="21" customHeight="1" outlineLevel="1" x14ac:dyDescent="0.25">
      <c r="A8" s="275"/>
      <c r="B8" s="592" t="s">
        <v>463</v>
      </c>
      <c r="C8" s="593"/>
      <c r="D8" s="593"/>
      <c r="E8" s="615"/>
      <c r="F8" s="615"/>
      <c r="G8" s="615"/>
      <c r="H8" s="615"/>
      <c r="I8" s="615"/>
      <c r="J8" s="615"/>
      <c r="K8" s="615"/>
      <c r="L8" s="615"/>
      <c r="M8" s="615"/>
      <c r="N8" s="615"/>
      <c r="O8" s="615"/>
      <c r="P8" s="615"/>
      <c r="Q8" s="615"/>
      <c r="R8" s="615"/>
      <c r="S8" s="615"/>
      <c r="T8" s="615"/>
      <c r="U8" s="615"/>
      <c r="V8" s="615"/>
      <c r="W8" s="615"/>
      <c r="X8" s="615"/>
      <c r="Y8" s="615"/>
      <c r="Z8" s="61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row>
    <row r="9" spans="1:56" ht="15" customHeight="1" outlineLevel="1" x14ac:dyDescent="0.2">
      <c r="B9" s="592" t="s">
        <v>1042</v>
      </c>
      <c r="C9" s="593"/>
      <c r="D9" s="593"/>
      <c r="E9" s="609"/>
      <c r="F9" s="609"/>
      <c r="G9" s="609"/>
      <c r="H9" s="609"/>
      <c r="I9" s="609"/>
      <c r="J9" s="609"/>
      <c r="K9" s="609"/>
      <c r="L9" s="609"/>
      <c r="M9" s="609"/>
      <c r="N9" s="609"/>
      <c r="O9" s="609"/>
      <c r="P9" s="609"/>
      <c r="Q9" s="609"/>
      <c r="R9" s="609"/>
      <c r="S9" s="609"/>
      <c r="T9" s="609"/>
      <c r="U9" s="609"/>
      <c r="V9" s="609"/>
      <c r="W9" s="609"/>
      <c r="X9" s="609"/>
      <c r="Y9" s="609"/>
      <c r="Z9" s="610"/>
      <c r="BA9" s="271"/>
      <c r="BB9" s="271"/>
      <c r="BC9" s="271"/>
      <c r="BD9" s="271"/>
    </row>
    <row r="10" spans="1:56" ht="15" customHeight="1" outlineLevel="1" x14ac:dyDescent="0.2">
      <c r="B10" s="592" t="s">
        <v>1043</v>
      </c>
      <c r="C10" s="593"/>
      <c r="D10" s="593"/>
      <c r="E10" s="609"/>
      <c r="F10" s="609"/>
      <c r="G10" s="609"/>
      <c r="H10" s="609"/>
      <c r="I10" s="609"/>
      <c r="J10" s="609"/>
      <c r="K10" s="609"/>
      <c r="L10" s="609"/>
      <c r="M10" s="609"/>
      <c r="N10" s="609"/>
      <c r="O10" s="609"/>
      <c r="P10" s="609"/>
      <c r="Q10" s="609"/>
      <c r="R10" s="609"/>
      <c r="S10" s="609"/>
      <c r="T10" s="609"/>
      <c r="U10" s="609"/>
      <c r="V10" s="609"/>
      <c r="W10" s="609"/>
      <c r="X10" s="609"/>
      <c r="Y10" s="609"/>
      <c r="Z10" s="610"/>
      <c r="BA10" s="271"/>
      <c r="BB10" s="271"/>
      <c r="BC10" s="271"/>
      <c r="BD10" s="271"/>
    </row>
    <row r="11" spans="1:56" ht="15" customHeight="1" outlineLevel="1" x14ac:dyDescent="0.2">
      <c r="B11" s="592" t="s">
        <v>1044</v>
      </c>
      <c r="C11" s="593"/>
      <c r="D11" s="593"/>
      <c r="E11" s="611"/>
      <c r="F11" s="611"/>
      <c r="G11" s="611"/>
      <c r="H11" s="611"/>
      <c r="I11" s="611"/>
      <c r="J11" s="611"/>
      <c r="K11" s="611"/>
      <c r="L11" s="611"/>
      <c r="M11" s="611"/>
      <c r="N11" s="611"/>
      <c r="O11" s="611"/>
      <c r="P11" s="611"/>
      <c r="Q11" s="611"/>
      <c r="R11" s="611"/>
      <c r="S11" s="611"/>
      <c r="T11" s="611"/>
      <c r="U11" s="611"/>
      <c r="V11" s="611"/>
      <c r="W11" s="611"/>
      <c r="X11" s="611"/>
      <c r="Y11" s="611"/>
      <c r="Z11" s="612"/>
      <c r="BA11" s="271"/>
      <c r="BB11" s="271"/>
      <c r="BC11" s="271"/>
      <c r="BD11" s="271"/>
    </row>
    <row r="12" spans="1:56" ht="15" customHeight="1" outlineLevel="1" x14ac:dyDescent="0.2">
      <c r="B12" s="592" t="s">
        <v>1045</v>
      </c>
      <c r="C12" s="593"/>
      <c r="D12" s="593"/>
      <c r="E12" s="611"/>
      <c r="F12" s="611"/>
      <c r="G12" s="611"/>
      <c r="H12" s="611"/>
      <c r="I12" s="611"/>
      <c r="J12" s="611"/>
      <c r="K12" s="611"/>
      <c r="L12" s="611"/>
      <c r="M12" s="611"/>
      <c r="N12" s="611"/>
      <c r="O12" s="611"/>
      <c r="P12" s="611"/>
      <c r="Q12" s="611"/>
      <c r="R12" s="611"/>
      <c r="S12" s="611"/>
      <c r="T12" s="611"/>
      <c r="U12" s="611"/>
      <c r="V12" s="611"/>
      <c r="W12" s="611"/>
      <c r="X12" s="611"/>
      <c r="Y12" s="611"/>
      <c r="Z12" s="612"/>
      <c r="BA12" s="271"/>
      <c r="BB12" s="271"/>
      <c r="BC12" s="271"/>
      <c r="BD12" s="271"/>
    </row>
    <row r="13" spans="1:56" ht="15" customHeight="1" outlineLevel="1" x14ac:dyDescent="0.2">
      <c r="B13" s="592" t="s">
        <v>1046</v>
      </c>
      <c r="C13" s="593"/>
      <c r="D13" s="593"/>
      <c r="E13" s="613" t="str">
        <f>IFERROR(E11/E12,"")</f>
        <v/>
      </c>
      <c r="F13" s="613" t="str">
        <f>IFERROR(F11/F12,"")</f>
        <v/>
      </c>
      <c r="G13" s="613" t="str">
        <f>IFERROR(G11/G12,"")</f>
        <v/>
      </c>
      <c r="H13" s="613" t="str">
        <f>IFERROR(H11/H12,"")</f>
        <v/>
      </c>
      <c r="I13" s="613"/>
      <c r="J13" s="613"/>
      <c r="K13" s="613" t="str">
        <f>IFERROR(K11/K12,"")</f>
        <v/>
      </c>
      <c r="L13" s="613"/>
      <c r="M13" s="613"/>
      <c r="N13" s="613"/>
      <c r="O13" s="613" t="str">
        <f>IFERROR(O11/O12,"")</f>
        <v/>
      </c>
      <c r="P13" s="613"/>
      <c r="Q13" s="613"/>
      <c r="R13" s="613"/>
      <c r="S13" s="613" t="str">
        <f>IFERROR(S11/S12,"")</f>
        <v/>
      </c>
      <c r="T13" s="613"/>
      <c r="U13" s="613"/>
      <c r="V13" s="613"/>
      <c r="W13" s="613" t="str">
        <f>IFERROR(W11/W12,"")</f>
        <v/>
      </c>
      <c r="X13" s="613"/>
      <c r="Y13" s="613"/>
      <c r="Z13" s="614"/>
      <c r="BA13" s="271"/>
      <c r="BB13" s="271"/>
      <c r="BC13" s="271"/>
      <c r="BD13" s="271"/>
    </row>
    <row r="14" spans="1:56" ht="15" customHeight="1" outlineLevel="1" x14ac:dyDescent="0.2">
      <c r="B14" s="592" t="s">
        <v>1047</v>
      </c>
      <c r="C14" s="593"/>
      <c r="D14" s="593"/>
      <c r="E14" s="609"/>
      <c r="F14" s="609"/>
      <c r="G14" s="609"/>
      <c r="H14" s="609"/>
      <c r="I14" s="609"/>
      <c r="J14" s="609"/>
      <c r="K14" s="609"/>
      <c r="L14" s="609"/>
      <c r="M14" s="609"/>
      <c r="N14" s="609"/>
      <c r="O14" s="609"/>
      <c r="P14" s="609"/>
      <c r="Q14" s="609"/>
      <c r="R14" s="609"/>
      <c r="S14" s="609"/>
      <c r="T14" s="609"/>
      <c r="U14" s="609"/>
      <c r="V14" s="609"/>
      <c r="W14" s="609"/>
      <c r="X14" s="609"/>
      <c r="Y14" s="609"/>
      <c r="Z14" s="610"/>
      <c r="BA14" s="271"/>
      <c r="BB14" s="271"/>
      <c r="BC14" s="271"/>
      <c r="BD14" s="271"/>
    </row>
    <row r="15" spans="1:56" ht="15" customHeight="1" outlineLevel="1" x14ac:dyDescent="0.2">
      <c r="B15" s="592" t="s">
        <v>1048</v>
      </c>
      <c r="C15" s="593"/>
      <c r="D15" s="593"/>
      <c r="E15" s="609"/>
      <c r="F15" s="609"/>
      <c r="G15" s="609"/>
      <c r="H15" s="609"/>
      <c r="I15" s="609"/>
      <c r="J15" s="609"/>
      <c r="K15" s="609"/>
      <c r="L15" s="609"/>
      <c r="M15" s="609"/>
      <c r="N15" s="609"/>
      <c r="O15" s="609"/>
      <c r="P15" s="609"/>
      <c r="Q15" s="609"/>
      <c r="R15" s="609"/>
      <c r="S15" s="609"/>
      <c r="T15" s="609"/>
      <c r="U15" s="609"/>
      <c r="V15" s="609"/>
      <c r="W15" s="609"/>
      <c r="X15" s="609"/>
      <c r="Y15" s="609"/>
      <c r="Z15" s="610"/>
      <c r="BA15" s="271"/>
      <c r="BB15" s="271"/>
      <c r="BC15" s="271"/>
      <c r="BD15" s="271"/>
    </row>
    <row r="16" spans="1:56" ht="15" customHeight="1" outlineLevel="1" x14ac:dyDescent="0.2">
      <c r="B16" s="592" t="s">
        <v>1049</v>
      </c>
      <c r="C16" s="593"/>
      <c r="D16" s="593"/>
      <c r="E16" s="594"/>
      <c r="F16" s="594"/>
      <c r="G16" s="594"/>
      <c r="H16" s="594"/>
      <c r="I16" s="594"/>
      <c r="J16" s="594"/>
      <c r="K16" s="594"/>
      <c r="L16" s="594"/>
      <c r="M16" s="594"/>
      <c r="N16" s="594"/>
      <c r="O16" s="594"/>
      <c r="P16" s="594"/>
      <c r="Q16" s="594"/>
      <c r="R16" s="594"/>
      <c r="S16" s="594"/>
      <c r="T16" s="594"/>
      <c r="U16" s="594"/>
      <c r="V16" s="594"/>
      <c r="W16" s="594"/>
      <c r="X16" s="594"/>
      <c r="Y16" s="594"/>
      <c r="Z16" s="604"/>
      <c r="BA16" s="271"/>
      <c r="BB16" s="271"/>
      <c r="BC16" s="271"/>
      <c r="BD16" s="271"/>
    </row>
    <row r="17" spans="1:56" ht="15" customHeight="1" outlineLevel="1" x14ac:dyDescent="0.2">
      <c r="B17" s="592" t="s">
        <v>1050</v>
      </c>
      <c r="C17" s="593"/>
      <c r="D17" s="593"/>
      <c r="E17" s="594"/>
      <c r="F17" s="594"/>
      <c r="G17" s="594"/>
      <c r="H17" s="594"/>
      <c r="I17" s="594"/>
      <c r="J17" s="594"/>
      <c r="K17" s="594"/>
      <c r="L17" s="594"/>
      <c r="M17" s="594"/>
      <c r="N17" s="594"/>
      <c r="O17" s="594"/>
      <c r="P17" s="594"/>
      <c r="Q17" s="594"/>
      <c r="R17" s="594"/>
      <c r="S17" s="594"/>
      <c r="T17" s="594"/>
      <c r="U17" s="594"/>
      <c r="V17" s="594"/>
      <c r="W17" s="594"/>
      <c r="X17" s="594"/>
      <c r="Y17" s="594"/>
      <c r="Z17" s="604"/>
      <c r="BA17" s="271"/>
      <c r="BB17" s="271"/>
      <c r="BC17" s="271"/>
      <c r="BD17" s="271"/>
    </row>
    <row r="18" spans="1:56" ht="15" customHeight="1" outlineLevel="1" x14ac:dyDescent="0.2">
      <c r="B18" s="592" t="s">
        <v>1051</v>
      </c>
      <c r="C18" s="593"/>
      <c r="D18" s="593"/>
      <c r="E18" s="594"/>
      <c r="F18" s="594"/>
      <c r="G18" s="594"/>
      <c r="H18" s="594"/>
      <c r="I18" s="594"/>
      <c r="J18" s="594"/>
      <c r="K18" s="594"/>
      <c r="L18" s="594"/>
      <c r="M18" s="594"/>
      <c r="N18" s="594"/>
      <c r="O18" s="594"/>
      <c r="P18" s="594"/>
      <c r="Q18" s="594"/>
      <c r="R18" s="594"/>
      <c r="S18" s="594"/>
      <c r="T18" s="594"/>
      <c r="U18" s="594"/>
      <c r="V18" s="594"/>
      <c r="W18" s="594"/>
      <c r="X18" s="594"/>
      <c r="Y18" s="594"/>
      <c r="Z18" s="604"/>
      <c r="BA18" s="271"/>
      <c r="BB18" s="271"/>
      <c r="BC18" s="271"/>
      <c r="BD18" s="271"/>
    </row>
    <row r="19" spans="1:56" ht="15" customHeight="1" outlineLevel="1" x14ac:dyDescent="0.2">
      <c r="B19" s="592" t="s">
        <v>1052</v>
      </c>
      <c r="C19" s="593"/>
      <c r="D19" s="593"/>
      <c r="E19" s="594"/>
      <c r="F19" s="594"/>
      <c r="G19" s="594"/>
      <c r="H19" s="594"/>
      <c r="I19" s="594"/>
      <c r="J19" s="594"/>
      <c r="K19" s="594"/>
      <c r="L19" s="594"/>
      <c r="M19" s="594"/>
      <c r="N19" s="594"/>
      <c r="O19" s="594"/>
      <c r="P19" s="594"/>
      <c r="Q19" s="594"/>
      <c r="R19" s="594"/>
      <c r="S19" s="594"/>
      <c r="T19" s="594"/>
      <c r="U19" s="594"/>
      <c r="V19" s="594"/>
      <c r="W19" s="594"/>
      <c r="X19" s="594"/>
      <c r="Y19" s="594"/>
      <c r="Z19" s="604"/>
      <c r="BA19" s="271"/>
      <c r="BB19" s="271"/>
      <c r="BC19" s="271"/>
      <c r="BD19" s="271"/>
    </row>
    <row r="20" spans="1:56" ht="15" customHeight="1" outlineLevel="1" x14ac:dyDescent="0.2">
      <c r="B20" s="592" t="s">
        <v>1053</v>
      </c>
      <c r="C20" s="593"/>
      <c r="D20" s="593"/>
      <c r="E20" s="594"/>
      <c r="F20" s="594"/>
      <c r="G20" s="594"/>
      <c r="H20" s="594"/>
      <c r="I20" s="594"/>
      <c r="J20" s="594"/>
      <c r="K20" s="594"/>
      <c r="L20" s="594"/>
      <c r="M20" s="594"/>
      <c r="N20" s="594"/>
      <c r="O20" s="594"/>
      <c r="P20" s="594"/>
      <c r="Q20" s="594"/>
      <c r="R20" s="594"/>
      <c r="S20" s="594"/>
      <c r="T20" s="594"/>
      <c r="U20" s="594"/>
      <c r="V20" s="594"/>
      <c r="W20" s="594"/>
      <c r="X20" s="594"/>
      <c r="Y20" s="594"/>
      <c r="Z20" s="604"/>
      <c r="BA20" s="271"/>
      <c r="BB20" s="271"/>
      <c r="BC20" s="271"/>
      <c r="BD20" s="271"/>
    </row>
    <row r="21" spans="1:56" ht="15" customHeight="1" outlineLevel="1" thickBot="1" x14ac:dyDescent="0.25">
      <c r="B21" s="605" t="s">
        <v>1054</v>
      </c>
      <c r="C21" s="606"/>
      <c r="D21" s="606"/>
      <c r="E21" s="607"/>
      <c r="F21" s="607"/>
      <c r="G21" s="607"/>
      <c r="H21" s="607"/>
      <c r="I21" s="607"/>
      <c r="J21" s="607"/>
      <c r="K21" s="607"/>
      <c r="L21" s="607"/>
      <c r="M21" s="607"/>
      <c r="N21" s="607"/>
      <c r="O21" s="607"/>
      <c r="P21" s="607"/>
      <c r="Q21" s="607"/>
      <c r="R21" s="607"/>
      <c r="S21" s="607"/>
      <c r="T21" s="607"/>
      <c r="U21" s="607"/>
      <c r="V21" s="607"/>
      <c r="W21" s="607"/>
      <c r="X21" s="607"/>
      <c r="Y21" s="607"/>
      <c r="Z21" s="608"/>
      <c r="BA21" s="271"/>
      <c r="BB21" s="271"/>
      <c r="BC21" s="271"/>
      <c r="BD21" s="271"/>
    </row>
    <row r="22" spans="1:56" ht="15" customHeight="1" outlineLevel="1" thickBot="1" x14ac:dyDescent="0.25"/>
    <row r="23" spans="1:56" ht="19.5" thickBot="1" x14ac:dyDescent="0.25">
      <c r="A23" s="270"/>
      <c r="B23" s="601" t="s">
        <v>525</v>
      </c>
      <c r="C23" s="602"/>
      <c r="D23" s="602"/>
      <c r="E23" s="602"/>
      <c r="F23" s="602"/>
      <c r="G23" s="602"/>
      <c r="H23" s="602"/>
      <c r="I23" s="602"/>
      <c r="J23" s="602"/>
      <c r="K23" s="602"/>
      <c r="L23" s="602"/>
      <c r="M23" s="602"/>
      <c r="N23" s="603"/>
      <c r="O23" s="601" t="s">
        <v>1055</v>
      </c>
      <c r="P23" s="602"/>
      <c r="Q23" s="602"/>
      <c r="R23" s="602"/>
      <c r="S23" s="602"/>
      <c r="T23" s="602"/>
      <c r="U23" s="602"/>
      <c r="V23" s="602"/>
      <c r="W23" s="602"/>
      <c r="X23" s="602"/>
      <c r="Y23" s="602"/>
      <c r="Z23" s="602"/>
      <c r="AA23" s="602"/>
      <c r="AB23" s="602"/>
      <c r="AC23" s="602"/>
      <c r="AD23" s="602"/>
      <c r="AE23" s="602"/>
      <c r="AF23" s="602"/>
      <c r="AG23" s="602"/>
      <c r="AH23" s="602"/>
      <c r="AI23" s="602"/>
      <c r="AJ23" s="602"/>
      <c r="AK23" s="602"/>
      <c r="AL23" s="602"/>
      <c r="AM23" s="602"/>
      <c r="AN23" s="602"/>
      <c r="AO23" s="602"/>
      <c r="AP23" s="602"/>
      <c r="AQ23" s="602"/>
      <c r="AR23" s="602"/>
      <c r="AS23" s="602"/>
      <c r="AT23" s="602"/>
      <c r="AU23" s="602"/>
      <c r="AV23" s="602"/>
      <c r="AW23" s="602"/>
      <c r="AX23" s="602"/>
      <c r="AY23" s="602"/>
      <c r="AZ23" s="602"/>
      <c r="BA23" s="602"/>
      <c r="BB23" s="602"/>
      <c r="BC23" s="603"/>
    </row>
    <row r="24" spans="1:56" s="274" customFormat="1" x14ac:dyDescent="0.25">
      <c r="A24" s="273"/>
      <c r="B24" s="595" t="s">
        <v>1056</v>
      </c>
      <c r="C24" s="580" t="s">
        <v>1057</v>
      </c>
      <c r="D24" s="580" t="s">
        <v>1058</v>
      </c>
      <c r="E24" s="582" t="s">
        <v>1059</v>
      </c>
      <c r="F24" s="597" t="s">
        <v>1060</v>
      </c>
      <c r="G24" s="597" t="s">
        <v>12</v>
      </c>
      <c r="H24" s="580" t="s">
        <v>1061</v>
      </c>
      <c r="I24" s="599" t="s">
        <v>1062</v>
      </c>
      <c r="J24" s="580" t="s">
        <v>533</v>
      </c>
      <c r="K24" s="582" t="s">
        <v>1063</v>
      </c>
      <c r="L24" s="584" t="s">
        <v>1064</v>
      </c>
      <c r="M24" s="585"/>
      <c r="N24" s="586" t="s">
        <v>1065</v>
      </c>
      <c r="O24" s="588" t="s">
        <v>1066</v>
      </c>
      <c r="P24" s="588"/>
      <c r="Q24" s="589"/>
      <c r="R24" s="590"/>
      <c r="S24" s="591"/>
      <c r="T24" s="577"/>
      <c r="U24" s="578"/>
      <c r="V24" s="576" t="e">
        <f>EDATE(S24,-1)</f>
        <v>#NUM!</v>
      </c>
      <c r="W24" s="577"/>
      <c r="X24" s="578"/>
      <c r="Y24" s="576" t="e">
        <f>EDATE(V24,-1)</f>
        <v>#NUM!</v>
      </c>
      <c r="Z24" s="577"/>
      <c r="AA24" s="578"/>
      <c r="AB24" s="576" t="e">
        <f>EDATE(Y24,-1)</f>
        <v>#NUM!</v>
      </c>
      <c r="AC24" s="577"/>
      <c r="AD24" s="578"/>
      <c r="AE24" s="576" t="e">
        <f>EDATE(AB24,-1)</f>
        <v>#NUM!</v>
      </c>
      <c r="AF24" s="577"/>
      <c r="AG24" s="578"/>
      <c r="AH24" s="576" t="e">
        <f>EDATE(AE24,-1)</f>
        <v>#NUM!</v>
      </c>
      <c r="AI24" s="577"/>
      <c r="AJ24" s="578"/>
      <c r="AK24" s="576" t="e">
        <f>EDATE(AH24,-1)</f>
        <v>#NUM!</v>
      </c>
      <c r="AL24" s="577"/>
      <c r="AM24" s="578"/>
      <c r="AN24" s="576" t="e">
        <f>EDATE(AK24,-1)</f>
        <v>#NUM!</v>
      </c>
      <c r="AO24" s="577"/>
      <c r="AP24" s="578"/>
      <c r="AQ24" s="576" t="e">
        <f>EDATE(AN24,-1)</f>
        <v>#NUM!</v>
      </c>
      <c r="AR24" s="577"/>
      <c r="AS24" s="578"/>
      <c r="AT24" s="576" t="e">
        <f>EDATE(AQ24,-1)</f>
        <v>#NUM!</v>
      </c>
      <c r="AU24" s="577"/>
      <c r="AV24" s="578"/>
      <c r="AW24" s="576" t="e">
        <f>EDATE(AT24,-1)</f>
        <v>#NUM!</v>
      </c>
      <c r="AX24" s="577"/>
      <c r="AY24" s="578"/>
      <c r="AZ24" s="576" t="e">
        <f>EDATE(AW24,-1)</f>
        <v>#NUM!</v>
      </c>
      <c r="BA24" s="577"/>
      <c r="BB24" s="578"/>
      <c r="BC24" s="579" t="s">
        <v>1067</v>
      </c>
      <c r="BD24" s="273"/>
    </row>
    <row r="25" spans="1:56" s="274" customFormat="1" ht="45" x14ac:dyDescent="0.25">
      <c r="A25" s="273"/>
      <c r="B25" s="596"/>
      <c r="C25" s="581"/>
      <c r="D25" s="581"/>
      <c r="E25" s="583"/>
      <c r="F25" s="598"/>
      <c r="G25" s="598"/>
      <c r="H25" s="581"/>
      <c r="I25" s="600"/>
      <c r="J25" s="581"/>
      <c r="K25" s="583"/>
      <c r="L25" s="584"/>
      <c r="M25" s="585"/>
      <c r="N25" s="587"/>
      <c r="O25" s="278" t="s">
        <v>1068</v>
      </c>
      <c r="P25" s="278" t="s">
        <v>1069</v>
      </c>
      <c r="Q25" s="279" t="s">
        <v>1070</v>
      </c>
      <c r="R25" s="280" t="s">
        <v>1071</v>
      </c>
      <c r="S25" s="281" t="s">
        <v>1072</v>
      </c>
      <c r="T25" s="282" t="s">
        <v>12</v>
      </c>
      <c r="U25" s="280" t="s">
        <v>1073</v>
      </c>
      <c r="V25" s="283" t="s">
        <v>1072</v>
      </c>
      <c r="W25" s="282" t="s">
        <v>12</v>
      </c>
      <c r="X25" s="280" t="s">
        <v>1073</v>
      </c>
      <c r="Y25" s="283" t="s">
        <v>1072</v>
      </c>
      <c r="Z25" s="282" t="s">
        <v>12</v>
      </c>
      <c r="AA25" s="280" t="s">
        <v>1073</v>
      </c>
      <c r="AB25" s="283" t="s">
        <v>1072</v>
      </c>
      <c r="AC25" s="282" t="s">
        <v>12</v>
      </c>
      <c r="AD25" s="280" t="s">
        <v>1073</v>
      </c>
      <c r="AE25" s="283" t="s">
        <v>1072</v>
      </c>
      <c r="AF25" s="282" t="s">
        <v>12</v>
      </c>
      <c r="AG25" s="284" t="s">
        <v>1074</v>
      </c>
      <c r="AH25" s="283" t="s">
        <v>1072</v>
      </c>
      <c r="AI25" s="282" t="s">
        <v>12</v>
      </c>
      <c r="AJ25" s="280" t="s">
        <v>1073</v>
      </c>
      <c r="AK25" s="283" t="s">
        <v>1072</v>
      </c>
      <c r="AL25" s="282" t="s">
        <v>12</v>
      </c>
      <c r="AM25" s="280" t="s">
        <v>1073</v>
      </c>
      <c r="AN25" s="283" t="s">
        <v>1072</v>
      </c>
      <c r="AO25" s="282" t="s">
        <v>12</v>
      </c>
      <c r="AP25" s="280" t="s">
        <v>1073</v>
      </c>
      <c r="AQ25" s="283" t="s">
        <v>1072</v>
      </c>
      <c r="AR25" s="282" t="s">
        <v>12</v>
      </c>
      <c r="AS25" s="280" t="s">
        <v>1073</v>
      </c>
      <c r="AT25" s="283" t="s">
        <v>1072</v>
      </c>
      <c r="AU25" s="282" t="s">
        <v>12</v>
      </c>
      <c r="AV25" s="280" t="s">
        <v>1073</v>
      </c>
      <c r="AW25" s="283" t="s">
        <v>1072</v>
      </c>
      <c r="AX25" s="282" t="s">
        <v>12</v>
      </c>
      <c r="AY25" s="280" t="s">
        <v>1073</v>
      </c>
      <c r="AZ25" s="283" t="s">
        <v>1072</v>
      </c>
      <c r="BA25" s="282" t="s">
        <v>12</v>
      </c>
      <c r="BB25" s="280" t="s">
        <v>1073</v>
      </c>
      <c r="BC25" s="579"/>
      <c r="BD25" s="273"/>
    </row>
    <row r="26" spans="1:56" ht="15" customHeight="1" x14ac:dyDescent="0.2">
      <c r="B26" s="285"/>
      <c r="C26" s="286"/>
      <c r="D26" s="286"/>
      <c r="E26" s="287"/>
      <c r="F26" s="287"/>
      <c r="G26" s="288"/>
      <c r="H26" s="289"/>
      <c r="I26" s="287"/>
      <c r="J26" s="286"/>
      <c r="K26" s="290" t="str">
        <f ca="1">IFERROR(IF(J26&lt;(TODAY()-H26)/30,"",J26-((TODAY()-H26)/30)+1),"")</f>
        <v/>
      </c>
      <c r="L26" s="291"/>
      <c r="M26" s="292" t="str">
        <f t="shared" ref="M26:M29" ca="1" si="0">IF(OR(L26="Yes",AND(K26&gt;1,K26&lt;&gt;"")),G26,"")</f>
        <v/>
      </c>
      <c r="N26" s="286"/>
      <c r="O26" s="293" t="str">
        <f t="shared" ref="O26:O29" si="1">IF($G26&lt;&gt;"",COUNT($S26,$V26,$Y26,$AB26,$AE26,$AH26,$AK26,$AN26,$AQ26,$AT26,$AW26,$AZ26),"")</f>
        <v/>
      </c>
      <c r="P26" s="293"/>
      <c r="Q26" s="294" t="str">
        <f t="shared" ref="Q26:Q29" si="2">IF($G26&lt;&gt;"",SUM($T26,$W26,$Z26,$AC26,$AF26,$AI26,$AL26,$AO26,$AR26,$AU26,$AX26,$BA26),"")</f>
        <v/>
      </c>
      <c r="R26" s="295" t="str">
        <f t="shared" ref="R26:R29" si="3">IF($G26&lt;&gt;"",IFERROR(AVERAGE($U26,$X26,$AA26,$AD26,$AG26,$AJ26,$AM26,$AP26,$AS26,$AV26,$AY26,$BB26),""),"")</f>
        <v/>
      </c>
      <c r="S26" s="286"/>
      <c r="T26" s="287"/>
      <c r="U26" s="294"/>
      <c r="V26" s="286"/>
      <c r="W26" s="287"/>
      <c r="X26" s="294"/>
      <c r="Y26" s="286"/>
      <c r="Z26" s="287"/>
      <c r="AA26" s="294"/>
      <c r="AB26" s="286"/>
      <c r="AC26" s="287"/>
      <c r="AD26" s="294"/>
      <c r="AE26" s="286"/>
      <c r="AF26" s="287"/>
      <c r="AG26" s="294"/>
      <c r="AH26" s="286"/>
      <c r="AI26" s="287"/>
      <c r="AJ26" s="294"/>
      <c r="AK26" s="286"/>
      <c r="AL26" s="287"/>
      <c r="AM26" s="294"/>
      <c r="AN26" s="286"/>
      <c r="AO26" s="287"/>
      <c r="AP26" s="294"/>
      <c r="AQ26" s="286"/>
      <c r="AR26" s="287"/>
      <c r="AS26" s="294"/>
      <c r="AT26" s="286"/>
      <c r="AU26" s="287"/>
      <c r="AV26" s="294"/>
      <c r="AW26" s="286"/>
      <c r="AX26" s="287"/>
      <c r="AY26" s="294"/>
      <c r="AZ26" s="286"/>
      <c r="BA26" s="287"/>
      <c r="BB26" s="294"/>
      <c r="BC26" s="296"/>
    </row>
    <row r="27" spans="1:56" ht="15" customHeight="1" x14ac:dyDescent="0.2">
      <c r="B27" s="285"/>
      <c r="C27" s="297"/>
      <c r="D27" s="286"/>
      <c r="E27" s="298"/>
      <c r="F27" s="287"/>
      <c r="G27" s="299"/>
      <c r="H27" s="300"/>
      <c r="I27" s="298"/>
      <c r="J27" s="297"/>
      <c r="K27" s="290" t="str">
        <f ca="1">IFERROR(IF(J27&lt;(TODAY()-H27)/30,"",J27-((TODAY()-H27)/30)+1),"")</f>
        <v/>
      </c>
      <c r="L27" s="301"/>
      <c r="M27" s="292" t="str">
        <f t="shared" ca="1" si="0"/>
        <v/>
      </c>
      <c r="N27" s="297"/>
      <c r="O27" s="293" t="str">
        <f t="shared" si="1"/>
        <v/>
      </c>
      <c r="P27" s="293"/>
      <c r="Q27" s="294" t="str">
        <f t="shared" si="2"/>
        <v/>
      </c>
      <c r="R27" s="295" t="str">
        <f t="shared" si="3"/>
        <v/>
      </c>
      <c r="S27" s="286"/>
      <c r="T27" s="287"/>
      <c r="U27" s="294"/>
      <c r="V27" s="286"/>
      <c r="W27" s="287"/>
      <c r="X27" s="294"/>
      <c r="Y27" s="286"/>
      <c r="Z27" s="287"/>
      <c r="AA27" s="294"/>
      <c r="AB27" s="286"/>
      <c r="AC27" s="287"/>
      <c r="AD27" s="294"/>
      <c r="AE27" s="286"/>
      <c r="AF27" s="287"/>
      <c r="AG27" s="294"/>
      <c r="AH27" s="286"/>
      <c r="AI27" s="287"/>
      <c r="AJ27" s="294"/>
      <c r="AK27" s="286"/>
      <c r="AL27" s="287"/>
      <c r="AM27" s="294"/>
      <c r="AN27" s="286"/>
      <c r="AO27" s="287"/>
      <c r="AP27" s="294"/>
      <c r="AQ27" s="286"/>
      <c r="AR27" s="287"/>
      <c r="AS27" s="294"/>
      <c r="AT27" s="286"/>
      <c r="AU27" s="287"/>
      <c r="AV27" s="294"/>
      <c r="AW27" s="286"/>
      <c r="AX27" s="287"/>
      <c r="AY27" s="294"/>
      <c r="AZ27" s="286"/>
      <c r="BA27" s="287"/>
      <c r="BB27" s="294"/>
      <c r="BC27" s="302"/>
    </row>
    <row r="28" spans="1:56" ht="15" customHeight="1" x14ac:dyDescent="0.2">
      <c r="B28" s="285"/>
      <c r="C28" s="297"/>
      <c r="D28" s="286"/>
      <c r="E28" s="298"/>
      <c r="F28" s="287"/>
      <c r="G28" s="299"/>
      <c r="H28" s="300"/>
      <c r="I28" s="298"/>
      <c r="J28" s="297"/>
      <c r="K28" s="290" t="str">
        <f ca="1">IFERROR(IF(J28&lt;(TODAY()-H28)/30,"",J28-((TODAY()-H28)/30)+1),"")</f>
        <v/>
      </c>
      <c r="L28" s="301"/>
      <c r="M28" s="292" t="str">
        <f t="shared" ca="1" si="0"/>
        <v/>
      </c>
      <c r="N28" s="297"/>
      <c r="O28" s="293" t="str">
        <f t="shared" si="1"/>
        <v/>
      </c>
      <c r="P28" s="293"/>
      <c r="Q28" s="294" t="str">
        <f t="shared" si="2"/>
        <v/>
      </c>
      <c r="R28" s="294" t="str">
        <f t="shared" si="3"/>
        <v/>
      </c>
      <c r="S28" s="286"/>
      <c r="T28" s="287"/>
      <c r="U28" s="294"/>
      <c r="V28" s="286"/>
      <c r="W28" s="287"/>
      <c r="X28" s="294"/>
      <c r="Y28" s="286"/>
      <c r="Z28" s="287"/>
      <c r="AA28" s="294"/>
      <c r="AB28" s="286"/>
      <c r="AC28" s="287"/>
      <c r="AD28" s="294"/>
      <c r="AE28" s="286"/>
      <c r="AF28" s="287"/>
      <c r="AG28" s="294"/>
      <c r="AH28" s="286"/>
      <c r="AI28" s="287"/>
      <c r="AJ28" s="294"/>
      <c r="AK28" s="286"/>
      <c r="AL28" s="287"/>
      <c r="AM28" s="294"/>
      <c r="AN28" s="286"/>
      <c r="AO28" s="287"/>
      <c r="AP28" s="294"/>
      <c r="AQ28" s="286"/>
      <c r="AR28" s="287"/>
      <c r="AS28" s="294"/>
      <c r="AT28" s="286"/>
      <c r="AU28" s="287"/>
      <c r="AV28" s="294"/>
      <c r="AW28" s="286"/>
      <c r="AX28" s="287"/>
      <c r="AY28" s="294"/>
      <c r="AZ28" s="286"/>
      <c r="BA28" s="287"/>
      <c r="BB28" s="294"/>
      <c r="BC28" s="302"/>
    </row>
    <row r="29" spans="1:56" ht="15" customHeight="1" thickBot="1" x14ac:dyDescent="0.25">
      <c r="B29" s="285"/>
      <c r="C29" s="297"/>
      <c r="D29" s="286"/>
      <c r="E29" s="298"/>
      <c r="F29" s="287"/>
      <c r="G29" s="299"/>
      <c r="H29" s="300"/>
      <c r="I29" s="298"/>
      <c r="J29" s="297"/>
      <c r="K29" s="290" t="str">
        <f ca="1">IFERROR(IF(J29&lt;(TODAY()-H29)/30,"",J29-((TODAY()-H29)/30)+1),"")</f>
        <v/>
      </c>
      <c r="L29" s="301"/>
      <c r="M29" s="292" t="str">
        <f t="shared" ca="1" si="0"/>
        <v/>
      </c>
      <c r="N29" s="297"/>
      <c r="O29" s="293" t="str">
        <f t="shared" si="1"/>
        <v/>
      </c>
      <c r="P29" s="293"/>
      <c r="Q29" s="294" t="str">
        <f t="shared" si="2"/>
        <v/>
      </c>
      <c r="R29" s="294" t="str">
        <f t="shared" si="3"/>
        <v/>
      </c>
      <c r="S29" s="286"/>
      <c r="T29" s="287"/>
      <c r="U29" s="294"/>
      <c r="V29" s="286"/>
      <c r="W29" s="287"/>
      <c r="X29" s="294"/>
      <c r="Y29" s="286"/>
      <c r="Z29" s="287"/>
      <c r="AA29" s="294"/>
      <c r="AB29" s="286"/>
      <c r="AC29" s="287"/>
      <c r="AD29" s="294"/>
      <c r="AE29" s="286"/>
      <c r="AF29" s="287"/>
      <c r="AG29" s="294"/>
      <c r="AH29" s="286"/>
      <c r="AI29" s="287"/>
      <c r="AJ29" s="294"/>
      <c r="AK29" s="286"/>
      <c r="AL29" s="287"/>
      <c r="AM29" s="294"/>
      <c r="AN29" s="286"/>
      <c r="AO29" s="287"/>
      <c r="AP29" s="294"/>
      <c r="AQ29" s="286"/>
      <c r="AR29" s="287"/>
      <c r="AS29" s="294"/>
      <c r="AT29" s="286"/>
      <c r="AU29" s="287"/>
      <c r="AV29" s="294"/>
      <c r="AW29" s="286"/>
      <c r="AX29" s="287"/>
      <c r="AY29" s="294"/>
      <c r="AZ29" s="286"/>
      <c r="BA29" s="287"/>
      <c r="BB29" s="294"/>
      <c r="BC29" s="302"/>
    </row>
    <row r="30" spans="1:56" ht="15" customHeight="1" thickBot="1" x14ac:dyDescent="0.25">
      <c r="B30" s="303" t="s">
        <v>248</v>
      </c>
      <c r="C30" s="304"/>
      <c r="D30" s="305">
        <f>SUBTOTAL(103,LoanTrack[Column3])</f>
        <v>0</v>
      </c>
      <c r="E30" s="306">
        <f>SUBTOTAL(109,LoanTrack[Column4])</f>
        <v>0</v>
      </c>
      <c r="F30" s="306">
        <f>SUBTOTAL(109,LoanTrack[Column52])</f>
        <v>0</v>
      </c>
      <c r="G30" s="307">
        <f>SUBTOTAL(109,LoanTrack[Column5])</f>
        <v>0</v>
      </c>
      <c r="H30" s="304"/>
      <c r="I30" s="306">
        <f>SUBTOTAL(109,LoanTrack[Column54])</f>
        <v>0</v>
      </c>
      <c r="J30" s="304"/>
      <c r="K30" s="304"/>
      <c r="L30" s="304">
        <f>COUNTIF(L26:L29,"Yes")</f>
        <v>0</v>
      </c>
      <c r="M30" s="306">
        <f ca="1">SUBTOTAL(109,LoanTrack[Column10])</f>
        <v>0</v>
      </c>
      <c r="N30" s="305">
        <f>SUMPRODUCT((N26:N29&lt;&gt;"")/COUNTIF(N26:N29,N26:N29&amp;""))</f>
        <v>0</v>
      </c>
      <c r="O30" s="306">
        <f>SUBTOTAL(109,LoanTrack[Column51])</f>
        <v>0</v>
      </c>
      <c r="P30" s="306"/>
      <c r="Q30" s="306">
        <f>SUBTOTAL(109,LoanTrack[Column50])</f>
        <v>0</v>
      </c>
      <c r="R30" s="306" t="str">
        <f>IFERROR(SUBTOTAL(101,R26:R29),"")</f>
        <v/>
      </c>
      <c r="S30" s="306">
        <f>SUBTOTAL(103,LoanTrack[Column12])</f>
        <v>0</v>
      </c>
      <c r="T30" s="306">
        <f>SUBTOTAL(109,LoanTrack[Column13])</f>
        <v>0</v>
      </c>
      <c r="U30" s="306" t="str">
        <f>IFERROR(SUBTOTAL(101,U26:U29),"")</f>
        <v/>
      </c>
      <c r="V30" s="306">
        <f>SUBTOTAL(103,LoanTrack[Column15])</f>
        <v>0</v>
      </c>
      <c r="W30" s="306">
        <f>SUBTOTAL(109,LoanTrack[Column16])</f>
        <v>0</v>
      </c>
      <c r="X30" s="306" t="str">
        <f>IFERROR(SUBTOTAL(101,X26:X29),"")</f>
        <v/>
      </c>
      <c r="Y30" s="306">
        <f>SUBTOTAL(103,LoanTrack[Column18])</f>
        <v>0</v>
      </c>
      <c r="Z30" s="306">
        <f>SUBTOTAL(109,LoanTrack[Column19])</f>
        <v>0</v>
      </c>
      <c r="AA30" s="306" t="str">
        <f>IFERROR(SUBTOTAL(101,AA26:AA29),"")</f>
        <v/>
      </c>
      <c r="AB30" s="306">
        <f>SUBTOTAL(103,LoanTrack[Column21])</f>
        <v>0</v>
      </c>
      <c r="AC30" s="306">
        <f>SUBTOTAL(109,LoanTrack[Column22])</f>
        <v>0</v>
      </c>
      <c r="AD30" s="306" t="str">
        <f>IFERROR(SUBTOTAL(101,AD26:AD29),"")</f>
        <v/>
      </c>
      <c r="AE30" s="306">
        <f>SUBTOTAL(103,LoanTrack[Column24])</f>
        <v>0</v>
      </c>
      <c r="AF30" s="306">
        <f>SUBTOTAL(109,LoanTrack[Column25])</f>
        <v>0</v>
      </c>
      <c r="AG30" s="306" t="str">
        <f>IFERROR(SUBTOTAL(101,AG26:AG29),"")</f>
        <v/>
      </c>
      <c r="AH30" s="306">
        <f>SUBTOTAL(103,LoanTrack[Column27])</f>
        <v>0</v>
      </c>
      <c r="AI30" s="306">
        <f>SUBTOTAL(109,LoanTrack[Column28])</f>
        <v>0</v>
      </c>
      <c r="AJ30" s="306" t="str">
        <f>IFERROR(SUBTOTAL(101,AJ26:AJ29),"")</f>
        <v/>
      </c>
      <c r="AK30" s="306">
        <f>SUBTOTAL(103,LoanTrack[Column30])</f>
        <v>0</v>
      </c>
      <c r="AL30" s="306">
        <f>SUBTOTAL(109,LoanTrack[Column31])</f>
        <v>0</v>
      </c>
      <c r="AM30" s="306" t="str">
        <f>IFERROR(SUBTOTAL(101,AM26:AM29),"")</f>
        <v/>
      </c>
      <c r="AN30" s="306">
        <f>SUBTOTAL(103,LoanTrack[Column33])</f>
        <v>0</v>
      </c>
      <c r="AO30" s="306">
        <f>SUBTOTAL(109,LoanTrack[Column34])</f>
        <v>0</v>
      </c>
      <c r="AP30" s="306" t="str">
        <f>IFERROR(SUBTOTAL(101,AP26:AP29),"")</f>
        <v/>
      </c>
      <c r="AQ30" s="306">
        <f>SUBTOTAL(103,LoanTrack[Column36])</f>
        <v>0</v>
      </c>
      <c r="AR30" s="306">
        <f>SUBTOTAL(109,LoanTrack[Column37])</f>
        <v>0</v>
      </c>
      <c r="AS30" s="306" t="str">
        <f>IFERROR(SUBTOTAL(101,AS26:AS29),"")</f>
        <v/>
      </c>
      <c r="AT30" s="306">
        <f>SUBTOTAL(103,LoanTrack[Column39])</f>
        <v>0</v>
      </c>
      <c r="AU30" s="306">
        <f>SUBTOTAL(109,LoanTrack[Column40])</f>
        <v>0</v>
      </c>
      <c r="AV30" s="306" t="str">
        <f>IFERROR(SUBTOTAL(101,AV26:AV29),"")</f>
        <v/>
      </c>
      <c r="AW30" s="306">
        <f>SUBTOTAL(103,LoanTrack[Column42])</f>
        <v>0</v>
      </c>
      <c r="AX30" s="306">
        <f>SUBTOTAL(109,LoanTrack[Column43])</f>
        <v>0</v>
      </c>
      <c r="AY30" s="306" t="str">
        <f>IFERROR(SUBTOTAL(101,AY26:AY29),"")</f>
        <v/>
      </c>
      <c r="AZ30" s="306">
        <f>SUBTOTAL(103,LoanTrack[Column45])</f>
        <v>0</v>
      </c>
      <c r="BA30" s="306">
        <f>SUBTOTAL(109,LoanTrack[Column46])</f>
        <v>0</v>
      </c>
      <c r="BB30" s="306" t="str">
        <f>IFERROR(SUBTOTAL(101,BB26:BB29),"")</f>
        <v/>
      </c>
      <c r="BC30" s="308">
        <f>SUBTOTAL(103,LoanTrack[Column48])</f>
        <v>0</v>
      </c>
    </row>
  </sheetData>
  <mergeCells count="162">
    <mergeCell ref="B2:Z2"/>
    <mergeCell ref="B3:D3"/>
    <mergeCell ref="E3:G3"/>
    <mergeCell ref="H3:J3"/>
    <mergeCell ref="K3:N3"/>
    <mergeCell ref="O3:R3"/>
    <mergeCell ref="S3:V3"/>
    <mergeCell ref="W3:Z3"/>
    <mergeCell ref="W4:Z4"/>
    <mergeCell ref="B5:D5"/>
    <mergeCell ref="E5:G5"/>
    <mergeCell ref="H5:J5"/>
    <mergeCell ref="K5:N5"/>
    <mergeCell ref="O5:R5"/>
    <mergeCell ref="S5:V5"/>
    <mergeCell ref="W5:Z5"/>
    <mergeCell ref="B4:D4"/>
    <mergeCell ref="E4:G4"/>
    <mergeCell ref="H4:J4"/>
    <mergeCell ref="K4:N4"/>
    <mergeCell ref="O4:R4"/>
    <mergeCell ref="S4:V4"/>
    <mergeCell ref="W6:Z6"/>
    <mergeCell ref="B7:D7"/>
    <mergeCell ref="E7:G7"/>
    <mergeCell ref="H7:J7"/>
    <mergeCell ref="K7:N7"/>
    <mergeCell ref="O7:R7"/>
    <mergeCell ref="S7:V7"/>
    <mergeCell ref="W7:Z7"/>
    <mergeCell ref="B6:D6"/>
    <mergeCell ref="E6:G6"/>
    <mergeCell ref="H6:J6"/>
    <mergeCell ref="K6:N6"/>
    <mergeCell ref="O6:R6"/>
    <mergeCell ref="S6:V6"/>
    <mergeCell ref="W8:Z8"/>
    <mergeCell ref="B9:D9"/>
    <mergeCell ref="E9:G9"/>
    <mergeCell ref="H9:J9"/>
    <mergeCell ref="K9:N9"/>
    <mergeCell ref="O9:R9"/>
    <mergeCell ref="S9:V9"/>
    <mergeCell ref="W9:Z9"/>
    <mergeCell ref="B8:D8"/>
    <mergeCell ref="E8:G8"/>
    <mergeCell ref="H8:J8"/>
    <mergeCell ref="K8:N8"/>
    <mergeCell ref="O8:R8"/>
    <mergeCell ref="S8:V8"/>
    <mergeCell ref="W10:Z10"/>
    <mergeCell ref="B11:D11"/>
    <mergeCell ref="E11:G11"/>
    <mergeCell ref="H11:J11"/>
    <mergeCell ref="K11:N11"/>
    <mergeCell ref="O11:R11"/>
    <mergeCell ref="S11:V11"/>
    <mergeCell ref="W11:Z11"/>
    <mergeCell ref="B10:D10"/>
    <mergeCell ref="E10:G10"/>
    <mergeCell ref="H10:J10"/>
    <mergeCell ref="K10:N10"/>
    <mergeCell ref="O10:R10"/>
    <mergeCell ref="S10:V10"/>
    <mergeCell ref="W12:Z12"/>
    <mergeCell ref="B13:D13"/>
    <mergeCell ref="E13:G13"/>
    <mergeCell ref="H13:J13"/>
    <mergeCell ref="K13:N13"/>
    <mergeCell ref="O13:R13"/>
    <mergeCell ref="S13:V13"/>
    <mergeCell ref="W13:Z13"/>
    <mergeCell ref="B12:D12"/>
    <mergeCell ref="E12:G12"/>
    <mergeCell ref="H12:J12"/>
    <mergeCell ref="K12:N12"/>
    <mergeCell ref="O12:R12"/>
    <mergeCell ref="S12:V12"/>
    <mergeCell ref="W14:Z14"/>
    <mergeCell ref="B15:D15"/>
    <mergeCell ref="E15:G15"/>
    <mergeCell ref="H15:J15"/>
    <mergeCell ref="K15:N15"/>
    <mergeCell ref="O15:R15"/>
    <mergeCell ref="S15:V15"/>
    <mergeCell ref="W15:Z15"/>
    <mergeCell ref="B14:D14"/>
    <mergeCell ref="E14:G14"/>
    <mergeCell ref="H14:J14"/>
    <mergeCell ref="K14:N14"/>
    <mergeCell ref="O14:R14"/>
    <mergeCell ref="S14:V14"/>
    <mergeCell ref="E21:G21"/>
    <mergeCell ref="H21:J21"/>
    <mergeCell ref="K21:N21"/>
    <mergeCell ref="O21:R21"/>
    <mergeCell ref="S21:V21"/>
    <mergeCell ref="W21:Z21"/>
    <mergeCell ref="W16:Z16"/>
    <mergeCell ref="B17:D17"/>
    <mergeCell ref="E17:G17"/>
    <mergeCell ref="H17:J17"/>
    <mergeCell ref="K17:N17"/>
    <mergeCell ref="O17:R17"/>
    <mergeCell ref="S17:V17"/>
    <mergeCell ref="W17:Z17"/>
    <mergeCell ref="B16:D16"/>
    <mergeCell ref="E16:G16"/>
    <mergeCell ref="H16:J16"/>
    <mergeCell ref="K16:N16"/>
    <mergeCell ref="O16:R16"/>
    <mergeCell ref="S16:V16"/>
    <mergeCell ref="W18:Z18"/>
    <mergeCell ref="B19:D19"/>
    <mergeCell ref="E19:G19"/>
    <mergeCell ref="H19:J19"/>
    <mergeCell ref="K19:N19"/>
    <mergeCell ref="O19:R19"/>
    <mergeCell ref="S19:V19"/>
    <mergeCell ref="W19:Z19"/>
    <mergeCell ref="B18:D18"/>
    <mergeCell ref="E18:G18"/>
    <mergeCell ref="H18:J18"/>
    <mergeCell ref="K18:N18"/>
    <mergeCell ref="O18:R18"/>
    <mergeCell ref="S18:V18"/>
    <mergeCell ref="J24:J25"/>
    <mergeCell ref="K24:K25"/>
    <mergeCell ref="L24:M25"/>
    <mergeCell ref="N24:N25"/>
    <mergeCell ref="O24:R24"/>
    <mergeCell ref="S24:U24"/>
    <mergeCell ref="B20:D20"/>
    <mergeCell ref="E20:G20"/>
    <mergeCell ref="H20:J20"/>
    <mergeCell ref="K20:N20"/>
    <mergeCell ref="O20:R20"/>
    <mergeCell ref="S20:V20"/>
    <mergeCell ref="B24:B25"/>
    <mergeCell ref="C24:C25"/>
    <mergeCell ref="D24:D25"/>
    <mergeCell ref="E24:E25"/>
    <mergeCell ref="F24:F25"/>
    <mergeCell ref="G24:G25"/>
    <mergeCell ref="H24:H25"/>
    <mergeCell ref="I24:I25"/>
    <mergeCell ref="B23:N23"/>
    <mergeCell ref="O23:BC23"/>
    <mergeCell ref="W20:Z20"/>
    <mergeCell ref="B21:D21"/>
    <mergeCell ref="AQ24:AS24"/>
    <mergeCell ref="AT24:AV24"/>
    <mergeCell ref="AW24:AY24"/>
    <mergeCell ref="AZ24:BB24"/>
    <mergeCell ref="BC24:BC25"/>
    <mergeCell ref="V24:X24"/>
    <mergeCell ref="Y24:AA24"/>
    <mergeCell ref="AB24:AD24"/>
    <mergeCell ref="AE24:AG24"/>
    <mergeCell ref="AN24:AP24"/>
    <mergeCell ref="AH24:AJ24"/>
    <mergeCell ref="AK24:AM24"/>
  </mergeCells>
  <dataValidations count="2">
    <dataValidation type="whole" allowBlank="1" showInputMessage="1" showErrorMessage="1" errorTitle="Error" error="Not a valid Date" promptTitle="Date" prompt="Insert a date (DD)" sqref="S65560:S65565 S131096:S131101 S196632:S196637 S262168:S262173 S327704:S327709 S393240:S393245 S458776:S458781 S524312:S524317 S589848:S589853 S655384:S655389 S720920:S720925 S786456:S786461 S851992:S851997 S917528:S917533 S983064:S983069 V65560:V65565 V131096:V131101 V196632:V196637 V262168:V262173 V327704:V327709 V393240:V393245 V458776:V458781 V524312:V524317 V589848:V589853 V655384:V655389 V720920:V720925 V786456:V786461 V851992:V851997 V917528:V917533 V983064:V983069 Y65560:Y65565 Y131096:Y131101 Y196632:Y196637 Y262168:Y262173 Y327704:Y327709 Y393240:Y393245 Y458776:Y458781 Y524312:Y524317 Y589848:Y589853 Y655384:Y655389 Y720920:Y720925 Y786456:Y786461 Y851992:Y851997 Y917528:Y917533 Y983064:Y983069 AB65560:AB65565 AB131096:AB131101 AB196632:AB196637 AB262168:AB262173 AB327704:AB327709 AB393240:AB393245 AB458776:AB458781 AB524312:AB524317 AB589848:AB589853 AB655384:AB655389 AB720920:AB720925 AB786456:AB786461 AB851992:AB851997 AB917528:AB917533 AB983064:AB983069 AE65560:AE65565 AE131096:AE131101 AE196632:AE196637 AE262168:AE262173 AE327704:AE327709 AE393240:AE393245 AE458776:AE458781 AE524312:AE524317 AE589848:AE589853 AE655384:AE655389 AE720920:AE720925 AE786456:AE786461 AE851992:AE851997 AE917528:AE917533 AE983064:AE983069 AH65560:AH65565 AH131096:AH131101 AH196632:AH196637 AH262168:AH262173 AH327704:AH327709 AH393240:AH393245 AH458776:AH458781 AH524312:AH524317 AH589848:AH589853 AH655384:AH655389 AH720920:AH720925 AH786456:AH786461 AH851992:AH851997 AH917528:AH917533 AH983064:AH983069 AK65560:AK65565 AK131096:AK131101 AK196632:AK196637 AK262168:AK262173 AK327704:AK327709 AK393240:AK393245 AK458776:AK458781 AK524312:AK524317 AK589848:AK589853 AK655384:AK655389 AK720920:AK720925 AK786456:AK786461 AK851992:AK851997 AK917528:AK917533 AK983064:AK983069 AN65560:AN65565 AN131096:AN131101 AN196632:AN196637 AN262168:AN262173 AN327704:AN327709 AN393240:AN393245 AN458776:AN458781 AN524312:AN524317 AN589848:AN589853 AN655384:AN655389 AN720920:AN720925 AN786456:AN786461 AN851992:AN851997 AN917528:AN917533 AN983064:AN983069 AQ65560:AQ65565 AQ131096:AQ131101 AQ196632:AQ196637 AQ262168:AQ262173 AQ327704:AQ327709 AQ393240:AQ393245 AQ458776:AQ458781 AQ524312:AQ524317 AQ589848:AQ589853 AQ655384:AQ655389 AQ720920:AQ720925 AQ786456:AQ786461 AQ851992:AQ851997 AQ917528:AQ917533 AQ983064:AQ983069 AT65560:AT65565 AT131096:AT131101 AT196632:AT196637 AT262168:AT262173 AT327704:AT327709 AT393240:AT393245 AT458776:AT458781 AT524312:AT524317 AT589848:AT589853 AT655384:AT655389 AT720920:AT720925 AT786456:AT786461 AT851992:AT851997 AT917528:AT917533 AT983064:AT983069 AW65560:AW65565 AW131096:AW131101 AW196632:AW196637 AW262168:AW262173 AW327704:AW327709 AW393240:AW393245 AW458776:AW458781 AW524312:AW524317 AW589848:AW589853 AW655384:AW655389 AW720920:AW720925 AW786456:AW786461 AW851992:AW851997 AW917528:AW917533 AW983064:AW983069 AZ65560:AZ65565 AZ131096:AZ131101 AZ196632:AZ196637 AZ262168:AZ262173 AZ327704:AZ327709 AZ393240:AZ393245 AZ458776:AZ458781 AZ524312:AZ524317 AZ589848:AZ589853 AZ655384:AZ655389 AZ720920:AZ720925 AZ786456:AZ786461 AZ851992:AZ851997 AZ917528:AZ917533 AZ983064:AZ983069 AZ26:AZ29 AW26:AW29 AT26:AT29 AQ26:AQ29 AN26:AN29 AK26:AK29 AH26:AH29 AE26:AE29 AB26:AB29 Y26:Y29 V26:V29 S26:S29" xr:uid="{8594A090-0A02-4B9A-B11E-9AC7B01ED99A}">
      <formula1>1</formula1>
      <formula2>31</formula2>
    </dataValidation>
    <dataValidation type="list" allowBlank="1" showInputMessage="1" showErrorMessage="1" sqref="C65560:C65565 C131096:C131101 C196632:C196637 C262168:C262173 C327704:C327709 C393240:C393245 C458776:C458781 C524312:C524317 C589848:C589853 C655384:C655389 C720920:C720925 C786456:C786461 C851992:C851997 C917528:C917533 C983064:C983069" xr:uid="{9374E62A-7F0C-4C4A-8753-2A5F9DFD76A5}">
      <formula1>"Home Loan, LAP,Vehicle Loan,CVL, Personal Loan,Business Loan, CC/OD,Term Loan,Machinery Loan,Education Loan"</formula1>
    </dataValidation>
  </dataValidation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2"/>
  <dimension ref="A1:T27"/>
  <sheetViews>
    <sheetView workbookViewId="0">
      <selection activeCell="C7" sqref="C7"/>
    </sheetView>
  </sheetViews>
  <sheetFormatPr defaultColWidth="0" defaultRowHeight="15" zeroHeight="1" x14ac:dyDescent="0.25"/>
  <cols>
    <col min="1" max="1" width="9.140625" style="13" customWidth="1"/>
    <col min="2" max="2" width="163" style="13" customWidth="1"/>
    <col min="3" max="3" width="1.85546875" style="13" customWidth="1"/>
    <col min="4" max="20" width="0" style="13" hidden="1" customWidth="1"/>
    <col min="21" max="16384" width="9.140625" style="13" hidden="1"/>
  </cols>
  <sheetData>
    <row r="1" spans="1:2" ht="20.25" x14ac:dyDescent="0.3">
      <c r="A1" s="481" t="s">
        <v>686</v>
      </c>
      <c r="B1" s="481"/>
    </row>
    <row r="2" spans="1:2" x14ac:dyDescent="0.25">
      <c r="A2" s="9">
        <v>1</v>
      </c>
      <c r="B2" s="115"/>
    </row>
    <row r="3" spans="1:2" x14ac:dyDescent="0.25">
      <c r="A3" s="9">
        <v>2</v>
      </c>
      <c r="B3" s="115"/>
    </row>
    <row r="4" spans="1:2" x14ac:dyDescent="0.25">
      <c r="A4" s="9">
        <v>3</v>
      </c>
      <c r="B4" s="115"/>
    </row>
    <row r="5" spans="1:2" x14ac:dyDescent="0.25">
      <c r="A5" s="9">
        <v>4</v>
      </c>
      <c r="B5" s="115"/>
    </row>
    <row r="6" spans="1:2" x14ac:dyDescent="0.25">
      <c r="A6" s="9">
        <v>5</v>
      </c>
      <c r="B6" s="115"/>
    </row>
    <row r="7" spans="1:2" x14ac:dyDescent="0.25">
      <c r="A7" s="9">
        <v>6</v>
      </c>
      <c r="B7" s="115"/>
    </row>
    <row r="8" spans="1:2" x14ac:dyDescent="0.25">
      <c r="A8" s="9">
        <v>7</v>
      </c>
      <c r="B8" s="115"/>
    </row>
    <row r="9" spans="1:2" x14ac:dyDescent="0.25">
      <c r="A9" s="9">
        <v>8</v>
      </c>
      <c r="B9" s="115"/>
    </row>
    <row r="10" spans="1:2" x14ac:dyDescent="0.25">
      <c r="A10" s="9">
        <v>9</v>
      </c>
      <c r="B10" s="115"/>
    </row>
    <row r="11" spans="1:2" x14ac:dyDescent="0.25">
      <c r="A11" s="9">
        <v>10</v>
      </c>
      <c r="B11" s="115"/>
    </row>
    <row r="12" spans="1:2" x14ac:dyDescent="0.25">
      <c r="A12" s="9">
        <v>11</v>
      </c>
      <c r="B12" s="115"/>
    </row>
    <row r="13" spans="1:2" x14ac:dyDescent="0.25">
      <c r="A13" s="9">
        <v>12</v>
      </c>
      <c r="B13" s="115"/>
    </row>
    <row r="14" spans="1:2" x14ac:dyDescent="0.25">
      <c r="A14" s="9">
        <v>13</v>
      </c>
      <c r="B14" s="115"/>
    </row>
    <row r="15" spans="1:2" x14ac:dyDescent="0.25">
      <c r="A15" s="9">
        <v>14</v>
      </c>
      <c r="B15" s="115"/>
    </row>
    <row r="16" spans="1:2" x14ac:dyDescent="0.25">
      <c r="A16" s="9">
        <v>15</v>
      </c>
      <c r="B16" s="115"/>
    </row>
    <row r="17" spans="1:2" x14ac:dyDescent="0.25">
      <c r="A17" s="9">
        <v>16</v>
      </c>
      <c r="B17" s="115"/>
    </row>
    <row r="18" spans="1:2" x14ac:dyDescent="0.25">
      <c r="A18" s="9">
        <v>17</v>
      </c>
      <c r="B18" s="115"/>
    </row>
    <row r="19" spans="1:2" x14ac:dyDescent="0.25">
      <c r="A19" s="9">
        <v>18</v>
      </c>
      <c r="B19" s="115"/>
    </row>
    <row r="20" spans="1:2" x14ac:dyDescent="0.25">
      <c r="A20" s="9">
        <v>19</v>
      </c>
      <c r="B20" s="115"/>
    </row>
    <row r="21" spans="1:2" x14ac:dyDescent="0.25">
      <c r="A21" s="9">
        <v>20</v>
      </c>
      <c r="B21" s="115"/>
    </row>
    <row r="22" spans="1:2" x14ac:dyDescent="0.25">
      <c r="A22" s="9">
        <v>21</v>
      </c>
      <c r="B22" s="115"/>
    </row>
    <row r="23" spans="1:2" x14ac:dyDescent="0.25">
      <c r="A23" s="9">
        <v>22</v>
      </c>
      <c r="B23" s="115"/>
    </row>
    <row r="24" spans="1:2" x14ac:dyDescent="0.25">
      <c r="A24" s="9">
        <v>23</v>
      </c>
      <c r="B24" s="115"/>
    </row>
    <row r="25" spans="1:2" x14ac:dyDescent="0.25">
      <c r="A25" s="9">
        <v>24</v>
      </c>
      <c r="B25" s="115"/>
    </row>
    <row r="26" spans="1:2" x14ac:dyDescent="0.25">
      <c r="A26" s="9">
        <v>25</v>
      </c>
      <c r="B26" s="115"/>
    </row>
    <row r="27" spans="1:2" ht="7.5" customHeight="1" x14ac:dyDescent="0.25"/>
  </sheetData>
  <sheetProtection algorithmName="SHA-512" hashValue="PPMi3W9XPbmC0sMN6gb1LodLZrXd7tECKsVlQPd+NYaXTukOV7eUAtTGktWIa7+RBFmNy731UVAAAIuDDJAJyQ==" saltValue="W5d3FS9HCyI5CyvEgdA8mA==" spinCount="100000" sheet="1" objects="1" scenarios="1"/>
  <mergeCells count="1">
    <mergeCell ref="A1:B1"/>
  </mergeCells>
  <pageMargins left="0.7" right="0.7" top="0.75" bottom="0.75" header="0.3" footer="0.3"/>
  <pageSetup paperSize="9" orientation="portrait" horizontalDpi="4294967295" verticalDpi="4294967295"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dimension ref="A1:U92"/>
  <sheetViews>
    <sheetView workbookViewId="0">
      <pane xSplit="1" ySplit="2" topLeftCell="B3" activePane="bottomRight" state="frozen"/>
      <selection pane="topRight" activeCell="B1" sqref="B1"/>
      <selection pane="bottomLeft" activeCell="A4" sqref="A4"/>
      <selection pane="bottomRight" activeCell="F5" sqref="F5"/>
    </sheetView>
  </sheetViews>
  <sheetFormatPr defaultColWidth="0" defaultRowHeight="15" zeroHeight="1" x14ac:dyDescent="0.25"/>
  <cols>
    <col min="1" max="1" width="5.28515625" style="13" bestFit="1" customWidth="1"/>
    <col min="2" max="2" width="48.140625" style="13" customWidth="1"/>
    <col min="3" max="3" width="24" style="13" customWidth="1"/>
    <col min="4" max="4" width="19" style="13" bestFit="1" customWidth="1"/>
    <col min="5" max="5" width="19" style="13" customWidth="1"/>
    <col min="6" max="6" width="16.140625" style="13" customWidth="1"/>
    <col min="7" max="7" width="14.28515625" style="13" bestFit="1" customWidth="1"/>
    <col min="8" max="9" width="8" style="13" bestFit="1" customWidth="1"/>
    <col min="10" max="10" width="14.42578125" style="13" bestFit="1" customWidth="1"/>
    <col min="11" max="11" width="1.85546875" style="13" customWidth="1"/>
    <col min="12" max="20" width="9.140625" style="13" hidden="1" customWidth="1"/>
    <col min="21" max="21" width="0" style="13" hidden="1" customWidth="1"/>
    <col min="22" max="16384" width="9.140625" style="13" hidden="1"/>
  </cols>
  <sheetData>
    <row r="1" spans="1:10" ht="20.25" x14ac:dyDescent="0.3">
      <c r="A1" s="626" t="s">
        <v>688</v>
      </c>
      <c r="B1" s="627"/>
      <c r="C1" s="627"/>
      <c r="D1" s="627"/>
      <c r="E1" s="627"/>
      <c r="F1" s="627"/>
      <c r="G1" s="627"/>
      <c r="H1" s="627"/>
      <c r="I1" s="627"/>
      <c r="J1" s="628"/>
    </row>
    <row r="2" spans="1:10" x14ac:dyDescent="0.25">
      <c r="A2" s="86" t="s">
        <v>887</v>
      </c>
      <c r="B2" s="86" t="s">
        <v>888</v>
      </c>
      <c r="C2" s="86" t="s">
        <v>889</v>
      </c>
      <c r="D2" s="86" t="s">
        <v>689</v>
      </c>
      <c r="E2" s="86" t="s">
        <v>895</v>
      </c>
      <c r="F2" s="86" t="s">
        <v>890</v>
      </c>
      <c r="G2" s="86" t="s">
        <v>891</v>
      </c>
      <c r="H2" s="86" t="s">
        <v>892</v>
      </c>
      <c r="I2" s="86" t="s">
        <v>893</v>
      </c>
      <c r="J2" s="86" t="s">
        <v>894</v>
      </c>
    </row>
    <row r="3" spans="1:10" x14ac:dyDescent="0.25">
      <c r="A3" s="87">
        <v>1</v>
      </c>
      <c r="B3" s="85"/>
      <c r="C3" s="85"/>
      <c r="D3" s="78"/>
      <c r="E3" s="85"/>
      <c r="F3" s="90" t="str">
        <f>IFERROR(E3/E$68,"-")</f>
        <v>-</v>
      </c>
      <c r="G3" s="78"/>
      <c r="H3" s="85"/>
      <c r="I3" s="85"/>
      <c r="J3" s="78"/>
    </row>
    <row r="4" spans="1:10" x14ac:dyDescent="0.25">
      <c r="A4" s="87">
        <v>2</v>
      </c>
      <c r="B4" s="85"/>
      <c r="C4" s="85"/>
      <c r="D4" s="78"/>
      <c r="E4" s="85"/>
      <c r="F4" s="90" t="str">
        <f t="shared" ref="F4:F67" si="0">IFERROR(E4/E$68,"-")</f>
        <v>-</v>
      </c>
      <c r="G4" s="78"/>
      <c r="H4" s="85"/>
      <c r="I4" s="85"/>
      <c r="J4" s="78"/>
    </row>
    <row r="5" spans="1:10" x14ac:dyDescent="0.25">
      <c r="A5" s="87">
        <v>3</v>
      </c>
      <c r="B5" s="85"/>
      <c r="C5" s="85"/>
      <c r="D5" s="78"/>
      <c r="E5" s="85"/>
      <c r="F5" s="90" t="str">
        <f t="shared" si="0"/>
        <v>-</v>
      </c>
      <c r="G5" s="78"/>
      <c r="H5" s="85"/>
      <c r="I5" s="85"/>
      <c r="J5" s="78"/>
    </row>
    <row r="6" spans="1:10" x14ac:dyDescent="0.25">
      <c r="A6" s="87">
        <v>4</v>
      </c>
      <c r="B6" s="85"/>
      <c r="C6" s="85"/>
      <c r="D6" s="78"/>
      <c r="E6" s="85"/>
      <c r="F6" s="90" t="str">
        <f t="shared" si="0"/>
        <v>-</v>
      </c>
      <c r="G6" s="78"/>
      <c r="H6" s="85"/>
      <c r="I6" s="85"/>
      <c r="J6" s="78"/>
    </row>
    <row r="7" spans="1:10" x14ac:dyDescent="0.25">
      <c r="A7" s="87">
        <v>5</v>
      </c>
      <c r="B7" s="85"/>
      <c r="C7" s="85"/>
      <c r="D7" s="78"/>
      <c r="E7" s="85"/>
      <c r="F7" s="90" t="str">
        <f t="shared" si="0"/>
        <v>-</v>
      </c>
      <c r="G7" s="78"/>
      <c r="H7" s="85"/>
      <c r="I7" s="85"/>
      <c r="J7" s="78"/>
    </row>
    <row r="8" spans="1:10" x14ac:dyDescent="0.25">
      <c r="A8" s="87">
        <v>6</v>
      </c>
      <c r="B8" s="85"/>
      <c r="C8" s="85"/>
      <c r="D8" s="78"/>
      <c r="E8" s="85"/>
      <c r="F8" s="90" t="str">
        <f t="shared" si="0"/>
        <v>-</v>
      </c>
      <c r="G8" s="78"/>
      <c r="H8" s="85"/>
      <c r="I8" s="85"/>
      <c r="J8" s="78"/>
    </row>
    <row r="9" spans="1:10" x14ac:dyDescent="0.25">
      <c r="A9" s="87">
        <v>7</v>
      </c>
      <c r="B9" s="85"/>
      <c r="C9" s="85"/>
      <c r="D9" s="78"/>
      <c r="E9" s="85"/>
      <c r="F9" s="90" t="str">
        <f t="shared" si="0"/>
        <v>-</v>
      </c>
      <c r="G9" s="78"/>
      <c r="H9" s="85"/>
      <c r="I9" s="85"/>
      <c r="J9" s="78"/>
    </row>
    <row r="10" spans="1:10" x14ac:dyDescent="0.25">
      <c r="A10" s="87">
        <v>8</v>
      </c>
      <c r="B10" s="85"/>
      <c r="C10" s="85"/>
      <c r="D10" s="78"/>
      <c r="E10" s="85"/>
      <c r="F10" s="90" t="str">
        <f t="shared" si="0"/>
        <v>-</v>
      </c>
      <c r="G10" s="78"/>
      <c r="H10" s="85"/>
      <c r="I10" s="85"/>
      <c r="J10" s="78"/>
    </row>
    <row r="11" spans="1:10" x14ac:dyDescent="0.25">
      <c r="A11" s="87">
        <v>9</v>
      </c>
      <c r="B11" s="85"/>
      <c r="C11" s="85"/>
      <c r="D11" s="78"/>
      <c r="E11" s="85"/>
      <c r="F11" s="90" t="str">
        <f t="shared" si="0"/>
        <v>-</v>
      </c>
      <c r="G11" s="78"/>
      <c r="H11" s="85"/>
      <c r="I11" s="85"/>
      <c r="J11" s="78"/>
    </row>
    <row r="12" spans="1:10" x14ac:dyDescent="0.25">
      <c r="A12" s="87">
        <v>10</v>
      </c>
      <c r="B12" s="85"/>
      <c r="C12" s="85"/>
      <c r="D12" s="78"/>
      <c r="E12" s="85"/>
      <c r="F12" s="90" t="str">
        <f t="shared" si="0"/>
        <v>-</v>
      </c>
      <c r="G12" s="78"/>
      <c r="H12" s="85"/>
      <c r="I12" s="85"/>
      <c r="J12" s="78"/>
    </row>
    <row r="13" spans="1:10" x14ac:dyDescent="0.25">
      <c r="A13" s="87">
        <v>11</v>
      </c>
      <c r="B13" s="85"/>
      <c r="C13" s="85"/>
      <c r="D13" s="78"/>
      <c r="E13" s="85"/>
      <c r="F13" s="90" t="str">
        <f t="shared" si="0"/>
        <v>-</v>
      </c>
      <c r="G13" s="78"/>
      <c r="H13" s="85"/>
      <c r="I13" s="85"/>
      <c r="J13" s="78"/>
    </row>
    <row r="14" spans="1:10" x14ac:dyDescent="0.25">
      <c r="A14" s="87">
        <v>12</v>
      </c>
      <c r="B14" s="85"/>
      <c r="C14" s="85"/>
      <c r="D14" s="78"/>
      <c r="E14" s="85"/>
      <c r="F14" s="90" t="str">
        <f t="shared" si="0"/>
        <v>-</v>
      </c>
      <c r="G14" s="78"/>
      <c r="H14" s="85"/>
      <c r="I14" s="85"/>
      <c r="J14" s="78"/>
    </row>
    <row r="15" spans="1:10" x14ac:dyDescent="0.25">
      <c r="A15" s="87">
        <v>13</v>
      </c>
      <c r="B15" s="85"/>
      <c r="C15" s="85"/>
      <c r="D15" s="78"/>
      <c r="E15" s="85"/>
      <c r="F15" s="90" t="str">
        <f t="shared" si="0"/>
        <v>-</v>
      </c>
      <c r="G15" s="78"/>
      <c r="H15" s="85"/>
      <c r="I15" s="85"/>
      <c r="J15" s="78"/>
    </row>
    <row r="16" spans="1:10" x14ac:dyDescent="0.25">
      <c r="A16" s="87">
        <v>14</v>
      </c>
      <c r="B16" s="85"/>
      <c r="C16" s="85"/>
      <c r="D16" s="78"/>
      <c r="E16" s="85"/>
      <c r="F16" s="90" t="str">
        <f t="shared" si="0"/>
        <v>-</v>
      </c>
      <c r="G16" s="78"/>
      <c r="H16" s="85"/>
      <c r="I16" s="85"/>
      <c r="J16" s="78"/>
    </row>
    <row r="17" spans="1:10" x14ac:dyDescent="0.25">
      <c r="A17" s="87">
        <v>15</v>
      </c>
      <c r="B17" s="85"/>
      <c r="C17" s="85"/>
      <c r="D17" s="78"/>
      <c r="E17" s="85"/>
      <c r="F17" s="90" t="str">
        <f t="shared" si="0"/>
        <v>-</v>
      </c>
      <c r="G17" s="78"/>
      <c r="H17" s="85"/>
      <c r="I17" s="85"/>
      <c r="J17" s="78"/>
    </row>
    <row r="18" spans="1:10" x14ac:dyDescent="0.25">
      <c r="A18" s="87">
        <v>16</v>
      </c>
      <c r="B18" s="85"/>
      <c r="C18" s="85"/>
      <c r="D18" s="78"/>
      <c r="E18" s="85"/>
      <c r="F18" s="90" t="str">
        <f t="shared" si="0"/>
        <v>-</v>
      </c>
      <c r="G18" s="78"/>
      <c r="H18" s="85"/>
      <c r="I18" s="85"/>
      <c r="J18" s="78"/>
    </row>
    <row r="19" spans="1:10" x14ac:dyDescent="0.25">
      <c r="A19" s="87">
        <v>17</v>
      </c>
      <c r="B19" s="85"/>
      <c r="C19" s="85"/>
      <c r="D19" s="78"/>
      <c r="E19" s="85"/>
      <c r="F19" s="90" t="str">
        <f t="shared" si="0"/>
        <v>-</v>
      </c>
      <c r="G19" s="78"/>
      <c r="H19" s="85"/>
      <c r="I19" s="85"/>
      <c r="J19" s="78"/>
    </row>
    <row r="20" spans="1:10" x14ac:dyDescent="0.25">
      <c r="A20" s="87">
        <v>18</v>
      </c>
      <c r="B20" s="85"/>
      <c r="C20" s="85"/>
      <c r="D20" s="78"/>
      <c r="E20" s="85"/>
      <c r="F20" s="90" t="str">
        <f t="shared" si="0"/>
        <v>-</v>
      </c>
      <c r="G20" s="78"/>
      <c r="H20" s="85"/>
      <c r="I20" s="85"/>
      <c r="J20" s="78"/>
    </row>
    <row r="21" spans="1:10" x14ac:dyDescent="0.25">
      <c r="A21" s="87">
        <v>19</v>
      </c>
      <c r="B21" s="85"/>
      <c r="C21" s="85"/>
      <c r="D21" s="78"/>
      <c r="E21" s="85"/>
      <c r="F21" s="90" t="str">
        <f t="shared" si="0"/>
        <v>-</v>
      </c>
      <c r="G21" s="78"/>
      <c r="H21" s="85"/>
      <c r="I21" s="85"/>
      <c r="J21" s="78"/>
    </row>
    <row r="22" spans="1:10" x14ac:dyDescent="0.25">
      <c r="A22" s="87">
        <v>20</v>
      </c>
      <c r="B22" s="85"/>
      <c r="C22" s="85"/>
      <c r="D22" s="78"/>
      <c r="E22" s="85"/>
      <c r="F22" s="90" t="str">
        <f t="shared" si="0"/>
        <v>-</v>
      </c>
      <c r="G22" s="78"/>
      <c r="H22" s="85"/>
      <c r="I22" s="85"/>
      <c r="J22" s="78"/>
    </row>
    <row r="23" spans="1:10" x14ac:dyDescent="0.25">
      <c r="A23" s="87">
        <v>21</v>
      </c>
      <c r="B23" s="85"/>
      <c r="C23" s="85"/>
      <c r="D23" s="78"/>
      <c r="E23" s="85"/>
      <c r="F23" s="90" t="str">
        <f t="shared" si="0"/>
        <v>-</v>
      </c>
      <c r="G23" s="78"/>
      <c r="H23" s="85"/>
      <c r="I23" s="85"/>
      <c r="J23" s="78"/>
    </row>
    <row r="24" spans="1:10" x14ac:dyDescent="0.25">
      <c r="A24" s="87">
        <v>22</v>
      </c>
      <c r="B24" s="85"/>
      <c r="C24" s="85"/>
      <c r="D24" s="78"/>
      <c r="E24" s="85"/>
      <c r="F24" s="90" t="str">
        <f t="shared" si="0"/>
        <v>-</v>
      </c>
      <c r="G24" s="78"/>
      <c r="H24" s="85"/>
      <c r="I24" s="85"/>
      <c r="J24" s="78"/>
    </row>
    <row r="25" spans="1:10" x14ac:dyDescent="0.25">
      <c r="A25" s="87">
        <v>23</v>
      </c>
      <c r="B25" s="85"/>
      <c r="C25" s="85"/>
      <c r="D25" s="78"/>
      <c r="E25" s="85"/>
      <c r="F25" s="90" t="str">
        <f t="shared" si="0"/>
        <v>-</v>
      </c>
      <c r="G25" s="78"/>
      <c r="H25" s="85"/>
      <c r="I25" s="85"/>
      <c r="J25" s="78"/>
    </row>
    <row r="26" spans="1:10" x14ac:dyDescent="0.25">
      <c r="A26" s="87">
        <v>24</v>
      </c>
      <c r="B26" s="85"/>
      <c r="C26" s="85"/>
      <c r="D26" s="78"/>
      <c r="E26" s="85"/>
      <c r="F26" s="90" t="str">
        <f t="shared" si="0"/>
        <v>-</v>
      </c>
      <c r="G26" s="78"/>
      <c r="H26" s="85"/>
      <c r="I26" s="85"/>
      <c r="J26" s="78"/>
    </row>
    <row r="27" spans="1:10" x14ac:dyDescent="0.25">
      <c r="A27" s="87">
        <v>25</v>
      </c>
      <c r="B27" s="85"/>
      <c r="C27" s="85"/>
      <c r="D27" s="78"/>
      <c r="E27" s="85"/>
      <c r="F27" s="90" t="str">
        <f t="shared" si="0"/>
        <v>-</v>
      </c>
      <c r="G27" s="78"/>
      <c r="H27" s="85"/>
      <c r="I27" s="85"/>
      <c r="J27" s="78"/>
    </row>
    <row r="28" spans="1:10" x14ac:dyDescent="0.25">
      <c r="A28" s="87">
        <v>26</v>
      </c>
      <c r="B28" s="85"/>
      <c r="C28" s="85"/>
      <c r="D28" s="78"/>
      <c r="E28" s="85"/>
      <c r="F28" s="90" t="str">
        <f t="shared" si="0"/>
        <v>-</v>
      </c>
      <c r="G28" s="78"/>
      <c r="H28" s="85"/>
      <c r="I28" s="85"/>
      <c r="J28" s="78"/>
    </row>
    <row r="29" spans="1:10" x14ac:dyDescent="0.25">
      <c r="A29" s="87">
        <v>27</v>
      </c>
      <c r="B29" s="85"/>
      <c r="C29" s="85"/>
      <c r="D29" s="78"/>
      <c r="E29" s="85"/>
      <c r="F29" s="90" t="str">
        <f t="shared" si="0"/>
        <v>-</v>
      </c>
      <c r="G29" s="78"/>
      <c r="H29" s="85"/>
      <c r="I29" s="85"/>
      <c r="J29" s="78"/>
    </row>
    <row r="30" spans="1:10" x14ac:dyDescent="0.25">
      <c r="A30" s="87">
        <v>28</v>
      </c>
      <c r="B30" s="85"/>
      <c r="C30" s="85"/>
      <c r="D30" s="78"/>
      <c r="E30" s="85"/>
      <c r="F30" s="90" t="str">
        <f t="shared" si="0"/>
        <v>-</v>
      </c>
      <c r="G30" s="78"/>
      <c r="H30" s="85"/>
      <c r="I30" s="85"/>
      <c r="J30" s="78"/>
    </row>
    <row r="31" spans="1:10" x14ac:dyDescent="0.25">
      <c r="A31" s="87">
        <v>29</v>
      </c>
      <c r="B31" s="85"/>
      <c r="C31" s="85"/>
      <c r="D31" s="78"/>
      <c r="E31" s="85"/>
      <c r="F31" s="90" t="str">
        <f t="shared" si="0"/>
        <v>-</v>
      </c>
      <c r="G31" s="78"/>
      <c r="H31" s="85"/>
      <c r="I31" s="85"/>
      <c r="J31" s="78"/>
    </row>
    <row r="32" spans="1:10" x14ac:dyDescent="0.25">
      <c r="A32" s="87">
        <v>30</v>
      </c>
      <c r="B32" s="85"/>
      <c r="C32" s="85"/>
      <c r="D32" s="78"/>
      <c r="E32" s="85"/>
      <c r="F32" s="90" t="str">
        <f t="shared" si="0"/>
        <v>-</v>
      </c>
      <c r="G32" s="78"/>
      <c r="H32" s="85"/>
      <c r="I32" s="85"/>
      <c r="J32" s="78"/>
    </row>
    <row r="33" spans="1:10" x14ac:dyDescent="0.25">
      <c r="A33" s="87">
        <v>31</v>
      </c>
      <c r="B33" s="85"/>
      <c r="C33" s="85"/>
      <c r="D33" s="78"/>
      <c r="E33" s="85"/>
      <c r="F33" s="90" t="str">
        <f t="shared" si="0"/>
        <v>-</v>
      </c>
      <c r="G33" s="78"/>
      <c r="H33" s="85"/>
      <c r="I33" s="85"/>
      <c r="J33" s="78"/>
    </row>
    <row r="34" spans="1:10" x14ac:dyDescent="0.25">
      <c r="A34" s="87">
        <v>32</v>
      </c>
      <c r="B34" s="85"/>
      <c r="C34" s="85"/>
      <c r="D34" s="78"/>
      <c r="E34" s="85"/>
      <c r="F34" s="90" t="str">
        <f t="shared" si="0"/>
        <v>-</v>
      </c>
      <c r="G34" s="78"/>
      <c r="H34" s="85"/>
      <c r="I34" s="85"/>
      <c r="J34" s="78"/>
    </row>
    <row r="35" spans="1:10" x14ac:dyDescent="0.25">
      <c r="A35" s="87">
        <v>33</v>
      </c>
      <c r="B35" s="85"/>
      <c r="C35" s="85"/>
      <c r="D35" s="78"/>
      <c r="E35" s="85"/>
      <c r="F35" s="90" t="str">
        <f t="shared" si="0"/>
        <v>-</v>
      </c>
      <c r="G35" s="78"/>
      <c r="H35" s="85"/>
      <c r="I35" s="85"/>
      <c r="J35" s="78"/>
    </row>
    <row r="36" spans="1:10" x14ac:dyDescent="0.25">
      <c r="A36" s="87">
        <v>34</v>
      </c>
      <c r="B36" s="85"/>
      <c r="C36" s="85"/>
      <c r="D36" s="78"/>
      <c r="E36" s="85"/>
      <c r="F36" s="90" t="str">
        <f t="shared" si="0"/>
        <v>-</v>
      </c>
      <c r="G36" s="78"/>
      <c r="H36" s="85"/>
      <c r="I36" s="85"/>
      <c r="J36" s="78"/>
    </row>
    <row r="37" spans="1:10" x14ac:dyDescent="0.25">
      <c r="A37" s="87">
        <v>35</v>
      </c>
      <c r="B37" s="85"/>
      <c r="C37" s="85"/>
      <c r="D37" s="78"/>
      <c r="E37" s="85"/>
      <c r="F37" s="90" t="str">
        <f t="shared" si="0"/>
        <v>-</v>
      </c>
      <c r="G37" s="78"/>
      <c r="H37" s="85"/>
      <c r="I37" s="85"/>
      <c r="J37" s="78"/>
    </row>
    <row r="38" spans="1:10" x14ac:dyDescent="0.25">
      <c r="A38" s="87">
        <v>36</v>
      </c>
      <c r="B38" s="85"/>
      <c r="C38" s="85"/>
      <c r="D38" s="78"/>
      <c r="E38" s="85"/>
      <c r="F38" s="90" t="str">
        <f t="shared" si="0"/>
        <v>-</v>
      </c>
      <c r="G38" s="78"/>
      <c r="H38" s="85"/>
      <c r="I38" s="85"/>
      <c r="J38" s="78"/>
    </row>
    <row r="39" spans="1:10" x14ac:dyDescent="0.25">
      <c r="A39" s="87">
        <v>37</v>
      </c>
      <c r="B39" s="85"/>
      <c r="C39" s="85"/>
      <c r="D39" s="78"/>
      <c r="E39" s="85"/>
      <c r="F39" s="90" t="str">
        <f t="shared" si="0"/>
        <v>-</v>
      </c>
      <c r="G39" s="78"/>
      <c r="H39" s="85"/>
      <c r="I39" s="85"/>
      <c r="J39" s="78"/>
    </row>
    <row r="40" spans="1:10" x14ac:dyDescent="0.25">
      <c r="A40" s="87">
        <v>38</v>
      </c>
      <c r="B40" s="85"/>
      <c r="C40" s="85"/>
      <c r="D40" s="78"/>
      <c r="E40" s="85"/>
      <c r="F40" s="90" t="str">
        <f t="shared" si="0"/>
        <v>-</v>
      </c>
      <c r="G40" s="78"/>
      <c r="H40" s="85"/>
      <c r="I40" s="85"/>
      <c r="J40" s="78"/>
    </row>
    <row r="41" spans="1:10" x14ac:dyDescent="0.25">
      <c r="A41" s="87">
        <v>39</v>
      </c>
      <c r="B41" s="85"/>
      <c r="C41" s="85"/>
      <c r="D41" s="78"/>
      <c r="E41" s="85"/>
      <c r="F41" s="90" t="str">
        <f t="shared" si="0"/>
        <v>-</v>
      </c>
      <c r="G41" s="78"/>
      <c r="H41" s="85"/>
      <c r="I41" s="85"/>
      <c r="J41" s="78"/>
    </row>
    <row r="42" spans="1:10" x14ac:dyDescent="0.25">
      <c r="A42" s="87">
        <v>40</v>
      </c>
      <c r="B42" s="85"/>
      <c r="C42" s="85"/>
      <c r="D42" s="78"/>
      <c r="E42" s="85"/>
      <c r="F42" s="90" t="str">
        <f t="shared" si="0"/>
        <v>-</v>
      </c>
      <c r="G42" s="78"/>
      <c r="H42" s="85"/>
      <c r="I42" s="85"/>
      <c r="J42" s="78"/>
    </row>
    <row r="43" spans="1:10" x14ac:dyDescent="0.25">
      <c r="A43" s="87">
        <v>41</v>
      </c>
      <c r="B43" s="85"/>
      <c r="C43" s="85"/>
      <c r="D43" s="78"/>
      <c r="E43" s="85"/>
      <c r="F43" s="90" t="str">
        <f t="shared" si="0"/>
        <v>-</v>
      </c>
      <c r="G43" s="78"/>
      <c r="H43" s="85"/>
      <c r="I43" s="85"/>
      <c r="J43" s="78"/>
    </row>
    <row r="44" spans="1:10" x14ac:dyDescent="0.25">
      <c r="A44" s="87">
        <v>42</v>
      </c>
      <c r="B44" s="85"/>
      <c r="C44" s="85"/>
      <c r="D44" s="78"/>
      <c r="E44" s="85"/>
      <c r="F44" s="90" t="str">
        <f t="shared" si="0"/>
        <v>-</v>
      </c>
      <c r="G44" s="78"/>
      <c r="H44" s="85"/>
      <c r="I44" s="85"/>
      <c r="J44" s="78"/>
    </row>
    <row r="45" spans="1:10" x14ac:dyDescent="0.25">
      <c r="A45" s="87">
        <v>43</v>
      </c>
      <c r="B45" s="85"/>
      <c r="C45" s="85"/>
      <c r="D45" s="78"/>
      <c r="E45" s="85"/>
      <c r="F45" s="90" t="str">
        <f t="shared" si="0"/>
        <v>-</v>
      </c>
      <c r="G45" s="78"/>
      <c r="H45" s="85"/>
      <c r="I45" s="85"/>
      <c r="J45" s="78"/>
    </row>
    <row r="46" spans="1:10" x14ac:dyDescent="0.25">
      <c r="A46" s="87">
        <v>44</v>
      </c>
      <c r="B46" s="85"/>
      <c r="C46" s="85"/>
      <c r="D46" s="78"/>
      <c r="E46" s="85"/>
      <c r="F46" s="90" t="str">
        <f t="shared" si="0"/>
        <v>-</v>
      </c>
      <c r="G46" s="78"/>
      <c r="H46" s="85"/>
      <c r="I46" s="85"/>
      <c r="J46" s="78"/>
    </row>
    <row r="47" spans="1:10" x14ac:dyDescent="0.25">
      <c r="A47" s="87">
        <v>45</v>
      </c>
      <c r="B47" s="85"/>
      <c r="C47" s="85"/>
      <c r="D47" s="78"/>
      <c r="E47" s="85"/>
      <c r="F47" s="90" t="str">
        <f t="shared" si="0"/>
        <v>-</v>
      </c>
      <c r="G47" s="78"/>
      <c r="H47" s="85"/>
      <c r="I47" s="85"/>
      <c r="J47" s="78"/>
    </row>
    <row r="48" spans="1:10" x14ac:dyDescent="0.25">
      <c r="A48" s="87">
        <v>46</v>
      </c>
      <c r="B48" s="85"/>
      <c r="C48" s="85"/>
      <c r="D48" s="78"/>
      <c r="E48" s="85"/>
      <c r="F48" s="90" t="str">
        <f t="shared" si="0"/>
        <v>-</v>
      </c>
      <c r="G48" s="78"/>
      <c r="H48" s="85"/>
      <c r="I48" s="85"/>
      <c r="J48" s="78"/>
    </row>
    <row r="49" spans="1:10" x14ac:dyDescent="0.25">
      <c r="A49" s="87">
        <v>47</v>
      </c>
      <c r="B49" s="85"/>
      <c r="C49" s="85"/>
      <c r="D49" s="78"/>
      <c r="E49" s="85"/>
      <c r="F49" s="90" t="str">
        <f t="shared" si="0"/>
        <v>-</v>
      </c>
      <c r="G49" s="78"/>
      <c r="H49" s="85"/>
      <c r="I49" s="85"/>
      <c r="J49" s="78"/>
    </row>
    <row r="50" spans="1:10" x14ac:dyDescent="0.25">
      <c r="A50" s="87">
        <v>48</v>
      </c>
      <c r="B50" s="85"/>
      <c r="C50" s="85"/>
      <c r="D50" s="78"/>
      <c r="E50" s="85"/>
      <c r="F50" s="90" t="str">
        <f t="shared" si="0"/>
        <v>-</v>
      </c>
      <c r="G50" s="78"/>
      <c r="H50" s="85"/>
      <c r="I50" s="85"/>
      <c r="J50" s="78"/>
    </row>
    <row r="51" spans="1:10" x14ac:dyDescent="0.25">
      <c r="A51" s="87">
        <v>49</v>
      </c>
      <c r="B51" s="85"/>
      <c r="C51" s="85"/>
      <c r="D51" s="78"/>
      <c r="E51" s="85"/>
      <c r="F51" s="90" t="str">
        <f t="shared" si="0"/>
        <v>-</v>
      </c>
      <c r="G51" s="78"/>
      <c r="H51" s="85"/>
      <c r="I51" s="85"/>
      <c r="J51" s="78"/>
    </row>
    <row r="52" spans="1:10" x14ac:dyDescent="0.25">
      <c r="A52" s="87">
        <v>50</v>
      </c>
      <c r="B52" s="85"/>
      <c r="C52" s="85"/>
      <c r="D52" s="78"/>
      <c r="E52" s="85"/>
      <c r="F52" s="90" t="str">
        <f t="shared" si="0"/>
        <v>-</v>
      </c>
      <c r="G52" s="78"/>
      <c r="H52" s="85"/>
      <c r="I52" s="85"/>
      <c r="J52" s="78"/>
    </row>
    <row r="53" spans="1:10" x14ac:dyDescent="0.25">
      <c r="A53" s="87">
        <v>51</v>
      </c>
      <c r="B53" s="85"/>
      <c r="C53" s="85"/>
      <c r="D53" s="78"/>
      <c r="E53" s="85"/>
      <c r="F53" s="90" t="str">
        <f t="shared" si="0"/>
        <v>-</v>
      </c>
      <c r="G53" s="78"/>
      <c r="H53" s="85"/>
      <c r="I53" s="85"/>
      <c r="J53" s="78"/>
    </row>
    <row r="54" spans="1:10" x14ac:dyDescent="0.25">
      <c r="A54" s="87">
        <v>52</v>
      </c>
      <c r="B54" s="85"/>
      <c r="C54" s="85"/>
      <c r="D54" s="78"/>
      <c r="E54" s="85"/>
      <c r="F54" s="90" t="str">
        <f t="shared" si="0"/>
        <v>-</v>
      </c>
      <c r="G54" s="78"/>
      <c r="H54" s="85"/>
      <c r="I54" s="85"/>
      <c r="J54" s="78"/>
    </row>
    <row r="55" spans="1:10" x14ac:dyDescent="0.25">
      <c r="A55" s="87">
        <v>53</v>
      </c>
      <c r="B55" s="85"/>
      <c r="C55" s="85"/>
      <c r="D55" s="78"/>
      <c r="E55" s="85"/>
      <c r="F55" s="90" t="str">
        <f t="shared" si="0"/>
        <v>-</v>
      </c>
      <c r="G55" s="78"/>
      <c r="H55" s="85"/>
      <c r="I55" s="85"/>
      <c r="J55" s="78"/>
    </row>
    <row r="56" spans="1:10" x14ac:dyDescent="0.25">
      <c r="A56" s="87">
        <v>54</v>
      </c>
      <c r="B56" s="85"/>
      <c r="C56" s="85"/>
      <c r="D56" s="78"/>
      <c r="E56" s="85"/>
      <c r="F56" s="90" t="str">
        <f t="shared" si="0"/>
        <v>-</v>
      </c>
      <c r="G56" s="78"/>
      <c r="H56" s="85"/>
      <c r="I56" s="85"/>
      <c r="J56" s="78"/>
    </row>
    <row r="57" spans="1:10" x14ac:dyDescent="0.25">
      <c r="A57" s="87">
        <v>55</v>
      </c>
      <c r="B57" s="85"/>
      <c r="C57" s="85"/>
      <c r="D57" s="78"/>
      <c r="E57" s="85"/>
      <c r="F57" s="90" t="str">
        <f t="shared" si="0"/>
        <v>-</v>
      </c>
      <c r="G57" s="78"/>
      <c r="H57" s="85"/>
      <c r="I57" s="85"/>
      <c r="J57" s="78"/>
    </row>
    <row r="58" spans="1:10" x14ac:dyDescent="0.25">
      <c r="A58" s="87">
        <v>56</v>
      </c>
      <c r="B58" s="85"/>
      <c r="C58" s="85"/>
      <c r="D58" s="78"/>
      <c r="E58" s="85"/>
      <c r="F58" s="90" t="str">
        <f t="shared" si="0"/>
        <v>-</v>
      </c>
      <c r="G58" s="78"/>
      <c r="H58" s="85"/>
      <c r="I58" s="85"/>
      <c r="J58" s="78"/>
    </row>
    <row r="59" spans="1:10" x14ac:dyDescent="0.25">
      <c r="A59" s="87">
        <v>57</v>
      </c>
      <c r="B59" s="85"/>
      <c r="C59" s="85"/>
      <c r="D59" s="78"/>
      <c r="E59" s="85"/>
      <c r="F59" s="90" t="str">
        <f t="shared" si="0"/>
        <v>-</v>
      </c>
      <c r="G59" s="78"/>
      <c r="H59" s="85"/>
      <c r="I59" s="85"/>
      <c r="J59" s="78"/>
    </row>
    <row r="60" spans="1:10" x14ac:dyDescent="0.25">
      <c r="A60" s="87">
        <v>58</v>
      </c>
      <c r="B60" s="85"/>
      <c r="C60" s="85"/>
      <c r="D60" s="78"/>
      <c r="E60" s="85"/>
      <c r="F60" s="90" t="str">
        <f t="shared" si="0"/>
        <v>-</v>
      </c>
      <c r="G60" s="78"/>
      <c r="H60" s="85"/>
      <c r="I60" s="85"/>
      <c r="J60" s="78"/>
    </row>
    <row r="61" spans="1:10" x14ac:dyDescent="0.25">
      <c r="A61" s="87">
        <v>59</v>
      </c>
      <c r="B61" s="85"/>
      <c r="C61" s="85"/>
      <c r="D61" s="78"/>
      <c r="E61" s="85"/>
      <c r="F61" s="90" t="str">
        <f t="shared" si="0"/>
        <v>-</v>
      </c>
      <c r="G61" s="78"/>
      <c r="H61" s="85"/>
      <c r="I61" s="85"/>
      <c r="J61" s="78"/>
    </row>
    <row r="62" spans="1:10" x14ac:dyDescent="0.25">
      <c r="A62" s="87">
        <v>60</v>
      </c>
      <c r="B62" s="85"/>
      <c r="C62" s="85"/>
      <c r="D62" s="78"/>
      <c r="E62" s="85"/>
      <c r="F62" s="90" t="str">
        <f t="shared" si="0"/>
        <v>-</v>
      </c>
      <c r="G62" s="78"/>
      <c r="H62" s="85"/>
      <c r="I62" s="85"/>
      <c r="J62" s="78"/>
    </row>
    <row r="63" spans="1:10" x14ac:dyDescent="0.25">
      <c r="A63" s="87">
        <v>61</v>
      </c>
      <c r="B63" s="85"/>
      <c r="C63" s="85"/>
      <c r="D63" s="78"/>
      <c r="E63" s="85"/>
      <c r="F63" s="90" t="str">
        <f t="shared" si="0"/>
        <v>-</v>
      </c>
      <c r="G63" s="78"/>
      <c r="H63" s="85"/>
      <c r="I63" s="85"/>
      <c r="J63" s="78"/>
    </row>
    <row r="64" spans="1:10" x14ac:dyDescent="0.25">
      <c r="A64" s="87">
        <v>62</v>
      </c>
      <c r="B64" s="85"/>
      <c r="C64" s="85"/>
      <c r="D64" s="78"/>
      <c r="E64" s="85"/>
      <c r="F64" s="90" t="str">
        <f t="shared" si="0"/>
        <v>-</v>
      </c>
      <c r="G64" s="78"/>
      <c r="H64" s="85"/>
      <c r="I64" s="85"/>
      <c r="J64" s="78"/>
    </row>
    <row r="65" spans="1:10" x14ac:dyDescent="0.25">
      <c r="A65" s="87">
        <v>63</v>
      </c>
      <c r="B65" s="85"/>
      <c r="C65" s="85"/>
      <c r="D65" s="78"/>
      <c r="E65" s="85"/>
      <c r="F65" s="90" t="str">
        <f t="shared" si="0"/>
        <v>-</v>
      </c>
      <c r="G65" s="78"/>
      <c r="H65" s="85"/>
      <c r="I65" s="85"/>
      <c r="J65" s="78"/>
    </row>
    <row r="66" spans="1:10" x14ac:dyDescent="0.25">
      <c r="A66" s="87">
        <v>64</v>
      </c>
      <c r="B66" s="85"/>
      <c r="C66" s="85"/>
      <c r="D66" s="78"/>
      <c r="E66" s="85"/>
      <c r="F66" s="90" t="str">
        <f t="shared" si="0"/>
        <v>-</v>
      </c>
      <c r="G66" s="78"/>
      <c r="H66" s="85"/>
      <c r="I66" s="85"/>
      <c r="J66" s="78"/>
    </row>
    <row r="67" spans="1:10" x14ac:dyDescent="0.25">
      <c r="A67" s="87">
        <v>65</v>
      </c>
      <c r="B67" s="85"/>
      <c r="C67" s="85"/>
      <c r="D67" s="78"/>
      <c r="E67" s="85"/>
      <c r="F67" s="90" t="str">
        <f t="shared" si="0"/>
        <v>-</v>
      </c>
      <c r="G67" s="78"/>
      <c r="H67" s="85"/>
      <c r="I67" s="85"/>
      <c r="J67" s="78"/>
    </row>
    <row r="68" spans="1:10" x14ac:dyDescent="0.25">
      <c r="A68" s="88"/>
      <c r="B68" s="89"/>
      <c r="C68" s="89"/>
      <c r="D68" s="89"/>
      <c r="E68" s="86">
        <f>SUM(E3:E67)</f>
        <v>0</v>
      </c>
      <c r="F68" s="89"/>
      <c r="G68" s="89"/>
      <c r="H68" s="89"/>
      <c r="I68" s="89"/>
      <c r="J68" s="89"/>
    </row>
    <row r="69" spans="1:10" ht="7.5" customHeight="1" x14ac:dyDescent="0.25"/>
    <row r="71" spans="1:10" x14ac:dyDescent="0.25"/>
    <row r="72" spans="1:10" x14ac:dyDescent="0.25"/>
    <row r="73" spans="1:10" x14ac:dyDescent="0.25"/>
    <row r="74" spans="1:10" x14ac:dyDescent="0.25"/>
    <row r="75" spans="1:10" x14ac:dyDescent="0.25"/>
    <row r="76" spans="1:10" x14ac:dyDescent="0.25"/>
    <row r="77" spans="1:10" x14ac:dyDescent="0.25"/>
    <row r="78" spans="1:10" x14ac:dyDescent="0.25"/>
    <row r="79" spans="1:10" x14ac:dyDescent="0.25"/>
    <row r="80" spans="1:1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sheetData>
  <sheetProtection algorithmName="SHA-512" hashValue="LbDyXeAn0mFOYM5ICEgY2w/06YI2CItk1e1iTxDrVb1IMk4SnHIxMVTydvZUx6u1l+1rrrD06TjTYPV7cetreQ==" saltValue="yOzF70vEVo3I6WRvjH0pvA==" spinCount="100000" sheet="1" objects="1" scenarios="1" formatCells="0" formatColumns="0" formatRows="0"/>
  <mergeCells count="1">
    <mergeCell ref="A1:J1"/>
  </mergeCells>
  <dataValidations count="2">
    <dataValidation type="list" allowBlank="1" showInputMessage="1" showErrorMessage="1" sqref="C3:C67" xr:uid="{00000000-0002-0000-1200-000000000000}">
      <formula1>"Director and Shareholder,Director,Shareholder"</formula1>
    </dataValidation>
    <dataValidation type="list" allowBlank="1" showInputMessage="1" showErrorMessage="1" sqref="G3:G67 D3:D67 J3:J67" xr:uid="{00000000-0002-0000-1200-000001000000}">
      <formula1>"Yes,No"</formula1>
    </dataValidation>
  </dataValidations>
  <pageMargins left="0.7" right="0.7" top="0.75" bottom="0.75" header="0.3" footer="0.3"/>
  <pageSetup paperSize="9" orientation="portrait" horizontalDpi="4294967295" verticalDpi="4294967295"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89A46-2889-440F-9D6E-BBECCD159482}">
  <sheetPr codeName="Sheet28"/>
  <dimension ref="A1:O255"/>
  <sheetViews>
    <sheetView topLeftCell="A17" zoomScaleNormal="100" workbookViewId="0">
      <selection activeCell="D17" sqref="D17"/>
    </sheetView>
  </sheetViews>
  <sheetFormatPr defaultRowHeight="15" x14ac:dyDescent="0.25"/>
  <cols>
    <col min="1" max="1" width="10.85546875" customWidth="1"/>
    <col min="2" max="2" width="19.140625" customWidth="1"/>
    <col min="3" max="3" width="7.140625" bestFit="1" customWidth="1"/>
    <col min="4" max="4" width="21.85546875" customWidth="1"/>
    <col min="5" max="5" width="7.140625" bestFit="1" customWidth="1"/>
    <col min="6" max="6" width="12.5703125" customWidth="1"/>
    <col min="7" max="7" width="10.85546875" customWidth="1"/>
    <col min="9" max="9" width="10.85546875" customWidth="1"/>
    <col min="10" max="10" width="20.140625" customWidth="1"/>
    <col min="11" max="11" width="4.42578125" customWidth="1"/>
    <col min="12" max="12" width="24.85546875" customWidth="1"/>
    <col min="13" max="14" width="10" bestFit="1" customWidth="1"/>
    <col min="15" max="15" width="10.28515625" customWidth="1"/>
  </cols>
  <sheetData>
    <row r="1" spans="1:15" ht="33" customHeight="1" x14ac:dyDescent="0.25">
      <c r="A1" s="658" t="s">
        <v>1075</v>
      </c>
      <c r="B1" s="659"/>
      <c r="C1" s="659"/>
      <c r="D1" s="660"/>
      <c r="E1" s="309" t="s">
        <v>1076</v>
      </c>
      <c r="F1" s="661" t="s">
        <v>1077</v>
      </c>
      <c r="G1" s="662"/>
      <c r="I1" s="644" t="s">
        <v>1078</v>
      </c>
      <c r="J1" s="644"/>
      <c r="K1" s="663"/>
      <c r="L1" s="658" t="s">
        <v>863</v>
      </c>
      <c r="M1" s="659"/>
      <c r="N1" s="659"/>
      <c r="O1" s="660"/>
    </row>
    <row r="2" spans="1:15" x14ac:dyDescent="0.25">
      <c r="A2" s="645" t="s">
        <v>241</v>
      </c>
      <c r="B2" s="646"/>
      <c r="C2" s="645" t="s">
        <v>743</v>
      </c>
      <c r="D2" s="646"/>
      <c r="E2" s="645" t="s">
        <v>747</v>
      </c>
      <c r="F2" s="646"/>
      <c r="G2" s="647"/>
      <c r="I2" s="648" t="s">
        <v>241</v>
      </c>
      <c r="J2" s="648"/>
      <c r="K2" s="663"/>
      <c r="L2" s="265" t="s">
        <v>867</v>
      </c>
      <c r="M2" s="267" t="s">
        <v>864</v>
      </c>
      <c r="N2" s="267" t="s">
        <v>865</v>
      </c>
      <c r="O2" s="267" t="s">
        <v>866</v>
      </c>
    </row>
    <row r="3" spans="1:15" x14ac:dyDescent="0.25">
      <c r="A3" s="70" t="s">
        <v>733</v>
      </c>
      <c r="B3" s="310">
        <f>B19+B35+B51+B67+B83+B99+B115+B131+B147+B163+B179+B195+B211+B227+B243</f>
        <v>0</v>
      </c>
      <c r="C3" s="651" t="s">
        <v>744</v>
      </c>
      <c r="D3" s="654">
        <f>D19+D35+D51+D67+D83+D99+D115+D131+D147+D163+D179+D195+D211+D227+D243</f>
        <v>0</v>
      </c>
      <c r="E3" s="651" t="s">
        <v>748</v>
      </c>
      <c r="F3" s="665">
        <f>F19+F35+F51+F67+F83+F99+F115+F131+F147+F163+F179+F195+F211+F227+F243</f>
        <v>0</v>
      </c>
      <c r="G3" s="666"/>
      <c r="I3" s="311" t="s">
        <v>733</v>
      </c>
      <c r="J3" s="310">
        <f>J19+J35+J51+J67+J83+J99+J115+J131+J147+J163+J179+J195+J211+J227+J243</f>
        <v>0</v>
      </c>
      <c r="K3" s="663"/>
      <c r="L3" s="72" t="s">
        <v>857</v>
      </c>
      <c r="M3" s="74"/>
      <c r="N3" s="74"/>
      <c r="O3" s="71">
        <f>N3-M3</f>
        <v>0</v>
      </c>
    </row>
    <row r="4" spans="1:15" x14ac:dyDescent="0.25">
      <c r="A4" s="70" t="s">
        <v>517</v>
      </c>
      <c r="B4" s="310">
        <f t="shared" ref="B4:B14" si="0">B20+B36+B52+B68+B84+B100+B116+B132+B148+B164+B180+B196+B212+B228+B244</f>
        <v>0</v>
      </c>
      <c r="C4" s="652"/>
      <c r="D4" s="655"/>
      <c r="E4" s="652"/>
      <c r="F4" s="667"/>
      <c r="G4" s="668"/>
      <c r="I4" s="311" t="s">
        <v>517</v>
      </c>
      <c r="J4" s="310">
        <f t="shared" ref="J4:J14" si="1">J20+J36+J52+J68+J84+J100+J116+J132+J148+J164+J180+J196+J212+J228+J244</f>
        <v>0</v>
      </c>
      <c r="K4" s="663"/>
      <c r="L4" s="72" t="s">
        <v>858</v>
      </c>
      <c r="M4" s="74"/>
      <c r="N4" s="74"/>
      <c r="O4" s="71">
        <f>N4-M4</f>
        <v>0</v>
      </c>
    </row>
    <row r="5" spans="1:15" x14ac:dyDescent="0.25">
      <c r="A5" s="70" t="s">
        <v>734</v>
      </c>
      <c r="B5" s="310">
        <f t="shared" si="0"/>
        <v>0</v>
      </c>
      <c r="C5" s="653"/>
      <c r="D5" s="656"/>
      <c r="E5" s="652"/>
      <c r="F5" s="667"/>
      <c r="G5" s="668"/>
      <c r="I5" s="311" t="s">
        <v>734</v>
      </c>
      <c r="J5" s="310">
        <f t="shared" si="1"/>
        <v>0</v>
      </c>
      <c r="K5" s="664"/>
      <c r="L5" s="671"/>
      <c r="M5" s="671"/>
      <c r="N5" s="671"/>
      <c r="O5" s="671"/>
    </row>
    <row r="6" spans="1:15" x14ac:dyDescent="0.25">
      <c r="A6" s="70" t="s">
        <v>735</v>
      </c>
      <c r="B6" s="310">
        <f t="shared" si="0"/>
        <v>0</v>
      </c>
      <c r="C6" s="651" t="s">
        <v>745</v>
      </c>
      <c r="D6" s="654">
        <f t="shared" ref="D6" si="2">D22+D38+D54+D70+D86+D102+D118+D134+D150+D166+D182+D198+D214+D230+D246</f>
        <v>0</v>
      </c>
      <c r="E6" s="652"/>
      <c r="F6" s="667"/>
      <c r="G6" s="668"/>
      <c r="I6" s="311" t="s">
        <v>735</v>
      </c>
      <c r="J6" s="310">
        <f t="shared" si="1"/>
        <v>0</v>
      </c>
      <c r="K6" s="663"/>
      <c r="L6" s="116" t="s">
        <v>862</v>
      </c>
      <c r="M6" s="672"/>
      <c r="N6" s="673"/>
      <c r="O6" s="674"/>
    </row>
    <row r="7" spans="1:15" x14ac:dyDescent="0.25">
      <c r="A7" s="70" t="s">
        <v>736</v>
      </c>
      <c r="B7" s="310">
        <f t="shared" si="0"/>
        <v>0</v>
      </c>
      <c r="C7" s="652"/>
      <c r="D7" s="655"/>
      <c r="E7" s="652"/>
      <c r="F7" s="667"/>
      <c r="G7" s="668"/>
      <c r="I7" s="311" t="s">
        <v>736</v>
      </c>
      <c r="J7" s="310">
        <f t="shared" si="1"/>
        <v>0</v>
      </c>
      <c r="K7" s="663"/>
      <c r="L7" s="116" t="s">
        <v>861</v>
      </c>
      <c r="M7" s="672"/>
      <c r="N7" s="673"/>
      <c r="O7" s="674"/>
    </row>
    <row r="8" spans="1:15" x14ac:dyDescent="0.25">
      <c r="A8" s="70" t="s">
        <v>737</v>
      </c>
      <c r="B8" s="310">
        <f t="shared" si="0"/>
        <v>0</v>
      </c>
      <c r="C8" s="653"/>
      <c r="D8" s="656"/>
      <c r="E8" s="653"/>
      <c r="F8" s="669"/>
      <c r="G8" s="670"/>
      <c r="I8" s="311" t="s">
        <v>737</v>
      </c>
      <c r="J8" s="310">
        <f t="shared" si="1"/>
        <v>0</v>
      </c>
      <c r="K8" s="664"/>
      <c r="L8" s="671"/>
      <c r="M8" s="671"/>
      <c r="N8" s="671"/>
      <c r="O8" s="671"/>
    </row>
    <row r="9" spans="1:15" x14ac:dyDescent="0.25">
      <c r="A9" s="70" t="s">
        <v>738</v>
      </c>
      <c r="B9" s="310">
        <f t="shared" si="0"/>
        <v>0</v>
      </c>
      <c r="C9" s="651" t="s">
        <v>746</v>
      </c>
      <c r="D9" s="654">
        <f t="shared" ref="D9" si="3">D25+D41+D57+D73+D89+D105+D121+D137+D153+D169+D185+D201+D217+D233+D249</f>
        <v>0</v>
      </c>
      <c r="E9" s="651" t="s">
        <v>749</v>
      </c>
      <c r="F9" s="665">
        <f>F25+F41+F57+F73+F89+F105+F121+F137+F153+F169+F185+F201+F217+F233+F249</f>
        <v>0</v>
      </c>
      <c r="G9" s="666"/>
      <c r="I9" s="311" t="s">
        <v>738</v>
      </c>
      <c r="J9" s="310">
        <f t="shared" si="1"/>
        <v>0</v>
      </c>
      <c r="K9" s="663"/>
      <c r="L9" s="138" t="s">
        <v>860</v>
      </c>
      <c r="M9" s="649" t="e">
        <f>(M6/B15)*O3</f>
        <v>#DIV/0!</v>
      </c>
      <c r="N9" s="649"/>
      <c r="O9" s="649"/>
    </row>
    <row r="10" spans="1:15" x14ac:dyDescent="0.25">
      <c r="A10" s="70" t="s">
        <v>739</v>
      </c>
      <c r="B10" s="310">
        <f t="shared" si="0"/>
        <v>0</v>
      </c>
      <c r="C10" s="652"/>
      <c r="D10" s="655"/>
      <c r="E10" s="652"/>
      <c r="F10" s="667"/>
      <c r="G10" s="668"/>
      <c r="I10" s="311" t="s">
        <v>739</v>
      </c>
      <c r="J10" s="310">
        <f t="shared" si="1"/>
        <v>0</v>
      </c>
      <c r="K10" s="663"/>
      <c r="L10" s="138" t="s">
        <v>859</v>
      </c>
      <c r="M10" s="649" t="e">
        <f>(M7/J15)*O4</f>
        <v>#DIV/0!</v>
      </c>
      <c r="N10" s="649"/>
      <c r="O10" s="649"/>
    </row>
    <row r="11" spans="1:15" x14ac:dyDescent="0.25">
      <c r="A11" s="70" t="s">
        <v>740</v>
      </c>
      <c r="B11" s="310">
        <f t="shared" si="0"/>
        <v>0</v>
      </c>
      <c r="C11" s="653"/>
      <c r="D11" s="656"/>
      <c r="E11" s="652"/>
      <c r="F11" s="667"/>
      <c r="G11" s="668"/>
      <c r="I11" s="311" t="s">
        <v>740</v>
      </c>
      <c r="J11" s="310">
        <f t="shared" si="1"/>
        <v>0</v>
      </c>
      <c r="K11" s="664"/>
      <c r="L11" s="650"/>
      <c r="M11" s="650"/>
      <c r="N11" s="650"/>
      <c r="O11" s="650"/>
    </row>
    <row r="12" spans="1:15" x14ac:dyDescent="0.25">
      <c r="A12" s="70" t="s">
        <v>741</v>
      </c>
      <c r="B12" s="310">
        <f t="shared" si="0"/>
        <v>0</v>
      </c>
      <c r="C12" s="651" t="s">
        <v>776</v>
      </c>
      <c r="D12" s="654">
        <f t="shared" ref="D12" si="4">D28+D44+D60+D76+D92+D108+D124+D140+D156+D172+D188+D204+D220+D236+D252</f>
        <v>0</v>
      </c>
      <c r="E12" s="652"/>
      <c r="F12" s="667"/>
      <c r="G12" s="668"/>
      <c r="I12" s="311" t="s">
        <v>741</v>
      </c>
      <c r="J12" s="310">
        <f t="shared" si="1"/>
        <v>0</v>
      </c>
      <c r="K12" s="664"/>
      <c r="L12" s="650"/>
      <c r="M12" s="650"/>
      <c r="N12" s="650"/>
      <c r="O12" s="650"/>
    </row>
    <row r="13" spans="1:15" x14ac:dyDescent="0.25">
      <c r="A13" s="70" t="s">
        <v>742</v>
      </c>
      <c r="B13" s="310">
        <f t="shared" si="0"/>
        <v>0</v>
      </c>
      <c r="C13" s="652"/>
      <c r="D13" s="655"/>
      <c r="E13" s="652"/>
      <c r="F13" s="667"/>
      <c r="G13" s="668"/>
      <c r="I13" s="311" t="s">
        <v>742</v>
      </c>
      <c r="J13" s="310">
        <f t="shared" si="1"/>
        <v>0</v>
      </c>
      <c r="K13" s="664"/>
      <c r="L13" s="650"/>
      <c r="M13" s="650"/>
      <c r="N13" s="650"/>
      <c r="O13" s="650"/>
    </row>
    <row r="14" spans="1:15" x14ac:dyDescent="0.25">
      <c r="A14" s="70" t="s">
        <v>732</v>
      </c>
      <c r="B14" s="310">
        <f t="shared" si="0"/>
        <v>0</v>
      </c>
      <c r="C14" s="653"/>
      <c r="D14" s="656"/>
      <c r="E14" s="653"/>
      <c r="F14" s="669"/>
      <c r="G14" s="670"/>
      <c r="I14" s="311" t="s">
        <v>732</v>
      </c>
      <c r="J14" s="310">
        <f t="shared" si="1"/>
        <v>0</v>
      </c>
      <c r="K14" s="664"/>
      <c r="L14" s="650"/>
      <c r="M14" s="650"/>
      <c r="N14" s="650"/>
      <c r="O14" s="650"/>
    </row>
    <row r="15" spans="1:15" x14ac:dyDescent="0.25">
      <c r="A15" s="312" t="s">
        <v>690</v>
      </c>
      <c r="B15" s="266">
        <f>SUM(B3:B14)</f>
        <v>0</v>
      </c>
      <c r="C15" s="312" t="s">
        <v>690</v>
      </c>
      <c r="D15" s="266">
        <f>SUM(D3:D14)</f>
        <v>0</v>
      </c>
      <c r="E15" s="312" t="s">
        <v>690</v>
      </c>
      <c r="F15" s="629">
        <f>SUM(F3:G14)</f>
        <v>0</v>
      </c>
      <c r="G15" s="657"/>
      <c r="I15" s="312" t="s">
        <v>690</v>
      </c>
      <c r="J15" s="117">
        <f>SUM(J3:J14)</f>
        <v>0</v>
      </c>
      <c r="K15" s="664"/>
      <c r="L15" s="650"/>
      <c r="M15" s="650"/>
      <c r="N15" s="650"/>
      <c r="O15" s="650"/>
    </row>
    <row r="17" spans="1:10" ht="18.75" customHeight="1" x14ac:dyDescent="0.25">
      <c r="A17" s="313" t="s">
        <v>1079</v>
      </c>
      <c r="B17" s="314"/>
      <c r="C17" s="314"/>
      <c r="D17" s="309" t="s">
        <v>1080</v>
      </c>
      <c r="E17" s="643"/>
      <c r="F17" s="643"/>
      <c r="G17" s="643"/>
      <c r="I17" s="644" t="s">
        <v>856</v>
      </c>
      <c r="J17" s="644"/>
    </row>
    <row r="18" spans="1:10" x14ac:dyDescent="0.25">
      <c r="A18" s="645" t="s">
        <v>241</v>
      </c>
      <c r="B18" s="646"/>
      <c r="C18" s="645" t="s">
        <v>743</v>
      </c>
      <c r="D18" s="646"/>
      <c r="E18" s="645" t="s">
        <v>747</v>
      </c>
      <c r="F18" s="646"/>
      <c r="G18" s="647"/>
      <c r="I18" s="648" t="s">
        <v>241</v>
      </c>
      <c r="J18" s="648"/>
    </row>
    <row r="19" spans="1:10" x14ac:dyDescent="0.25">
      <c r="A19" s="315" t="s">
        <v>733</v>
      </c>
      <c r="B19" s="118">
        <v>0</v>
      </c>
      <c r="C19" s="631" t="s">
        <v>744</v>
      </c>
      <c r="D19" s="634">
        <f>B19+B20+B21</f>
        <v>0</v>
      </c>
      <c r="E19" s="631" t="s">
        <v>748</v>
      </c>
      <c r="F19" s="637">
        <f>+D19+D22</f>
        <v>0</v>
      </c>
      <c r="G19" s="638"/>
      <c r="I19" s="311" t="s">
        <v>733</v>
      </c>
      <c r="J19" s="316">
        <v>0</v>
      </c>
    </row>
    <row r="20" spans="1:10" x14ac:dyDescent="0.25">
      <c r="A20" s="315" t="s">
        <v>517</v>
      </c>
      <c r="B20" s="118">
        <v>0</v>
      </c>
      <c r="C20" s="632"/>
      <c r="D20" s="635"/>
      <c r="E20" s="632"/>
      <c r="F20" s="639"/>
      <c r="G20" s="640"/>
      <c r="I20" s="311" t="s">
        <v>517</v>
      </c>
      <c r="J20" s="316">
        <v>0</v>
      </c>
    </row>
    <row r="21" spans="1:10" x14ac:dyDescent="0.25">
      <c r="A21" s="315" t="s">
        <v>734</v>
      </c>
      <c r="B21" s="118">
        <v>0</v>
      </c>
      <c r="C21" s="633"/>
      <c r="D21" s="636"/>
      <c r="E21" s="632"/>
      <c r="F21" s="639"/>
      <c r="G21" s="640"/>
      <c r="I21" s="311" t="s">
        <v>734</v>
      </c>
      <c r="J21" s="316">
        <v>0</v>
      </c>
    </row>
    <row r="22" spans="1:10" x14ac:dyDescent="0.25">
      <c r="A22" s="315" t="s">
        <v>735</v>
      </c>
      <c r="B22" s="118">
        <v>0</v>
      </c>
      <c r="C22" s="631" t="s">
        <v>745</v>
      </c>
      <c r="D22" s="634">
        <f>B22+B23+B24</f>
        <v>0</v>
      </c>
      <c r="E22" s="632"/>
      <c r="F22" s="639"/>
      <c r="G22" s="640"/>
      <c r="I22" s="311" t="s">
        <v>735</v>
      </c>
      <c r="J22" s="316">
        <v>0</v>
      </c>
    </row>
    <row r="23" spans="1:10" x14ac:dyDescent="0.25">
      <c r="A23" s="315" t="s">
        <v>736</v>
      </c>
      <c r="B23" s="118">
        <v>0</v>
      </c>
      <c r="C23" s="632"/>
      <c r="D23" s="635"/>
      <c r="E23" s="632"/>
      <c r="F23" s="639"/>
      <c r="G23" s="640"/>
      <c r="I23" s="311" t="s">
        <v>736</v>
      </c>
      <c r="J23" s="316">
        <v>0</v>
      </c>
    </row>
    <row r="24" spans="1:10" x14ac:dyDescent="0.25">
      <c r="A24" s="315" t="s">
        <v>737</v>
      </c>
      <c r="B24" s="118">
        <v>0</v>
      </c>
      <c r="C24" s="633"/>
      <c r="D24" s="636"/>
      <c r="E24" s="633"/>
      <c r="F24" s="641"/>
      <c r="G24" s="642"/>
      <c r="I24" s="311" t="s">
        <v>737</v>
      </c>
      <c r="J24" s="316">
        <v>0</v>
      </c>
    </row>
    <row r="25" spans="1:10" x14ac:dyDescent="0.25">
      <c r="A25" s="315" t="s">
        <v>738</v>
      </c>
      <c r="B25" s="118">
        <v>0</v>
      </c>
      <c r="C25" s="631" t="s">
        <v>746</v>
      </c>
      <c r="D25" s="634">
        <f>B25+B26+B27</f>
        <v>0</v>
      </c>
      <c r="E25" s="631" t="s">
        <v>749</v>
      </c>
      <c r="F25" s="637">
        <f>+D25+D28</f>
        <v>0</v>
      </c>
      <c r="G25" s="638"/>
      <c r="I25" s="311" t="s">
        <v>738</v>
      </c>
      <c r="J25" s="316">
        <v>0</v>
      </c>
    </row>
    <row r="26" spans="1:10" x14ac:dyDescent="0.25">
      <c r="A26" s="315" t="s">
        <v>739</v>
      </c>
      <c r="B26" s="118">
        <v>0</v>
      </c>
      <c r="C26" s="632"/>
      <c r="D26" s="635"/>
      <c r="E26" s="632"/>
      <c r="F26" s="639"/>
      <c r="G26" s="640"/>
      <c r="I26" s="311" t="s">
        <v>739</v>
      </c>
      <c r="J26" s="316">
        <v>0</v>
      </c>
    </row>
    <row r="27" spans="1:10" x14ac:dyDescent="0.25">
      <c r="A27" s="315" t="s">
        <v>740</v>
      </c>
      <c r="B27" s="118">
        <v>0</v>
      </c>
      <c r="C27" s="633"/>
      <c r="D27" s="636"/>
      <c r="E27" s="632"/>
      <c r="F27" s="639"/>
      <c r="G27" s="640"/>
      <c r="I27" s="311" t="s">
        <v>740</v>
      </c>
      <c r="J27" s="316">
        <v>0</v>
      </c>
    </row>
    <row r="28" spans="1:10" x14ac:dyDescent="0.25">
      <c r="A28" s="315" t="s">
        <v>741</v>
      </c>
      <c r="B28" s="118">
        <v>0</v>
      </c>
      <c r="C28" s="631" t="s">
        <v>776</v>
      </c>
      <c r="D28" s="634">
        <f>B28+B29+B30</f>
        <v>0</v>
      </c>
      <c r="E28" s="632"/>
      <c r="F28" s="639"/>
      <c r="G28" s="640"/>
      <c r="I28" s="311" t="s">
        <v>741</v>
      </c>
      <c r="J28" s="316">
        <v>0</v>
      </c>
    </row>
    <row r="29" spans="1:10" x14ac:dyDescent="0.25">
      <c r="A29" s="315" t="s">
        <v>742</v>
      </c>
      <c r="B29" s="118">
        <v>0</v>
      </c>
      <c r="C29" s="632"/>
      <c r="D29" s="635"/>
      <c r="E29" s="632"/>
      <c r="F29" s="639"/>
      <c r="G29" s="640"/>
      <c r="I29" s="311" t="s">
        <v>742</v>
      </c>
      <c r="J29" s="316">
        <v>0</v>
      </c>
    </row>
    <row r="30" spans="1:10" x14ac:dyDescent="0.25">
      <c r="A30" s="315" t="s">
        <v>732</v>
      </c>
      <c r="B30" s="118">
        <v>0</v>
      </c>
      <c r="C30" s="633"/>
      <c r="D30" s="636"/>
      <c r="E30" s="633"/>
      <c r="F30" s="641"/>
      <c r="G30" s="642"/>
      <c r="I30" s="311" t="s">
        <v>732</v>
      </c>
      <c r="J30" s="316">
        <v>0</v>
      </c>
    </row>
    <row r="31" spans="1:10" x14ac:dyDescent="0.25">
      <c r="A31" s="312" t="s">
        <v>690</v>
      </c>
      <c r="B31" s="266">
        <f>SUM(B19:B30)</f>
        <v>0</v>
      </c>
      <c r="C31" s="312" t="s">
        <v>690</v>
      </c>
      <c r="D31" s="266">
        <f>SUM(D19:D30)</f>
        <v>0</v>
      </c>
      <c r="E31" s="312" t="s">
        <v>690</v>
      </c>
      <c r="F31" s="629">
        <f>SUM(F19:G30)</f>
        <v>0</v>
      </c>
      <c r="G31" s="630"/>
      <c r="I31" s="312" t="s">
        <v>690</v>
      </c>
      <c r="J31" s="117">
        <f>SUM(J19:J30)</f>
        <v>0</v>
      </c>
    </row>
    <row r="33" spans="1:10" ht="18.75" customHeight="1" x14ac:dyDescent="0.25">
      <c r="A33" s="313" t="s">
        <v>1079</v>
      </c>
      <c r="B33" s="314"/>
      <c r="C33" s="314"/>
      <c r="D33" s="309" t="s">
        <v>1080</v>
      </c>
      <c r="E33" s="643"/>
      <c r="F33" s="643"/>
      <c r="G33" s="643"/>
      <c r="I33" s="644" t="s">
        <v>856</v>
      </c>
      <c r="J33" s="644"/>
    </row>
    <row r="34" spans="1:10" x14ac:dyDescent="0.25">
      <c r="A34" s="645" t="s">
        <v>241</v>
      </c>
      <c r="B34" s="646"/>
      <c r="C34" s="645" t="s">
        <v>743</v>
      </c>
      <c r="D34" s="646"/>
      <c r="E34" s="645" t="s">
        <v>747</v>
      </c>
      <c r="F34" s="646"/>
      <c r="G34" s="647"/>
      <c r="I34" s="648" t="s">
        <v>241</v>
      </c>
      <c r="J34" s="648"/>
    </row>
    <row r="35" spans="1:10" x14ac:dyDescent="0.25">
      <c r="A35" s="315" t="s">
        <v>733</v>
      </c>
      <c r="B35" s="118">
        <v>0</v>
      </c>
      <c r="C35" s="631" t="s">
        <v>744</v>
      </c>
      <c r="D35" s="634">
        <f>+B35+B36+B37</f>
        <v>0</v>
      </c>
      <c r="E35" s="631" t="s">
        <v>748</v>
      </c>
      <c r="F35" s="637">
        <f>+D35+D38</f>
        <v>0</v>
      </c>
      <c r="G35" s="638"/>
      <c r="I35" s="311" t="s">
        <v>733</v>
      </c>
      <c r="J35" s="316">
        <v>0</v>
      </c>
    </row>
    <row r="36" spans="1:10" x14ac:dyDescent="0.25">
      <c r="A36" s="315" t="s">
        <v>517</v>
      </c>
      <c r="B36" s="118">
        <v>0</v>
      </c>
      <c r="C36" s="632"/>
      <c r="D36" s="635"/>
      <c r="E36" s="632"/>
      <c r="F36" s="639"/>
      <c r="G36" s="640"/>
      <c r="I36" s="311" t="s">
        <v>517</v>
      </c>
      <c r="J36" s="316">
        <v>0</v>
      </c>
    </row>
    <row r="37" spans="1:10" x14ac:dyDescent="0.25">
      <c r="A37" s="315" t="s">
        <v>734</v>
      </c>
      <c r="B37" s="118">
        <v>0</v>
      </c>
      <c r="C37" s="633"/>
      <c r="D37" s="636"/>
      <c r="E37" s="632"/>
      <c r="F37" s="639"/>
      <c r="G37" s="640"/>
      <c r="I37" s="311" t="s">
        <v>734</v>
      </c>
      <c r="J37" s="316">
        <v>0</v>
      </c>
    </row>
    <row r="38" spans="1:10" x14ac:dyDescent="0.25">
      <c r="A38" s="315" t="s">
        <v>735</v>
      </c>
      <c r="B38" s="118">
        <v>0</v>
      </c>
      <c r="C38" s="631" t="s">
        <v>745</v>
      </c>
      <c r="D38" s="634">
        <f>+B38+B39+B40</f>
        <v>0</v>
      </c>
      <c r="E38" s="632"/>
      <c r="F38" s="639"/>
      <c r="G38" s="640"/>
      <c r="I38" s="311" t="s">
        <v>735</v>
      </c>
      <c r="J38" s="316">
        <v>0</v>
      </c>
    </row>
    <row r="39" spans="1:10" x14ac:dyDescent="0.25">
      <c r="A39" s="315" t="s">
        <v>736</v>
      </c>
      <c r="B39" s="118">
        <v>0</v>
      </c>
      <c r="C39" s="632"/>
      <c r="D39" s="635"/>
      <c r="E39" s="632"/>
      <c r="F39" s="639"/>
      <c r="G39" s="640"/>
      <c r="I39" s="311" t="s">
        <v>736</v>
      </c>
      <c r="J39" s="316">
        <v>0</v>
      </c>
    </row>
    <row r="40" spans="1:10" x14ac:dyDescent="0.25">
      <c r="A40" s="315" t="s">
        <v>737</v>
      </c>
      <c r="B40" s="118">
        <v>0</v>
      </c>
      <c r="C40" s="633"/>
      <c r="D40" s="636"/>
      <c r="E40" s="633"/>
      <c r="F40" s="641"/>
      <c r="G40" s="642"/>
      <c r="I40" s="311" t="s">
        <v>737</v>
      </c>
      <c r="J40" s="316">
        <v>0</v>
      </c>
    </row>
    <row r="41" spans="1:10" x14ac:dyDescent="0.25">
      <c r="A41" s="315" t="s">
        <v>738</v>
      </c>
      <c r="B41" s="118">
        <v>0</v>
      </c>
      <c r="C41" s="631" t="s">
        <v>746</v>
      </c>
      <c r="D41" s="634">
        <f>+B41+B42+B43</f>
        <v>0</v>
      </c>
      <c r="E41" s="631" t="s">
        <v>749</v>
      </c>
      <c r="F41" s="637">
        <f>+D41+D44</f>
        <v>0</v>
      </c>
      <c r="G41" s="638"/>
      <c r="I41" s="311" t="s">
        <v>738</v>
      </c>
      <c r="J41" s="316">
        <v>0</v>
      </c>
    </row>
    <row r="42" spans="1:10" x14ac:dyDescent="0.25">
      <c r="A42" s="315" t="s">
        <v>739</v>
      </c>
      <c r="B42" s="118">
        <v>0</v>
      </c>
      <c r="C42" s="632"/>
      <c r="D42" s="635"/>
      <c r="E42" s="632"/>
      <c r="F42" s="639"/>
      <c r="G42" s="640"/>
      <c r="I42" s="311" t="s">
        <v>739</v>
      </c>
      <c r="J42" s="316">
        <v>0</v>
      </c>
    </row>
    <row r="43" spans="1:10" x14ac:dyDescent="0.25">
      <c r="A43" s="315" t="s">
        <v>740</v>
      </c>
      <c r="B43" s="118">
        <v>0</v>
      </c>
      <c r="C43" s="633"/>
      <c r="D43" s="636"/>
      <c r="E43" s="632"/>
      <c r="F43" s="639"/>
      <c r="G43" s="640"/>
      <c r="I43" s="311" t="s">
        <v>740</v>
      </c>
      <c r="J43" s="316">
        <v>0</v>
      </c>
    </row>
    <row r="44" spans="1:10" x14ac:dyDescent="0.25">
      <c r="A44" s="315" t="s">
        <v>741</v>
      </c>
      <c r="B44" s="118">
        <v>0</v>
      </c>
      <c r="C44" s="631" t="s">
        <v>776</v>
      </c>
      <c r="D44" s="634">
        <f>+B44+B45+B46</f>
        <v>0</v>
      </c>
      <c r="E44" s="632"/>
      <c r="F44" s="639"/>
      <c r="G44" s="640"/>
      <c r="I44" s="311" t="s">
        <v>741</v>
      </c>
      <c r="J44" s="316">
        <v>0</v>
      </c>
    </row>
    <row r="45" spans="1:10" x14ac:dyDescent="0.25">
      <c r="A45" s="315" t="s">
        <v>742</v>
      </c>
      <c r="B45" s="118">
        <v>0</v>
      </c>
      <c r="C45" s="632"/>
      <c r="D45" s="635"/>
      <c r="E45" s="632"/>
      <c r="F45" s="639"/>
      <c r="G45" s="640"/>
      <c r="I45" s="311" t="s">
        <v>742</v>
      </c>
      <c r="J45" s="316">
        <v>0</v>
      </c>
    </row>
    <row r="46" spans="1:10" x14ac:dyDescent="0.25">
      <c r="A46" s="315" t="s">
        <v>732</v>
      </c>
      <c r="B46" s="118">
        <v>0</v>
      </c>
      <c r="C46" s="633"/>
      <c r="D46" s="636"/>
      <c r="E46" s="633"/>
      <c r="F46" s="641"/>
      <c r="G46" s="642"/>
      <c r="I46" s="311" t="s">
        <v>732</v>
      </c>
      <c r="J46" s="316">
        <v>0</v>
      </c>
    </row>
    <row r="47" spans="1:10" x14ac:dyDescent="0.25">
      <c r="A47" s="312" t="s">
        <v>690</v>
      </c>
      <c r="B47" s="266">
        <f>SUM(B35:B46)</f>
        <v>0</v>
      </c>
      <c r="C47" s="312" t="s">
        <v>690</v>
      </c>
      <c r="D47" s="266">
        <f>SUM(D35:D46)</f>
        <v>0</v>
      </c>
      <c r="E47" s="312" t="s">
        <v>690</v>
      </c>
      <c r="F47" s="629">
        <f>SUM(F35:G46)</f>
        <v>0</v>
      </c>
      <c r="G47" s="630"/>
      <c r="I47" s="312" t="s">
        <v>690</v>
      </c>
      <c r="J47" s="117">
        <f>SUM(J35:J46)</f>
        <v>0</v>
      </c>
    </row>
    <row r="49" spans="1:10" ht="18.75" customHeight="1" x14ac:dyDescent="0.25">
      <c r="A49" s="313" t="s">
        <v>1079</v>
      </c>
      <c r="B49" s="314"/>
      <c r="C49" s="314"/>
      <c r="D49" s="309" t="s">
        <v>1080</v>
      </c>
      <c r="E49" s="643"/>
      <c r="F49" s="643"/>
      <c r="G49" s="643"/>
      <c r="I49" s="644" t="s">
        <v>856</v>
      </c>
      <c r="J49" s="644"/>
    </row>
    <row r="50" spans="1:10" x14ac:dyDescent="0.25">
      <c r="A50" s="645" t="s">
        <v>241</v>
      </c>
      <c r="B50" s="646"/>
      <c r="C50" s="645" t="s">
        <v>743</v>
      </c>
      <c r="D50" s="646"/>
      <c r="E50" s="645" t="s">
        <v>747</v>
      </c>
      <c r="F50" s="646"/>
      <c r="G50" s="647"/>
      <c r="I50" s="648" t="s">
        <v>241</v>
      </c>
      <c r="J50" s="648"/>
    </row>
    <row r="51" spans="1:10" x14ac:dyDescent="0.25">
      <c r="A51" s="315" t="s">
        <v>733</v>
      </c>
      <c r="B51" s="118">
        <v>0</v>
      </c>
      <c r="C51" s="631" t="s">
        <v>744</v>
      </c>
      <c r="D51" s="634">
        <f>+B51+B52+B53</f>
        <v>0</v>
      </c>
      <c r="E51" s="631" t="s">
        <v>748</v>
      </c>
      <c r="F51" s="637">
        <f>+D51+D54</f>
        <v>0</v>
      </c>
      <c r="G51" s="638"/>
      <c r="I51" s="311" t="s">
        <v>733</v>
      </c>
      <c r="J51" s="118">
        <v>0</v>
      </c>
    </row>
    <row r="52" spans="1:10" x14ac:dyDescent="0.25">
      <c r="A52" s="315" t="s">
        <v>517</v>
      </c>
      <c r="B52" s="118">
        <v>0</v>
      </c>
      <c r="C52" s="632"/>
      <c r="D52" s="635"/>
      <c r="E52" s="632"/>
      <c r="F52" s="639"/>
      <c r="G52" s="640"/>
      <c r="I52" s="311" t="s">
        <v>517</v>
      </c>
      <c r="J52" s="118">
        <v>0</v>
      </c>
    </row>
    <row r="53" spans="1:10" x14ac:dyDescent="0.25">
      <c r="A53" s="315" t="s">
        <v>734</v>
      </c>
      <c r="B53" s="118">
        <v>0</v>
      </c>
      <c r="C53" s="633"/>
      <c r="D53" s="636"/>
      <c r="E53" s="632"/>
      <c r="F53" s="639"/>
      <c r="G53" s="640"/>
      <c r="I53" s="311" t="s">
        <v>734</v>
      </c>
      <c r="J53" s="118">
        <v>0</v>
      </c>
    </row>
    <row r="54" spans="1:10" x14ac:dyDescent="0.25">
      <c r="A54" s="315" t="s">
        <v>735</v>
      </c>
      <c r="B54" s="118">
        <v>0</v>
      </c>
      <c r="C54" s="631" t="s">
        <v>745</v>
      </c>
      <c r="D54" s="634">
        <f>+B54+B55+B56</f>
        <v>0</v>
      </c>
      <c r="E54" s="632"/>
      <c r="F54" s="639"/>
      <c r="G54" s="640"/>
      <c r="I54" s="311" t="s">
        <v>735</v>
      </c>
      <c r="J54" s="118">
        <v>0</v>
      </c>
    </row>
    <row r="55" spans="1:10" x14ac:dyDescent="0.25">
      <c r="A55" s="315" t="s">
        <v>736</v>
      </c>
      <c r="B55" s="118">
        <v>0</v>
      </c>
      <c r="C55" s="632"/>
      <c r="D55" s="635"/>
      <c r="E55" s="632"/>
      <c r="F55" s="639"/>
      <c r="G55" s="640"/>
      <c r="I55" s="311" t="s">
        <v>736</v>
      </c>
      <c r="J55" s="118">
        <v>0</v>
      </c>
    </row>
    <row r="56" spans="1:10" x14ac:dyDescent="0.25">
      <c r="A56" s="315" t="s">
        <v>737</v>
      </c>
      <c r="B56" s="118">
        <v>0</v>
      </c>
      <c r="C56" s="633"/>
      <c r="D56" s="636"/>
      <c r="E56" s="633"/>
      <c r="F56" s="641"/>
      <c r="G56" s="642"/>
      <c r="I56" s="311" t="s">
        <v>737</v>
      </c>
      <c r="J56" s="118">
        <v>0</v>
      </c>
    </row>
    <row r="57" spans="1:10" x14ac:dyDescent="0.25">
      <c r="A57" s="315" t="s">
        <v>738</v>
      </c>
      <c r="B57" s="118">
        <v>0</v>
      </c>
      <c r="C57" s="631" t="s">
        <v>746</v>
      </c>
      <c r="D57" s="634">
        <f>+B57+B58+B59</f>
        <v>0</v>
      </c>
      <c r="E57" s="631" t="s">
        <v>749</v>
      </c>
      <c r="F57" s="637">
        <f>+D57+D60</f>
        <v>0</v>
      </c>
      <c r="G57" s="638"/>
      <c r="I57" s="311" t="s">
        <v>738</v>
      </c>
      <c r="J57" s="118">
        <v>0</v>
      </c>
    </row>
    <row r="58" spans="1:10" x14ac:dyDescent="0.25">
      <c r="A58" s="315" t="s">
        <v>739</v>
      </c>
      <c r="B58" s="118">
        <v>0</v>
      </c>
      <c r="C58" s="632"/>
      <c r="D58" s="635"/>
      <c r="E58" s="632"/>
      <c r="F58" s="639"/>
      <c r="G58" s="640"/>
      <c r="I58" s="311" t="s">
        <v>739</v>
      </c>
      <c r="J58" s="118">
        <v>0</v>
      </c>
    </row>
    <row r="59" spans="1:10" x14ac:dyDescent="0.25">
      <c r="A59" s="315" t="s">
        <v>740</v>
      </c>
      <c r="B59" s="118">
        <v>0</v>
      </c>
      <c r="C59" s="633"/>
      <c r="D59" s="636"/>
      <c r="E59" s="632"/>
      <c r="F59" s="639"/>
      <c r="G59" s="640"/>
      <c r="I59" s="311" t="s">
        <v>740</v>
      </c>
      <c r="J59" s="118">
        <v>0</v>
      </c>
    </row>
    <row r="60" spans="1:10" x14ac:dyDescent="0.25">
      <c r="A60" s="315" t="s">
        <v>741</v>
      </c>
      <c r="B60" s="118">
        <v>0</v>
      </c>
      <c r="C60" s="631" t="s">
        <v>776</v>
      </c>
      <c r="D60" s="634">
        <f>+B60+B61+B62</f>
        <v>0</v>
      </c>
      <c r="E60" s="632"/>
      <c r="F60" s="639"/>
      <c r="G60" s="640"/>
      <c r="I60" s="311" t="s">
        <v>741</v>
      </c>
      <c r="J60" s="118">
        <v>0</v>
      </c>
    </row>
    <row r="61" spans="1:10" x14ac:dyDescent="0.25">
      <c r="A61" s="315" t="s">
        <v>742</v>
      </c>
      <c r="B61" s="118">
        <v>0</v>
      </c>
      <c r="C61" s="632"/>
      <c r="D61" s="635"/>
      <c r="E61" s="632"/>
      <c r="F61" s="639"/>
      <c r="G61" s="640"/>
      <c r="I61" s="311" t="s">
        <v>742</v>
      </c>
      <c r="J61" s="118">
        <v>0</v>
      </c>
    </row>
    <row r="62" spans="1:10" x14ac:dyDescent="0.25">
      <c r="A62" s="315" t="s">
        <v>732</v>
      </c>
      <c r="B62" s="118">
        <v>0</v>
      </c>
      <c r="C62" s="633"/>
      <c r="D62" s="636"/>
      <c r="E62" s="633"/>
      <c r="F62" s="641"/>
      <c r="G62" s="642"/>
      <c r="I62" s="311" t="s">
        <v>732</v>
      </c>
      <c r="J62" s="118">
        <v>0</v>
      </c>
    </row>
    <row r="63" spans="1:10" x14ac:dyDescent="0.25">
      <c r="A63" s="312" t="s">
        <v>690</v>
      </c>
      <c r="B63" s="266">
        <f>SUM(B51:B62)</f>
        <v>0</v>
      </c>
      <c r="C63" s="312" t="s">
        <v>690</v>
      </c>
      <c r="D63" s="266">
        <f>SUM(D51:D62)</f>
        <v>0</v>
      </c>
      <c r="E63" s="312" t="s">
        <v>690</v>
      </c>
      <c r="F63" s="629">
        <f>SUM(F51:G62)</f>
        <v>0</v>
      </c>
      <c r="G63" s="630"/>
      <c r="I63" s="312" t="s">
        <v>690</v>
      </c>
      <c r="J63" s="117">
        <f>SUM(J51:J62)</f>
        <v>0</v>
      </c>
    </row>
    <row r="65" spans="1:10" ht="18.75" customHeight="1" x14ac:dyDescent="0.25">
      <c r="A65" s="313" t="s">
        <v>1079</v>
      </c>
      <c r="B65" s="314"/>
      <c r="C65" s="314"/>
      <c r="D65" s="309" t="s">
        <v>1080</v>
      </c>
      <c r="E65" s="643"/>
      <c r="F65" s="643"/>
      <c r="G65" s="643"/>
      <c r="I65" s="644" t="s">
        <v>856</v>
      </c>
      <c r="J65" s="644"/>
    </row>
    <row r="66" spans="1:10" x14ac:dyDescent="0.25">
      <c r="A66" s="645" t="s">
        <v>241</v>
      </c>
      <c r="B66" s="646"/>
      <c r="C66" s="645" t="s">
        <v>743</v>
      </c>
      <c r="D66" s="646"/>
      <c r="E66" s="645" t="s">
        <v>747</v>
      </c>
      <c r="F66" s="646"/>
      <c r="G66" s="647"/>
      <c r="I66" s="648" t="s">
        <v>241</v>
      </c>
      <c r="J66" s="648"/>
    </row>
    <row r="67" spans="1:10" x14ac:dyDescent="0.25">
      <c r="A67" s="315" t="s">
        <v>733</v>
      </c>
      <c r="B67" s="118">
        <v>0</v>
      </c>
      <c r="C67" s="631" t="s">
        <v>744</v>
      </c>
      <c r="D67" s="634">
        <f>+B67+B68+B69</f>
        <v>0</v>
      </c>
      <c r="E67" s="631" t="s">
        <v>748</v>
      </c>
      <c r="F67" s="637">
        <f>+D67+D70</f>
        <v>0</v>
      </c>
      <c r="G67" s="638"/>
      <c r="I67" s="311" t="s">
        <v>733</v>
      </c>
      <c r="J67" s="316">
        <v>0</v>
      </c>
    </row>
    <row r="68" spans="1:10" x14ac:dyDescent="0.25">
      <c r="A68" s="315" t="s">
        <v>517</v>
      </c>
      <c r="B68" s="118">
        <v>0</v>
      </c>
      <c r="C68" s="632"/>
      <c r="D68" s="635"/>
      <c r="E68" s="632"/>
      <c r="F68" s="639"/>
      <c r="G68" s="640"/>
      <c r="I68" s="311" t="s">
        <v>517</v>
      </c>
      <c r="J68" s="316">
        <v>0</v>
      </c>
    </row>
    <row r="69" spans="1:10" x14ac:dyDescent="0.25">
      <c r="A69" s="315" t="s">
        <v>734</v>
      </c>
      <c r="B69" s="118">
        <v>0</v>
      </c>
      <c r="C69" s="633"/>
      <c r="D69" s="636"/>
      <c r="E69" s="632"/>
      <c r="F69" s="639"/>
      <c r="G69" s="640"/>
      <c r="I69" s="311" t="s">
        <v>734</v>
      </c>
      <c r="J69" s="316">
        <v>0</v>
      </c>
    </row>
    <row r="70" spans="1:10" x14ac:dyDescent="0.25">
      <c r="A70" s="315" t="s">
        <v>735</v>
      </c>
      <c r="B70" s="118">
        <v>0</v>
      </c>
      <c r="C70" s="631" t="s">
        <v>745</v>
      </c>
      <c r="D70" s="634">
        <f>+B70+B71+B72</f>
        <v>0</v>
      </c>
      <c r="E70" s="632"/>
      <c r="F70" s="639"/>
      <c r="G70" s="640"/>
      <c r="I70" s="311" t="s">
        <v>735</v>
      </c>
      <c r="J70" s="316">
        <v>0</v>
      </c>
    </row>
    <row r="71" spans="1:10" x14ac:dyDescent="0.25">
      <c r="A71" s="315" t="s">
        <v>736</v>
      </c>
      <c r="B71" s="118">
        <v>0</v>
      </c>
      <c r="C71" s="632"/>
      <c r="D71" s="635"/>
      <c r="E71" s="632"/>
      <c r="F71" s="639"/>
      <c r="G71" s="640"/>
      <c r="I71" s="311" t="s">
        <v>736</v>
      </c>
      <c r="J71" s="316">
        <v>0</v>
      </c>
    </row>
    <row r="72" spans="1:10" x14ac:dyDescent="0.25">
      <c r="A72" s="315" t="s">
        <v>737</v>
      </c>
      <c r="B72" s="118">
        <v>0</v>
      </c>
      <c r="C72" s="633"/>
      <c r="D72" s="636"/>
      <c r="E72" s="633"/>
      <c r="F72" s="641"/>
      <c r="G72" s="642"/>
      <c r="I72" s="311" t="s">
        <v>737</v>
      </c>
      <c r="J72" s="316">
        <v>0</v>
      </c>
    </row>
    <row r="73" spans="1:10" x14ac:dyDescent="0.25">
      <c r="A73" s="315" t="s">
        <v>738</v>
      </c>
      <c r="B73" s="118">
        <v>0</v>
      </c>
      <c r="C73" s="631" t="s">
        <v>746</v>
      </c>
      <c r="D73" s="634">
        <f>+B73+B74+B75</f>
        <v>0</v>
      </c>
      <c r="E73" s="631" t="s">
        <v>749</v>
      </c>
      <c r="F73" s="637">
        <f>+D73+D76</f>
        <v>0</v>
      </c>
      <c r="G73" s="638"/>
      <c r="I73" s="311" t="s">
        <v>738</v>
      </c>
      <c r="J73" s="316">
        <v>0</v>
      </c>
    </row>
    <row r="74" spans="1:10" x14ac:dyDescent="0.25">
      <c r="A74" s="315" t="s">
        <v>739</v>
      </c>
      <c r="B74" s="118">
        <v>0</v>
      </c>
      <c r="C74" s="632"/>
      <c r="D74" s="635"/>
      <c r="E74" s="632"/>
      <c r="F74" s="639"/>
      <c r="G74" s="640"/>
      <c r="I74" s="311" t="s">
        <v>739</v>
      </c>
      <c r="J74" s="316">
        <v>0</v>
      </c>
    </row>
    <row r="75" spans="1:10" x14ac:dyDescent="0.25">
      <c r="A75" s="315" t="s">
        <v>740</v>
      </c>
      <c r="B75" s="118">
        <v>0</v>
      </c>
      <c r="C75" s="633"/>
      <c r="D75" s="636"/>
      <c r="E75" s="632"/>
      <c r="F75" s="639"/>
      <c r="G75" s="640"/>
      <c r="I75" s="311" t="s">
        <v>740</v>
      </c>
      <c r="J75" s="316">
        <v>0</v>
      </c>
    </row>
    <row r="76" spans="1:10" x14ac:dyDescent="0.25">
      <c r="A76" s="315" t="s">
        <v>741</v>
      </c>
      <c r="B76" s="118">
        <v>0</v>
      </c>
      <c r="C76" s="631" t="s">
        <v>776</v>
      </c>
      <c r="D76" s="634">
        <f>+B76+B77+B78</f>
        <v>0</v>
      </c>
      <c r="E76" s="632"/>
      <c r="F76" s="639"/>
      <c r="G76" s="640"/>
      <c r="I76" s="311" t="s">
        <v>741</v>
      </c>
      <c r="J76" s="316">
        <v>0</v>
      </c>
    </row>
    <row r="77" spans="1:10" x14ac:dyDescent="0.25">
      <c r="A77" s="315" t="s">
        <v>742</v>
      </c>
      <c r="B77" s="118">
        <v>0</v>
      </c>
      <c r="C77" s="632"/>
      <c r="D77" s="635"/>
      <c r="E77" s="632"/>
      <c r="F77" s="639"/>
      <c r="G77" s="640"/>
      <c r="I77" s="311" t="s">
        <v>742</v>
      </c>
      <c r="J77" s="316">
        <v>0</v>
      </c>
    </row>
    <row r="78" spans="1:10" x14ac:dyDescent="0.25">
      <c r="A78" s="315" t="s">
        <v>732</v>
      </c>
      <c r="B78" s="118">
        <v>0</v>
      </c>
      <c r="C78" s="633"/>
      <c r="D78" s="636"/>
      <c r="E78" s="633"/>
      <c r="F78" s="641"/>
      <c r="G78" s="642"/>
      <c r="I78" s="311" t="s">
        <v>732</v>
      </c>
      <c r="J78" s="316">
        <v>0</v>
      </c>
    </row>
    <row r="79" spans="1:10" x14ac:dyDescent="0.25">
      <c r="A79" s="312" t="s">
        <v>690</v>
      </c>
      <c r="B79" s="266">
        <f>SUM(B67:B78)</f>
        <v>0</v>
      </c>
      <c r="C79" s="312" t="s">
        <v>690</v>
      </c>
      <c r="D79" s="266">
        <f>SUM(D67:D78)</f>
        <v>0</v>
      </c>
      <c r="E79" s="312" t="s">
        <v>690</v>
      </c>
      <c r="F79" s="629">
        <f>SUM(F67:G78)</f>
        <v>0</v>
      </c>
      <c r="G79" s="630"/>
      <c r="I79" s="312" t="s">
        <v>690</v>
      </c>
      <c r="J79" s="117">
        <f>SUM(J67:J78)</f>
        <v>0</v>
      </c>
    </row>
    <row r="81" spans="1:10" ht="18.75" customHeight="1" x14ac:dyDescent="0.25">
      <c r="A81" s="313" t="s">
        <v>1079</v>
      </c>
      <c r="B81" s="314"/>
      <c r="C81" s="314"/>
      <c r="D81" s="309" t="s">
        <v>1080</v>
      </c>
      <c r="E81" s="643"/>
      <c r="F81" s="643"/>
      <c r="G81" s="643"/>
      <c r="I81" s="644" t="s">
        <v>856</v>
      </c>
      <c r="J81" s="644"/>
    </row>
    <row r="82" spans="1:10" x14ac:dyDescent="0.25">
      <c r="A82" s="645" t="s">
        <v>241</v>
      </c>
      <c r="B82" s="646"/>
      <c r="C82" s="645" t="s">
        <v>743</v>
      </c>
      <c r="D82" s="646"/>
      <c r="E82" s="645" t="s">
        <v>747</v>
      </c>
      <c r="F82" s="646"/>
      <c r="G82" s="647"/>
      <c r="I82" s="648" t="s">
        <v>241</v>
      </c>
      <c r="J82" s="648"/>
    </row>
    <row r="83" spans="1:10" x14ac:dyDescent="0.25">
      <c r="A83" s="315" t="s">
        <v>733</v>
      </c>
      <c r="B83" s="118">
        <v>0</v>
      </c>
      <c r="C83" s="631" t="s">
        <v>744</v>
      </c>
      <c r="D83" s="634">
        <f>+B83+B84+B85</f>
        <v>0</v>
      </c>
      <c r="E83" s="631" t="s">
        <v>748</v>
      </c>
      <c r="F83" s="637">
        <f>+D83+D86</f>
        <v>0</v>
      </c>
      <c r="G83" s="638"/>
      <c r="I83" s="311" t="s">
        <v>733</v>
      </c>
      <c r="J83" s="316">
        <v>0</v>
      </c>
    </row>
    <row r="84" spans="1:10" x14ac:dyDescent="0.25">
      <c r="A84" s="315" t="s">
        <v>517</v>
      </c>
      <c r="B84" s="118">
        <v>0</v>
      </c>
      <c r="C84" s="632"/>
      <c r="D84" s="635"/>
      <c r="E84" s="632"/>
      <c r="F84" s="639"/>
      <c r="G84" s="640"/>
      <c r="I84" s="311" t="s">
        <v>517</v>
      </c>
      <c r="J84" s="316">
        <v>0</v>
      </c>
    </row>
    <row r="85" spans="1:10" x14ac:dyDescent="0.25">
      <c r="A85" s="315" t="s">
        <v>734</v>
      </c>
      <c r="B85" s="118">
        <v>0</v>
      </c>
      <c r="C85" s="633"/>
      <c r="D85" s="636"/>
      <c r="E85" s="632"/>
      <c r="F85" s="639"/>
      <c r="G85" s="640"/>
      <c r="I85" s="311" t="s">
        <v>734</v>
      </c>
      <c r="J85" s="316">
        <v>0</v>
      </c>
    </row>
    <row r="86" spans="1:10" x14ac:dyDescent="0.25">
      <c r="A86" s="315" t="s">
        <v>735</v>
      </c>
      <c r="B86" s="118">
        <v>0</v>
      </c>
      <c r="C86" s="631" t="s">
        <v>745</v>
      </c>
      <c r="D86" s="634">
        <f>+B86+B87+B88</f>
        <v>0</v>
      </c>
      <c r="E86" s="632"/>
      <c r="F86" s="639"/>
      <c r="G86" s="640"/>
      <c r="I86" s="311" t="s">
        <v>735</v>
      </c>
      <c r="J86" s="316">
        <v>0</v>
      </c>
    </row>
    <row r="87" spans="1:10" x14ac:dyDescent="0.25">
      <c r="A87" s="315" t="s">
        <v>736</v>
      </c>
      <c r="B87" s="118">
        <v>0</v>
      </c>
      <c r="C87" s="632"/>
      <c r="D87" s="635"/>
      <c r="E87" s="632"/>
      <c r="F87" s="639"/>
      <c r="G87" s="640"/>
      <c r="I87" s="311" t="s">
        <v>736</v>
      </c>
      <c r="J87" s="316">
        <v>0</v>
      </c>
    </row>
    <row r="88" spans="1:10" x14ac:dyDescent="0.25">
      <c r="A88" s="315" t="s">
        <v>737</v>
      </c>
      <c r="B88" s="118">
        <v>0</v>
      </c>
      <c r="C88" s="633"/>
      <c r="D88" s="636"/>
      <c r="E88" s="633"/>
      <c r="F88" s="641"/>
      <c r="G88" s="642"/>
      <c r="I88" s="311" t="s">
        <v>737</v>
      </c>
      <c r="J88" s="316">
        <v>0</v>
      </c>
    </row>
    <row r="89" spans="1:10" x14ac:dyDescent="0.25">
      <c r="A89" s="315" t="s">
        <v>738</v>
      </c>
      <c r="B89" s="118">
        <v>0</v>
      </c>
      <c r="C89" s="631" t="s">
        <v>746</v>
      </c>
      <c r="D89" s="634">
        <f>+B89+B90+B91</f>
        <v>0</v>
      </c>
      <c r="E89" s="631" t="s">
        <v>749</v>
      </c>
      <c r="F89" s="637">
        <f>+D89+D92</f>
        <v>0</v>
      </c>
      <c r="G89" s="638"/>
      <c r="I89" s="311" t="s">
        <v>738</v>
      </c>
      <c r="J89" s="316">
        <v>0</v>
      </c>
    </row>
    <row r="90" spans="1:10" x14ac:dyDescent="0.25">
      <c r="A90" s="315" t="s">
        <v>739</v>
      </c>
      <c r="B90" s="118">
        <v>0</v>
      </c>
      <c r="C90" s="632"/>
      <c r="D90" s="635"/>
      <c r="E90" s="632"/>
      <c r="F90" s="639"/>
      <c r="G90" s="640"/>
      <c r="I90" s="311" t="s">
        <v>739</v>
      </c>
      <c r="J90" s="316">
        <v>0</v>
      </c>
    </row>
    <row r="91" spans="1:10" x14ac:dyDescent="0.25">
      <c r="A91" s="315" t="s">
        <v>740</v>
      </c>
      <c r="B91" s="118">
        <v>0</v>
      </c>
      <c r="C91" s="633"/>
      <c r="D91" s="636"/>
      <c r="E91" s="632"/>
      <c r="F91" s="639"/>
      <c r="G91" s="640"/>
      <c r="I91" s="311" t="s">
        <v>740</v>
      </c>
      <c r="J91" s="316">
        <v>0</v>
      </c>
    </row>
    <row r="92" spans="1:10" x14ac:dyDescent="0.25">
      <c r="A92" s="315" t="s">
        <v>741</v>
      </c>
      <c r="B92" s="118">
        <v>0</v>
      </c>
      <c r="C92" s="631" t="s">
        <v>776</v>
      </c>
      <c r="D92" s="634">
        <f>+B92+B93+B94</f>
        <v>0</v>
      </c>
      <c r="E92" s="632"/>
      <c r="F92" s="639"/>
      <c r="G92" s="640"/>
      <c r="I92" s="311" t="s">
        <v>741</v>
      </c>
      <c r="J92" s="316">
        <v>0</v>
      </c>
    </row>
    <row r="93" spans="1:10" x14ac:dyDescent="0.25">
      <c r="A93" s="315" t="s">
        <v>742</v>
      </c>
      <c r="B93" s="118">
        <v>0</v>
      </c>
      <c r="C93" s="632"/>
      <c r="D93" s="635"/>
      <c r="E93" s="632"/>
      <c r="F93" s="639"/>
      <c r="G93" s="640"/>
      <c r="I93" s="311" t="s">
        <v>742</v>
      </c>
      <c r="J93" s="316">
        <v>0</v>
      </c>
    </row>
    <row r="94" spans="1:10" x14ac:dyDescent="0.25">
      <c r="A94" s="315" t="s">
        <v>732</v>
      </c>
      <c r="B94" s="118">
        <v>0</v>
      </c>
      <c r="C94" s="633"/>
      <c r="D94" s="636"/>
      <c r="E94" s="633"/>
      <c r="F94" s="641"/>
      <c r="G94" s="642"/>
      <c r="I94" s="311" t="s">
        <v>732</v>
      </c>
      <c r="J94" s="316">
        <v>0</v>
      </c>
    </row>
    <row r="95" spans="1:10" x14ac:dyDescent="0.25">
      <c r="A95" s="312" t="s">
        <v>690</v>
      </c>
      <c r="B95" s="266">
        <f>SUM(B83:B94)</f>
        <v>0</v>
      </c>
      <c r="C95" s="312" t="s">
        <v>690</v>
      </c>
      <c r="D95" s="266">
        <f>SUM(D83:D94)</f>
        <v>0</v>
      </c>
      <c r="E95" s="312" t="s">
        <v>690</v>
      </c>
      <c r="F95" s="629">
        <f>SUM(F83:G94)</f>
        <v>0</v>
      </c>
      <c r="G95" s="630"/>
      <c r="I95" s="312" t="s">
        <v>690</v>
      </c>
      <c r="J95" s="117">
        <f>SUM(J83:J94)</f>
        <v>0</v>
      </c>
    </row>
    <row r="97" spans="1:10" ht="18.75" customHeight="1" x14ac:dyDescent="0.25">
      <c r="A97" s="313" t="s">
        <v>1079</v>
      </c>
      <c r="B97" s="314"/>
      <c r="C97" s="314"/>
      <c r="D97" s="309" t="s">
        <v>1080</v>
      </c>
      <c r="E97" s="643"/>
      <c r="F97" s="643"/>
      <c r="G97" s="643"/>
      <c r="I97" s="644" t="s">
        <v>856</v>
      </c>
      <c r="J97" s="644"/>
    </row>
    <row r="98" spans="1:10" x14ac:dyDescent="0.25">
      <c r="A98" s="645" t="s">
        <v>241</v>
      </c>
      <c r="B98" s="646"/>
      <c r="C98" s="645" t="s">
        <v>743</v>
      </c>
      <c r="D98" s="646"/>
      <c r="E98" s="645" t="s">
        <v>747</v>
      </c>
      <c r="F98" s="646"/>
      <c r="G98" s="647"/>
      <c r="I98" s="648" t="s">
        <v>241</v>
      </c>
      <c r="J98" s="648"/>
    </row>
    <row r="99" spans="1:10" x14ac:dyDescent="0.25">
      <c r="A99" s="315" t="s">
        <v>733</v>
      </c>
      <c r="B99" s="118">
        <v>0</v>
      </c>
      <c r="C99" s="631" t="s">
        <v>744</v>
      </c>
      <c r="D99" s="634">
        <f>+B99+B100+B101</f>
        <v>0</v>
      </c>
      <c r="E99" s="631" t="s">
        <v>748</v>
      </c>
      <c r="F99" s="637">
        <f>+D99+D102</f>
        <v>0</v>
      </c>
      <c r="G99" s="638"/>
      <c r="I99" s="311" t="s">
        <v>733</v>
      </c>
      <c r="J99" s="316">
        <v>0</v>
      </c>
    </row>
    <row r="100" spans="1:10" x14ac:dyDescent="0.25">
      <c r="A100" s="315" t="s">
        <v>517</v>
      </c>
      <c r="B100" s="118">
        <v>0</v>
      </c>
      <c r="C100" s="632"/>
      <c r="D100" s="635"/>
      <c r="E100" s="632"/>
      <c r="F100" s="639"/>
      <c r="G100" s="640"/>
      <c r="I100" s="311" t="s">
        <v>517</v>
      </c>
      <c r="J100" s="316">
        <v>0</v>
      </c>
    </row>
    <row r="101" spans="1:10" x14ac:dyDescent="0.25">
      <c r="A101" s="315" t="s">
        <v>734</v>
      </c>
      <c r="B101" s="118">
        <v>0</v>
      </c>
      <c r="C101" s="633"/>
      <c r="D101" s="636"/>
      <c r="E101" s="632"/>
      <c r="F101" s="639"/>
      <c r="G101" s="640"/>
      <c r="I101" s="311" t="s">
        <v>734</v>
      </c>
      <c r="J101" s="316">
        <v>0</v>
      </c>
    </row>
    <row r="102" spans="1:10" x14ac:dyDescent="0.25">
      <c r="A102" s="315" t="s">
        <v>735</v>
      </c>
      <c r="B102" s="118">
        <v>0</v>
      </c>
      <c r="C102" s="631" t="s">
        <v>745</v>
      </c>
      <c r="D102" s="634">
        <f>+B102+B103+B104</f>
        <v>0</v>
      </c>
      <c r="E102" s="632"/>
      <c r="F102" s="639"/>
      <c r="G102" s="640"/>
      <c r="I102" s="311" t="s">
        <v>735</v>
      </c>
      <c r="J102" s="316">
        <v>0</v>
      </c>
    </row>
    <row r="103" spans="1:10" x14ac:dyDescent="0.25">
      <c r="A103" s="315" t="s">
        <v>736</v>
      </c>
      <c r="B103" s="118">
        <v>0</v>
      </c>
      <c r="C103" s="632"/>
      <c r="D103" s="635"/>
      <c r="E103" s="632"/>
      <c r="F103" s="639"/>
      <c r="G103" s="640"/>
      <c r="I103" s="311" t="s">
        <v>736</v>
      </c>
      <c r="J103" s="316">
        <v>0</v>
      </c>
    </row>
    <row r="104" spans="1:10" x14ac:dyDescent="0.25">
      <c r="A104" s="315" t="s">
        <v>737</v>
      </c>
      <c r="B104" s="118">
        <v>0</v>
      </c>
      <c r="C104" s="633"/>
      <c r="D104" s="636"/>
      <c r="E104" s="633"/>
      <c r="F104" s="641"/>
      <c r="G104" s="642"/>
      <c r="I104" s="311" t="s">
        <v>737</v>
      </c>
      <c r="J104" s="316">
        <v>0</v>
      </c>
    </row>
    <row r="105" spans="1:10" x14ac:dyDescent="0.25">
      <c r="A105" s="315" t="s">
        <v>738</v>
      </c>
      <c r="B105" s="118">
        <v>0</v>
      </c>
      <c r="C105" s="631" t="s">
        <v>746</v>
      </c>
      <c r="D105" s="634">
        <f>+B105+B106+B107</f>
        <v>0</v>
      </c>
      <c r="E105" s="631" t="s">
        <v>749</v>
      </c>
      <c r="F105" s="637">
        <f>+D105+D108</f>
        <v>0</v>
      </c>
      <c r="G105" s="638"/>
      <c r="I105" s="311" t="s">
        <v>738</v>
      </c>
      <c r="J105" s="316">
        <v>0</v>
      </c>
    </row>
    <row r="106" spans="1:10" x14ac:dyDescent="0.25">
      <c r="A106" s="315" t="s">
        <v>739</v>
      </c>
      <c r="B106" s="118">
        <v>0</v>
      </c>
      <c r="C106" s="632"/>
      <c r="D106" s="635"/>
      <c r="E106" s="632"/>
      <c r="F106" s="639"/>
      <c r="G106" s="640"/>
      <c r="I106" s="311" t="s">
        <v>739</v>
      </c>
      <c r="J106" s="316">
        <v>0</v>
      </c>
    </row>
    <row r="107" spans="1:10" x14ac:dyDescent="0.25">
      <c r="A107" s="315" t="s">
        <v>740</v>
      </c>
      <c r="B107" s="118">
        <v>0</v>
      </c>
      <c r="C107" s="633"/>
      <c r="D107" s="636"/>
      <c r="E107" s="632"/>
      <c r="F107" s="639"/>
      <c r="G107" s="640"/>
      <c r="I107" s="311" t="s">
        <v>740</v>
      </c>
      <c r="J107" s="316">
        <v>0</v>
      </c>
    </row>
    <row r="108" spans="1:10" x14ac:dyDescent="0.25">
      <c r="A108" s="315" t="s">
        <v>741</v>
      </c>
      <c r="B108" s="118">
        <v>0</v>
      </c>
      <c r="C108" s="631" t="s">
        <v>776</v>
      </c>
      <c r="D108" s="634">
        <f>+B108+B109+B110</f>
        <v>0</v>
      </c>
      <c r="E108" s="632"/>
      <c r="F108" s="639"/>
      <c r="G108" s="640"/>
      <c r="I108" s="311" t="s">
        <v>741</v>
      </c>
      <c r="J108" s="316">
        <v>0</v>
      </c>
    </row>
    <row r="109" spans="1:10" x14ac:dyDescent="0.25">
      <c r="A109" s="315" t="s">
        <v>742</v>
      </c>
      <c r="B109" s="118">
        <v>0</v>
      </c>
      <c r="C109" s="632"/>
      <c r="D109" s="635"/>
      <c r="E109" s="632"/>
      <c r="F109" s="639"/>
      <c r="G109" s="640"/>
      <c r="I109" s="311" t="s">
        <v>742</v>
      </c>
      <c r="J109" s="316">
        <v>0</v>
      </c>
    </row>
    <row r="110" spans="1:10" x14ac:dyDescent="0.25">
      <c r="A110" s="315" t="s">
        <v>732</v>
      </c>
      <c r="B110" s="118">
        <v>0</v>
      </c>
      <c r="C110" s="633"/>
      <c r="D110" s="636"/>
      <c r="E110" s="633"/>
      <c r="F110" s="641"/>
      <c r="G110" s="642"/>
      <c r="I110" s="311" t="s">
        <v>732</v>
      </c>
      <c r="J110" s="316">
        <v>0</v>
      </c>
    </row>
    <row r="111" spans="1:10" x14ac:dyDescent="0.25">
      <c r="A111" s="312" t="s">
        <v>690</v>
      </c>
      <c r="B111" s="266">
        <f>SUM(B99:B110)</f>
        <v>0</v>
      </c>
      <c r="C111" s="312" t="s">
        <v>690</v>
      </c>
      <c r="D111" s="266">
        <f>SUM(D99:D110)</f>
        <v>0</v>
      </c>
      <c r="E111" s="312" t="s">
        <v>690</v>
      </c>
      <c r="F111" s="629">
        <f>SUM(F99:G110)</f>
        <v>0</v>
      </c>
      <c r="G111" s="630"/>
      <c r="I111" s="312" t="s">
        <v>690</v>
      </c>
      <c r="J111" s="117">
        <f>SUM(J99:J110)</f>
        <v>0</v>
      </c>
    </row>
    <row r="113" spans="1:10" ht="18.75" customHeight="1" x14ac:dyDescent="0.25">
      <c r="A113" s="313" t="s">
        <v>1079</v>
      </c>
      <c r="B113" s="314"/>
      <c r="C113" s="314"/>
      <c r="D113" s="309" t="s">
        <v>1080</v>
      </c>
      <c r="E113" s="643"/>
      <c r="F113" s="643"/>
      <c r="G113" s="643"/>
      <c r="I113" s="644" t="s">
        <v>856</v>
      </c>
      <c r="J113" s="644"/>
    </row>
    <row r="114" spans="1:10" x14ac:dyDescent="0.25">
      <c r="A114" s="645" t="s">
        <v>241</v>
      </c>
      <c r="B114" s="646"/>
      <c r="C114" s="645" t="s">
        <v>743</v>
      </c>
      <c r="D114" s="646"/>
      <c r="E114" s="645" t="s">
        <v>747</v>
      </c>
      <c r="F114" s="646"/>
      <c r="G114" s="647"/>
      <c r="I114" s="648" t="s">
        <v>241</v>
      </c>
      <c r="J114" s="648"/>
    </row>
    <row r="115" spans="1:10" x14ac:dyDescent="0.25">
      <c r="A115" s="315" t="s">
        <v>733</v>
      </c>
      <c r="B115" s="118">
        <v>0</v>
      </c>
      <c r="C115" s="631" t="s">
        <v>744</v>
      </c>
      <c r="D115" s="634">
        <f>+B115+B116+B117</f>
        <v>0</v>
      </c>
      <c r="E115" s="631" t="s">
        <v>748</v>
      </c>
      <c r="F115" s="637">
        <f>+D115+D118</f>
        <v>0</v>
      </c>
      <c r="G115" s="638"/>
      <c r="I115" s="311" t="s">
        <v>733</v>
      </c>
      <c r="J115" s="316">
        <v>0</v>
      </c>
    </row>
    <row r="116" spans="1:10" x14ac:dyDescent="0.25">
      <c r="A116" s="315" t="s">
        <v>517</v>
      </c>
      <c r="B116" s="118">
        <v>0</v>
      </c>
      <c r="C116" s="632"/>
      <c r="D116" s="635"/>
      <c r="E116" s="632"/>
      <c r="F116" s="639"/>
      <c r="G116" s="640"/>
      <c r="I116" s="311" t="s">
        <v>517</v>
      </c>
      <c r="J116" s="316">
        <v>0</v>
      </c>
    </row>
    <row r="117" spans="1:10" x14ac:dyDescent="0.25">
      <c r="A117" s="315" t="s">
        <v>734</v>
      </c>
      <c r="B117" s="118">
        <v>0</v>
      </c>
      <c r="C117" s="633"/>
      <c r="D117" s="636"/>
      <c r="E117" s="632"/>
      <c r="F117" s="639"/>
      <c r="G117" s="640"/>
      <c r="I117" s="311" t="s">
        <v>734</v>
      </c>
      <c r="J117" s="316">
        <v>0</v>
      </c>
    </row>
    <row r="118" spans="1:10" x14ac:dyDescent="0.25">
      <c r="A118" s="315" t="s">
        <v>735</v>
      </c>
      <c r="B118" s="118">
        <v>0</v>
      </c>
      <c r="C118" s="631" t="s">
        <v>745</v>
      </c>
      <c r="D118" s="634">
        <f>+B118+B119+B120</f>
        <v>0</v>
      </c>
      <c r="E118" s="632"/>
      <c r="F118" s="639"/>
      <c r="G118" s="640"/>
      <c r="I118" s="311" t="s">
        <v>735</v>
      </c>
      <c r="J118" s="316">
        <v>0</v>
      </c>
    </row>
    <row r="119" spans="1:10" x14ac:dyDescent="0.25">
      <c r="A119" s="315" t="s">
        <v>736</v>
      </c>
      <c r="B119" s="118">
        <v>0</v>
      </c>
      <c r="C119" s="632"/>
      <c r="D119" s="635"/>
      <c r="E119" s="632"/>
      <c r="F119" s="639"/>
      <c r="G119" s="640"/>
      <c r="I119" s="311" t="s">
        <v>736</v>
      </c>
      <c r="J119" s="316">
        <v>0</v>
      </c>
    </row>
    <row r="120" spans="1:10" x14ac:dyDescent="0.25">
      <c r="A120" s="315" t="s">
        <v>737</v>
      </c>
      <c r="B120" s="118">
        <v>0</v>
      </c>
      <c r="C120" s="633"/>
      <c r="D120" s="636"/>
      <c r="E120" s="633"/>
      <c r="F120" s="641"/>
      <c r="G120" s="642"/>
      <c r="I120" s="311" t="s">
        <v>737</v>
      </c>
      <c r="J120" s="316">
        <v>0</v>
      </c>
    </row>
    <row r="121" spans="1:10" x14ac:dyDescent="0.25">
      <c r="A121" s="315" t="s">
        <v>738</v>
      </c>
      <c r="B121" s="118">
        <v>0</v>
      </c>
      <c r="C121" s="631" t="s">
        <v>746</v>
      </c>
      <c r="D121" s="634">
        <f>+B121+B122+B123</f>
        <v>0</v>
      </c>
      <c r="E121" s="631" t="s">
        <v>749</v>
      </c>
      <c r="F121" s="637">
        <f>+D121+D124</f>
        <v>0</v>
      </c>
      <c r="G121" s="638"/>
      <c r="I121" s="311" t="s">
        <v>738</v>
      </c>
      <c r="J121" s="316">
        <v>0</v>
      </c>
    </row>
    <row r="122" spans="1:10" x14ac:dyDescent="0.25">
      <c r="A122" s="315" t="s">
        <v>739</v>
      </c>
      <c r="B122" s="118">
        <v>0</v>
      </c>
      <c r="C122" s="632"/>
      <c r="D122" s="635"/>
      <c r="E122" s="632"/>
      <c r="F122" s="639"/>
      <c r="G122" s="640"/>
      <c r="I122" s="311" t="s">
        <v>739</v>
      </c>
      <c r="J122" s="316">
        <v>0</v>
      </c>
    </row>
    <row r="123" spans="1:10" x14ac:dyDescent="0.25">
      <c r="A123" s="315" t="s">
        <v>740</v>
      </c>
      <c r="B123" s="118">
        <v>0</v>
      </c>
      <c r="C123" s="633"/>
      <c r="D123" s="636"/>
      <c r="E123" s="632"/>
      <c r="F123" s="639"/>
      <c r="G123" s="640"/>
      <c r="I123" s="311" t="s">
        <v>740</v>
      </c>
      <c r="J123" s="316">
        <v>0</v>
      </c>
    </row>
    <row r="124" spans="1:10" x14ac:dyDescent="0.25">
      <c r="A124" s="315" t="s">
        <v>741</v>
      </c>
      <c r="B124" s="118">
        <v>0</v>
      </c>
      <c r="C124" s="631" t="s">
        <v>776</v>
      </c>
      <c r="D124" s="634">
        <f>+B124+B125+B126</f>
        <v>0</v>
      </c>
      <c r="E124" s="632"/>
      <c r="F124" s="639"/>
      <c r="G124" s="640"/>
      <c r="I124" s="311" t="s">
        <v>741</v>
      </c>
      <c r="J124" s="316">
        <v>0</v>
      </c>
    </row>
    <row r="125" spans="1:10" x14ac:dyDescent="0.25">
      <c r="A125" s="315" t="s">
        <v>742</v>
      </c>
      <c r="B125" s="118">
        <v>0</v>
      </c>
      <c r="C125" s="632"/>
      <c r="D125" s="635"/>
      <c r="E125" s="632"/>
      <c r="F125" s="639"/>
      <c r="G125" s="640"/>
      <c r="I125" s="311" t="s">
        <v>742</v>
      </c>
      <c r="J125" s="316">
        <v>0</v>
      </c>
    </row>
    <row r="126" spans="1:10" x14ac:dyDescent="0.25">
      <c r="A126" s="315" t="s">
        <v>732</v>
      </c>
      <c r="B126" s="118">
        <v>0</v>
      </c>
      <c r="C126" s="633"/>
      <c r="D126" s="636"/>
      <c r="E126" s="633"/>
      <c r="F126" s="641"/>
      <c r="G126" s="642"/>
      <c r="I126" s="311" t="s">
        <v>732</v>
      </c>
      <c r="J126" s="316">
        <v>0</v>
      </c>
    </row>
    <row r="127" spans="1:10" x14ac:dyDescent="0.25">
      <c r="A127" s="312" t="s">
        <v>690</v>
      </c>
      <c r="B127" s="266">
        <f>SUM(B115:B126)</f>
        <v>0</v>
      </c>
      <c r="C127" s="312" t="s">
        <v>690</v>
      </c>
      <c r="D127" s="266">
        <f>SUM(D115:D126)</f>
        <v>0</v>
      </c>
      <c r="E127" s="312" t="s">
        <v>690</v>
      </c>
      <c r="F127" s="629">
        <f>SUM(F115:G126)</f>
        <v>0</v>
      </c>
      <c r="G127" s="630"/>
      <c r="I127" s="312" t="s">
        <v>690</v>
      </c>
      <c r="J127" s="117">
        <f>SUM(J115:J126)</f>
        <v>0</v>
      </c>
    </row>
    <row r="129" spans="1:10" ht="18.75" customHeight="1" x14ac:dyDescent="0.25">
      <c r="A129" s="313" t="s">
        <v>1079</v>
      </c>
      <c r="B129" s="314"/>
      <c r="C129" s="314"/>
      <c r="D129" s="309" t="s">
        <v>1080</v>
      </c>
      <c r="E129" s="643"/>
      <c r="F129" s="643"/>
      <c r="G129" s="643"/>
      <c r="I129" s="644" t="s">
        <v>856</v>
      </c>
      <c r="J129" s="644"/>
    </row>
    <row r="130" spans="1:10" x14ac:dyDescent="0.25">
      <c r="A130" s="645" t="s">
        <v>241</v>
      </c>
      <c r="B130" s="646"/>
      <c r="C130" s="645" t="s">
        <v>743</v>
      </c>
      <c r="D130" s="646"/>
      <c r="E130" s="645" t="s">
        <v>747</v>
      </c>
      <c r="F130" s="646"/>
      <c r="G130" s="647"/>
      <c r="I130" s="648" t="s">
        <v>241</v>
      </c>
      <c r="J130" s="648"/>
    </row>
    <row r="131" spans="1:10" x14ac:dyDescent="0.25">
      <c r="A131" s="315" t="s">
        <v>733</v>
      </c>
      <c r="B131" s="118">
        <v>0</v>
      </c>
      <c r="C131" s="631" t="s">
        <v>744</v>
      </c>
      <c r="D131" s="634">
        <f>+B131+B132+B133</f>
        <v>0</v>
      </c>
      <c r="E131" s="631" t="s">
        <v>748</v>
      </c>
      <c r="F131" s="637">
        <f>+D131+D134</f>
        <v>0</v>
      </c>
      <c r="G131" s="638"/>
      <c r="I131" s="311" t="s">
        <v>733</v>
      </c>
      <c r="J131" s="316">
        <v>0</v>
      </c>
    </row>
    <row r="132" spans="1:10" x14ac:dyDescent="0.25">
      <c r="A132" s="315" t="s">
        <v>517</v>
      </c>
      <c r="B132" s="118">
        <v>0</v>
      </c>
      <c r="C132" s="632"/>
      <c r="D132" s="635"/>
      <c r="E132" s="632"/>
      <c r="F132" s="639"/>
      <c r="G132" s="640"/>
      <c r="I132" s="311" t="s">
        <v>517</v>
      </c>
      <c r="J132" s="316">
        <v>0</v>
      </c>
    </row>
    <row r="133" spans="1:10" x14ac:dyDescent="0.25">
      <c r="A133" s="315" t="s">
        <v>734</v>
      </c>
      <c r="B133" s="118">
        <v>0</v>
      </c>
      <c r="C133" s="633"/>
      <c r="D133" s="636"/>
      <c r="E133" s="632"/>
      <c r="F133" s="639"/>
      <c r="G133" s="640"/>
      <c r="I133" s="311" t="s">
        <v>734</v>
      </c>
      <c r="J133" s="316">
        <v>0</v>
      </c>
    </row>
    <row r="134" spans="1:10" x14ac:dyDescent="0.25">
      <c r="A134" s="315" t="s">
        <v>735</v>
      </c>
      <c r="B134" s="118">
        <v>0</v>
      </c>
      <c r="C134" s="631" t="s">
        <v>745</v>
      </c>
      <c r="D134" s="634">
        <f>+B134+B135+B136</f>
        <v>0</v>
      </c>
      <c r="E134" s="632"/>
      <c r="F134" s="639"/>
      <c r="G134" s="640"/>
      <c r="I134" s="311" t="s">
        <v>735</v>
      </c>
      <c r="J134" s="316">
        <v>0</v>
      </c>
    </row>
    <row r="135" spans="1:10" x14ac:dyDescent="0.25">
      <c r="A135" s="315" t="s">
        <v>736</v>
      </c>
      <c r="B135" s="118">
        <v>0</v>
      </c>
      <c r="C135" s="632"/>
      <c r="D135" s="635"/>
      <c r="E135" s="632"/>
      <c r="F135" s="639"/>
      <c r="G135" s="640"/>
      <c r="I135" s="311" t="s">
        <v>736</v>
      </c>
      <c r="J135" s="316">
        <v>0</v>
      </c>
    </row>
    <row r="136" spans="1:10" x14ac:dyDescent="0.25">
      <c r="A136" s="315" t="s">
        <v>737</v>
      </c>
      <c r="B136" s="118">
        <v>0</v>
      </c>
      <c r="C136" s="633"/>
      <c r="D136" s="636"/>
      <c r="E136" s="633"/>
      <c r="F136" s="641"/>
      <c r="G136" s="642"/>
      <c r="I136" s="311" t="s">
        <v>737</v>
      </c>
      <c r="J136" s="316">
        <v>0</v>
      </c>
    </row>
    <row r="137" spans="1:10" x14ac:dyDescent="0.25">
      <c r="A137" s="315" t="s">
        <v>738</v>
      </c>
      <c r="B137" s="118">
        <v>0</v>
      </c>
      <c r="C137" s="631" t="s">
        <v>746</v>
      </c>
      <c r="D137" s="634">
        <f>+B137+B138+B139</f>
        <v>0</v>
      </c>
      <c r="E137" s="631" t="s">
        <v>749</v>
      </c>
      <c r="F137" s="637">
        <f>+D137+D140</f>
        <v>0</v>
      </c>
      <c r="G137" s="638"/>
      <c r="I137" s="311" t="s">
        <v>738</v>
      </c>
      <c r="J137" s="316">
        <v>0</v>
      </c>
    </row>
    <row r="138" spans="1:10" x14ac:dyDescent="0.25">
      <c r="A138" s="315" t="s">
        <v>739</v>
      </c>
      <c r="B138" s="118">
        <v>0</v>
      </c>
      <c r="C138" s="632"/>
      <c r="D138" s="635"/>
      <c r="E138" s="632"/>
      <c r="F138" s="639"/>
      <c r="G138" s="640"/>
      <c r="I138" s="311" t="s">
        <v>739</v>
      </c>
      <c r="J138" s="316">
        <v>0</v>
      </c>
    </row>
    <row r="139" spans="1:10" x14ac:dyDescent="0.25">
      <c r="A139" s="315" t="s">
        <v>740</v>
      </c>
      <c r="B139" s="118">
        <v>0</v>
      </c>
      <c r="C139" s="633"/>
      <c r="D139" s="636"/>
      <c r="E139" s="632"/>
      <c r="F139" s="639"/>
      <c r="G139" s="640"/>
      <c r="I139" s="311" t="s">
        <v>740</v>
      </c>
      <c r="J139" s="316">
        <v>0</v>
      </c>
    </row>
    <row r="140" spans="1:10" x14ac:dyDescent="0.25">
      <c r="A140" s="315" t="s">
        <v>741</v>
      </c>
      <c r="B140" s="118">
        <v>0</v>
      </c>
      <c r="C140" s="631" t="s">
        <v>776</v>
      </c>
      <c r="D140" s="634">
        <f>+B140+B141+B142</f>
        <v>0</v>
      </c>
      <c r="E140" s="632"/>
      <c r="F140" s="639"/>
      <c r="G140" s="640"/>
      <c r="I140" s="311" t="s">
        <v>741</v>
      </c>
      <c r="J140" s="316">
        <v>0</v>
      </c>
    </row>
    <row r="141" spans="1:10" x14ac:dyDescent="0.25">
      <c r="A141" s="315" t="s">
        <v>742</v>
      </c>
      <c r="B141" s="118">
        <v>0</v>
      </c>
      <c r="C141" s="632"/>
      <c r="D141" s="635"/>
      <c r="E141" s="632"/>
      <c r="F141" s="639"/>
      <c r="G141" s="640"/>
      <c r="I141" s="311" t="s">
        <v>742</v>
      </c>
      <c r="J141" s="316">
        <v>0</v>
      </c>
    </row>
    <row r="142" spans="1:10" x14ac:dyDescent="0.25">
      <c r="A142" s="315" t="s">
        <v>732</v>
      </c>
      <c r="B142" s="118">
        <v>0</v>
      </c>
      <c r="C142" s="633"/>
      <c r="D142" s="636"/>
      <c r="E142" s="633"/>
      <c r="F142" s="641"/>
      <c r="G142" s="642"/>
      <c r="I142" s="311" t="s">
        <v>732</v>
      </c>
      <c r="J142" s="316">
        <v>0</v>
      </c>
    </row>
    <row r="143" spans="1:10" x14ac:dyDescent="0.25">
      <c r="A143" s="312" t="s">
        <v>690</v>
      </c>
      <c r="B143" s="266">
        <f>SUM(B131:B142)</f>
        <v>0</v>
      </c>
      <c r="C143" s="312" t="s">
        <v>690</v>
      </c>
      <c r="D143" s="266">
        <f>SUM(D131:D142)</f>
        <v>0</v>
      </c>
      <c r="E143" s="312" t="s">
        <v>690</v>
      </c>
      <c r="F143" s="629">
        <f>SUM(F131:G142)</f>
        <v>0</v>
      </c>
      <c r="G143" s="630"/>
      <c r="I143" s="312" t="s">
        <v>690</v>
      </c>
      <c r="J143" s="117">
        <f>SUM(J131:J142)</f>
        <v>0</v>
      </c>
    </row>
    <row r="145" spans="1:10" ht="18.75" customHeight="1" x14ac:dyDescent="0.25">
      <c r="A145" s="313" t="s">
        <v>1079</v>
      </c>
      <c r="B145" s="314"/>
      <c r="C145" s="314"/>
      <c r="D145" s="309" t="s">
        <v>1080</v>
      </c>
      <c r="E145" s="643"/>
      <c r="F145" s="643"/>
      <c r="G145" s="643"/>
      <c r="I145" s="644" t="s">
        <v>856</v>
      </c>
      <c r="J145" s="644"/>
    </row>
    <row r="146" spans="1:10" x14ac:dyDescent="0.25">
      <c r="A146" s="645" t="s">
        <v>241</v>
      </c>
      <c r="B146" s="646"/>
      <c r="C146" s="645" t="s">
        <v>743</v>
      </c>
      <c r="D146" s="646"/>
      <c r="E146" s="645" t="s">
        <v>747</v>
      </c>
      <c r="F146" s="646"/>
      <c r="G146" s="647"/>
      <c r="I146" s="648" t="s">
        <v>241</v>
      </c>
      <c r="J146" s="648"/>
    </row>
    <row r="147" spans="1:10" x14ac:dyDescent="0.25">
      <c r="A147" s="315" t="s">
        <v>733</v>
      </c>
      <c r="B147" s="118">
        <v>0</v>
      </c>
      <c r="C147" s="631" t="s">
        <v>744</v>
      </c>
      <c r="D147" s="634">
        <f>+B147+B148+B149</f>
        <v>0</v>
      </c>
      <c r="E147" s="631" t="s">
        <v>748</v>
      </c>
      <c r="F147" s="637">
        <f>+D147+D150</f>
        <v>0</v>
      </c>
      <c r="G147" s="638"/>
      <c r="I147" s="311" t="s">
        <v>733</v>
      </c>
      <c r="J147" s="316">
        <v>0</v>
      </c>
    </row>
    <row r="148" spans="1:10" x14ac:dyDescent="0.25">
      <c r="A148" s="315" t="s">
        <v>517</v>
      </c>
      <c r="B148" s="118">
        <v>0</v>
      </c>
      <c r="C148" s="632"/>
      <c r="D148" s="635"/>
      <c r="E148" s="632"/>
      <c r="F148" s="639"/>
      <c r="G148" s="640"/>
      <c r="I148" s="311" t="s">
        <v>517</v>
      </c>
      <c r="J148" s="316">
        <v>0</v>
      </c>
    </row>
    <row r="149" spans="1:10" x14ac:dyDescent="0.25">
      <c r="A149" s="315" t="s">
        <v>734</v>
      </c>
      <c r="B149" s="118">
        <v>0</v>
      </c>
      <c r="C149" s="633"/>
      <c r="D149" s="636"/>
      <c r="E149" s="632"/>
      <c r="F149" s="639"/>
      <c r="G149" s="640"/>
      <c r="I149" s="311" t="s">
        <v>734</v>
      </c>
      <c r="J149" s="316">
        <v>0</v>
      </c>
    </row>
    <row r="150" spans="1:10" x14ac:dyDescent="0.25">
      <c r="A150" s="315" t="s">
        <v>735</v>
      </c>
      <c r="B150" s="118">
        <v>0</v>
      </c>
      <c r="C150" s="631" t="s">
        <v>745</v>
      </c>
      <c r="D150" s="634">
        <f>+B150+B151+B152</f>
        <v>0</v>
      </c>
      <c r="E150" s="632"/>
      <c r="F150" s="639"/>
      <c r="G150" s="640"/>
      <c r="I150" s="311" t="s">
        <v>735</v>
      </c>
      <c r="J150" s="316">
        <v>0</v>
      </c>
    </row>
    <row r="151" spans="1:10" x14ac:dyDescent="0.25">
      <c r="A151" s="315" t="s">
        <v>736</v>
      </c>
      <c r="B151" s="118">
        <v>0</v>
      </c>
      <c r="C151" s="632"/>
      <c r="D151" s="635"/>
      <c r="E151" s="632"/>
      <c r="F151" s="639"/>
      <c r="G151" s="640"/>
      <c r="I151" s="311" t="s">
        <v>736</v>
      </c>
      <c r="J151" s="316">
        <v>0</v>
      </c>
    </row>
    <row r="152" spans="1:10" x14ac:dyDescent="0.25">
      <c r="A152" s="315" t="s">
        <v>737</v>
      </c>
      <c r="B152" s="118">
        <v>0</v>
      </c>
      <c r="C152" s="633"/>
      <c r="D152" s="636"/>
      <c r="E152" s="633"/>
      <c r="F152" s="641"/>
      <c r="G152" s="642"/>
      <c r="I152" s="311" t="s">
        <v>737</v>
      </c>
      <c r="J152" s="316">
        <v>0</v>
      </c>
    </row>
    <row r="153" spans="1:10" x14ac:dyDescent="0.25">
      <c r="A153" s="315" t="s">
        <v>738</v>
      </c>
      <c r="B153" s="118">
        <v>0</v>
      </c>
      <c r="C153" s="631" t="s">
        <v>746</v>
      </c>
      <c r="D153" s="634">
        <f>+B153+B154+B155</f>
        <v>0</v>
      </c>
      <c r="E153" s="631" t="s">
        <v>749</v>
      </c>
      <c r="F153" s="637">
        <f>+D153+D156</f>
        <v>0</v>
      </c>
      <c r="G153" s="638"/>
      <c r="I153" s="311" t="s">
        <v>738</v>
      </c>
      <c r="J153" s="316">
        <v>0</v>
      </c>
    </row>
    <row r="154" spans="1:10" x14ac:dyDescent="0.25">
      <c r="A154" s="315" t="s">
        <v>739</v>
      </c>
      <c r="B154" s="118">
        <v>0</v>
      </c>
      <c r="C154" s="632"/>
      <c r="D154" s="635"/>
      <c r="E154" s="632"/>
      <c r="F154" s="639"/>
      <c r="G154" s="640"/>
      <c r="I154" s="311" t="s">
        <v>739</v>
      </c>
      <c r="J154" s="316">
        <v>0</v>
      </c>
    </row>
    <row r="155" spans="1:10" x14ac:dyDescent="0.25">
      <c r="A155" s="315" t="s">
        <v>740</v>
      </c>
      <c r="B155" s="118">
        <v>0</v>
      </c>
      <c r="C155" s="633"/>
      <c r="D155" s="636"/>
      <c r="E155" s="632"/>
      <c r="F155" s="639"/>
      <c r="G155" s="640"/>
      <c r="I155" s="311" t="s">
        <v>740</v>
      </c>
      <c r="J155" s="316">
        <v>0</v>
      </c>
    </row>
    <row r="156" spans="1:10" x14ac:dyDescent="0.25">
      <c r="A156" s="315" t="s">
        <v>741</v>
      </c>
      <c r="B156" s="118">
        <v>0</v>
      </c>
      <c r="C156" s="631" t="s">
        <v>776</v>
      </c>
      <c r="D156" s="634">
        <f>+B156+B157+B158</f>
        <v>0</v>
      </c>
      <c r="E156" s="632"/>
      <c r="F156" s="639"/>
      <c r="G156" s="640"/>
      <c r="I156" s="311" t="s">
        <v>741</v>
      </c>
      <c r="J156" s="316">
        <v>0</v>
      </c>
    </row>
    <row r="157" spans="1:10" x14ac:dyDescent="0.25">
      <c r="A157" s="315" t="s">
        <v>742</v>
      </c>
      <c r="B157" s="118">
        <v>0</v>
      </c>
      <c r="C157" s="632"/>
      <c r="D157" s="635"/>
      <c r="E157" s="632"/>
      <c r="F157" s="639"/>
      <c r="G157" s="640"/>
      <c r="I157" s="311" t="s">
        <v>742</v>
      </c>
      <c r="J157" s="316">
        <v>0</v>
      </c>
    </row>
    <row r="158" spans="1:10" x14ac:dyDescent="0.25">
      <c r="A158" s="315" t="s">
        <v>732</v>
      </c>
      <c r="B158" s="118">
        <v>0</v>
      </c>
      <c r="C158" s="633"/>
      <c r="D158" s="636"/>
      <c r="E158" s="633"/>
      <c r="F158" s="641"/>
      <c r="G158" s="642"/>
      <c r="I158" s="311" t="s">
        <v>732</v>
      </c>
      <c r="J158" s="316">
        <v>0</v>
      </c>
    </row>
    <row r="159" spans="1:10" x14ac:dyDescent="0.25">
      <c r="A159" s="312" t="s">
        <v>690</v>
      </c>
      <c r="B159" s="266">
        <f>SUM(B147:B158)</f>
        <v>0</v>
      </c>
      <c r="C159" s="312" t="s">
        <v>690</v>
      </c>
      <c r="D159" s="266">
        <f>SUM(D147:D158)</f>
        <v>0</v>
      </c>
      <c r="E159" s="312" t="s">
        <v>690</v>
      </c>
      <c r="F159" s="629">
        <f>SUM(F147:G158)</f>
        <v>0</v>
      </c>
      <c r="G159" s="630"/>
      <c r="I159" s="312" t="s">
        <v>690</v>
      </c>
      <c r="J159" s="117">
        <f>SUM(J147:J158)</f>
        <v>0</v>
      </c>
    </row>
    <row r="161" spans="1:10" ht="18.75" customHeight="1" x14ac:dyDescent="0.25">
      <c r="A161" s="313" t="s">
        <v>1079</v>
      </c>
      <c r="B161" s="314"/>
      <c r="C161" s="314"/>
      <c r="D161" s="309" t="s">
        <v>1080</v>
      </c>
      <c r="E161" s="643"/>
      <c r="F161" s="643"/>
      <c r="G161" s="643"/>
      <c r="I161" s="644" t="s">
        <v>856</v>
      </c>
      <c r="J161" s="644"/>
    </row>
    <row r="162" spans="1:10" x14ac:dyDescent="0.25">
      <c r="A162" s="645" t="s">
        <v>241</v>
      </c>
      <c r="B162" s="646"/>
      <c r="C162" s="645" t="s">
        <v>743</v>
      </c>
      <c r="D162" s="646"/>
      <c r="E162" s="645" t="s">
        <v>747</v>
      </c>
      <c r="F162" s="646"/>
      <c r="G162" s="647"/>
      <c r="I162" s="648" t="s">
        <v>241</v>
      </c>
      <c r="J162" s="648"/>
    </row>
    <row r="163" spans="1:10" x14ac:dyDescent="0.25">
      <c r="A163" s="315" t="s">
        <v>733</v>
      </c>
      <c r="B163" s="118">
        <v>0</v>
      </c>
      <c r="C163" s="631" t="s">
        <v>744</v>
      </c>
      <c r="D163" s="634">
        <f>+B163+B164+B165</f>
        <v>0</v>
      </c>
      <c r="E163" s="631" t="s">
        <v>748</v>
      </c>
      <c r="F163" s="637">
        <f>+D163+D166</f>
        <v>0</v>
      </c>
      <c r="G163" s="638"/>
      <c r="I163" s="311" t="s">
        <v>733</v>
      </c>
      <c r="J163" s="316">
        <v>0</v>
      </c>
    </row>
    <row r="164" spans="1:10" x14ac:dyDescent="0.25">
      <c r="A164" s="315" t="s">
        <v>517</v>
      </c>
      <c r="B164" s="118">
        <v>0</v>
      </c>
      <c r="C164" s="632"/>
      <c r="D164" s="635"/>
      <c r="E164" s="632"/>
      <c r="F164" s="639"/>
      <c r="G164" s="640"/>
      <c r="I164" s="311" t="s">
        <v>517</v>
      </c>
      <c r="J164" s="316">
        <v>0</v>
      </c>
    </row>
    <row r="165" spans="1:10" x14ac:dyDescent="0.25">
      <c r="A165" s="315" t="s">
        <v>734</v>
      </c>
      <c r="B165" s="118">
        <v>0</v>
      </c>
      <c r="C165" s="633"/>
      <c r="D165" s="636"/>
      <c r="E165" s="632"/>
      <c r="F165" s="639"/>
      <c r="G165" s="640"/>
      <c r="I165" s="311" t="s">
        <v>734</v>
      </c>
      <c r="J165" s="316">
        <v>0</v>
      </c>
    </row>
    <row r="166" spans="1:10" x14ac:dyDescent="0.25">
      <c r="A166" s="315" t="s">
        <v>735</v>
      </c>
      <c r="B166" s="118">
        <v>0</v>
      </c>
      <c r="C166" s="631" t="s">
        <v>745</v>
      </c>
      <c r="D166" s="634">
        <f>+B166+B167+B168</f>
        <v>0</v>
      </c>
      <c r="E166" s="632"/>
      <c r="F166" s="639"/>
      <c r="G166" s="640"/>
      <c r="I166" s="311" t="s">
        <v>735</v>
      </c>
      <c r="J166" s="316">
        <v>0</v>
      </c>
    </row>
    <row r="167" spans="1:10" x14ac:dyDescent="0.25">
      <c r="A167" s="315" t="s">
        <v>736</v>
      </c>
      <c r="B167" s="118">
        <v>0</v>
      </c>
      <c r="C167" s="632"/>
      <c r="D167" s="635"/>
      <c r="E167" s="632"/>
      <c r="F167" s="639"/>
      <c r="G167" s="640"/>
      <c r="I167" s="311" t="s">
        <v>736</v>
      </c>
      <c r="J167" s="316">
        <v>0</v>
      </c>
    </row>
    <row r="168" spans="1:10" x14ac:dyDescent="0.25">
      <c r="A168" s="315" t="s">
        <v>737</v>
      </c>
      <c r="B168" s="118">
        <v>0</v>
      </c>
      <c r="C168" s="633"/>
      <c r="D168" s="636"/>
      <c r="E168" s="633"/>
      <c r="F168" s="641"/>
      <c r="G168" s="642"/>
      <c r="I168" s="311" t="s">
        <v>737</v>
      </c>
      <c r="J168" s="316">
        <v>0</v>
      </c>
    </row>
    <row r="169" spans="1:10" x14ac:dyDescent="0.25">
      <c r="A169" s="315" t="s">
        <v>738</v>
      </c>
      <c r="B169" s="118">
        <v>0</v>
      </c>
      <c r="C169" s="631" t="s">
        <v>746</v>
      </c>
      <c r="D169" s="634">
        <f>+B169+B170+B171</f>
        <v>0</v>
      </c>
      <c r="E169" s="631" t="s">
        <v>749</v>
      </c>
      <c r="F169" s="637">
        <f>+D169+D172</f>
        <v>0</v>
      </c>
      <c r="G169" s="638"/>
      <c r="I169" s="311" t="s">
        <v>738</v>
      </c>
      <c r="J169" s="316">
        <v>0</v>
      </c>
    </row>
    <row r="170" spans="1:10" x14ac:dyDescent="0.25">
      <c r="A170" s="315" t="s">
        <v>739</v>
      </c>
      <c r="B170" s="118">
        <v>0</v>
      </c>
      <c r="C170" s="632"/>
      <c r="D170" s="635"/>
      <c r="E170" s="632"/>
      <c r="F170" s="639"/>
      <c r="G170" s="640"/>
      <c r="I170" s="311" t="s">
        <v>739</v>
      </c>
      <c r="J170" s="316">
        <v>0</v>
      </c>
    </row>
    <row r="171" spans="1:10" x14ac:dyDescent="0.25">
      <c r="A171" s="315" t="s">
        <v>740</v>
      </c>
      <c r="B171" s="118">
        <v>0</v>
      </c>
      <c r="C171" s="633"/>
      <c r="D171" s="636"/>
      <c r="E171" s="632"/>
      <c r="F171" s="639"/>
      <c r="G171" s="640"/>
      <c r="I171" s="311" t="s">
        <v>740</v>
      </c>
      <c r="J171" s="316">
        <v>0</v>
      </c>
    </row>
    <row r="172" spans="1:10" x14ac:dyDescent="0.25">
      <c r="A172" s="315" t="s">
        <v>741</v>
      </c>
      <c r="B172" s="118">
        <v>0</v>
      </c>
      <c r="C172" s="631" t="s">
        <v>776</v>
      </c>
      <c r="D172" s="634">
        <f>+B172+B173+B174</f>
        <v>0</v>
      </c>
      <c r="E172" s="632"/>
      <c r="F172" s="639"/>
      <c r="G172" s="640"/>
      <c r="I172" s="311" t="s">
        <v>741</v>
      </c>
      <c r="J172" s="316">
        <v>0</v>
      </c>
    </row>
    <row r="173" spans="1:10" x14ac:dyDescent="0.25">
      <c r="A173" s="315" t="s">
        <v>742</v>
      </c>
      <c r="B173" s="118">
        <v>0</v>
      </c>
      <c r="C173" s="632"/>
      <c r="D173" s="635"/>
      <c r="E173" s="632"/>
      <c r="F173" s="639"/>
      <c r="G173" s="640"/>
      <c r="I173" s="311" t="s">
        <v>742</v>
      </c>
      <c r="J173" s="316">
        <v>0</v>
      </c>
    </row>
    <row r="174" spans="1:10" x14ac:dyDescent="0.25">
      <c r="A174" s="315" t="s">
        <v>732</v>
      </c>
      <c r="B174" s="118">
        <v>0</v>
      </c>
      <c r="C174" s="633"/>
      <c r="D174" s="636"/>
      <c r="E174" s="633"/>
      <c r="F174" s="641"/>
      <c r="G174" s="642"/>
      <c r="I174" s="311" t="s">
        <v>732</v>
      </c>
      <c r="J174" s="316">
        <v>0</v>
      </c>
    </row>
    <row r="175" spans="1:10" x14ac:dyDescent="0.25">
      <c r="A175" s="312" t="s">
        <v>690</v>
      </c>
      <c r="B175" s="266">
        <f>SUM(B163:B174)</f>
        <v>0</v>
      </c>
      <c r="C175" s="312" t="s">
        <v>690</v>
      </c>
      <c r="D175" s="266">
        <f>SUM(D163:D174)</f>
        <v>0</v>
      </c>
      <c r="E175" s="312" t="s">
        <v>690</v>
      </c>
      <c r="F175" s="629">
        <f>SUM(F163:G174)</f>
        <v>0</v>
      </c>
      <c r="G175" s="630"/>
      <c r="I175" s="312" t="s">
        <v>690</v>
      </c>
      <c r="J175" s="117">
        <f>SUM(J163:J174)</f>
        <v>0</v>
      </c>
    </row>
    <row r="177" spans="1:10" ht="18.75" customHeight="1" x14ac:dyDescent="0.25">
      <c r="A177" s="313" t="s">
        <v>1079</v>
      </c>
      <c r="B177" s="314"/>
      <c r="C177" s="314"/>
      <c r="D177" s="309" t="s">
        <v>1080</v>
      </c>
      <c r="E177" s="643"/>
      <c r="F177" s="643"/>
      <c r="G177" s="643"/>
      <c r="I177" s="644" t="s">
        <v>856</v>
      </c>
      <c r="J177" s="644"/>
    </row>
    <row r="178" spans="1:10" x14ac:dyDescent="0.25">
      <c r="A178" s="645" t="s">
        <v>241</v>
      </c>
      <c r="B178" s="646"/>
      <c r="C178" s="645" t="s">
        <v>743</v>
      </c>
      <c r="D178" s="646"/>
      <c r="E178" s="645" t="s">
        <v>747</v>
      </c>
      <c r="F178" s="646"/>
      <c r="G178" s="647"/>
      <c r="I178" s="648" t="s">
        <v>241</v>
      </c>
      <c r="J178" s="648"/>
    </row>
    <row r="179" spans="1:10" x14ac:dyDescent="0.25">
      <c r="A179" s="315" t="s">
        <v>733</v>
      </c>
      <c r="B179" s="118">
        <v>0</v>
      </c>
      <c r="C179" s="631" t="s">
        <v>744</v>
      </c>
      <c r="D179" s="634">
        <f>+B179+B180+B181</f>
        <v>0</v>
      </c>
      <c r="E179" s="631" t="s">
        <v>748</v>
      </c>
      <c r="F179" s="637">
        <f>+D179+D182</f>
        <v>0</v>
      </c>
      <c r="G179" s="638"/>
      <c r="I179" s="311" t="s">
        <v>733</v>
      </c>
      <c r="J179" s="316">
        <v>0</v>
      </c>
    </row>
    <row r="180" spans="1:10" x14ac:dyDescent="0.25">
      <c r="A180" s="315" t="s">
        <v>517</v>
      </c>
      <c r="B180" s="118">
        <v>0</v>
      </c>
      <c r="C180" s="632"/>
      <c r="D180" s="635"/>
      <c r="E180" s="632"/>
      <c r="F180" s="639"/>
      <c r="G180" s="640"/>
      <c r="I180" s="311" t="s">
        <v>517</v>
      </c>
      <c r="J180" s="316">
        <v>0</v>
      </c>
    </row>
    <row r="181" spans="1:10" x14ac:dyDescent="0.25">
      <c r="A181" s="315" t="s">
        <v>734</v>
      </c>
      <c r="B181" s="118">
        <v>0</v>
      </c>
      <c r="C181" s="633"/>
      <c r="D181" s="636"/>
      <c r="E181" s="632"/>
      <c r="F181" s="639"/>
      <c r="G181" s="640"/>
      <c r="I181" s="311" t="s">
        <v>734</v>
      </c>
      <c r="J181" s="316">
        <v>0</v>
      </c>
    </row>
    <row r="182" spans="1:10" x14ac:dyDescent="0.25">
      <c r="A182" s="315" t="s">
        <v>735</v>
      </c>
      <c r="B182" s="118">
        <v>0</v>
      </c>
      <c r="C182" s="631" t="s">
        <v>745</v>
      </c>
      <c r="D182" s="634">
        <f>+B182+B183+B184</f>
        <v>0</v>
      </c>
      <c r="E182" s="632"/>
      <c r="F182" s="639"/>
      <c r="G182" s="640"/>
      <c r="I182" s="311" t="s">
        <v>735</v>
      </c>
      <c r="J182" s="316">
        <v>0</v>
      </c>
    </row>
    <row r="183" spans="1:10" x14ac:dyDescent="0.25">
      <c r="A183" s="315" t="s">
        <v>736</v>
      </c>
      <c r="B183" s="118">
        <v>0</v>
      </c>
      <c r="C183" s="632"/>
      <c r="D183" s="635"/>
      <c r="E183" s="632"/>
      <c r="F183" s="639"/>
      <c r="G183" s="640"/>
      <c r="I183" s="311" t="s">
        <v>736</v>
      </c>
      <c r="J183" s="316">
        <v>0</v>
      </c>
    </row>
    <row r="184" spans="1:10" x14ac:dyDescent="0.25">
      <c r="A184" s="315" t="s">
        <v>737</v>
      </c>
      <c r="B184" s="118">
        <v>0</v>
      </c>
      <c r="C184" s="633"/>
      <c r="D184" s="636"/>
      <c r="E184" s="633"/>
      <c r="F184" s="641"/>
      <c r="G184" s="642"/>
      <c r="I184" s="311" t="s">
        <v>737</v>
      </c>
      <c r="J184" s="316">
        <v>0</v>
      </c>
    </row>
    <row r="185" spans="1:10" x14ac:dyDescent="0.25">
      <c r="A185" s="315" t="s">
        <v>738</v>
      </c>
      <c r="B185" s="118">
        <v>0</v>
      </c>
      <c r="C185" s="631" t="s">
        <v>746</v>
      </c>
      <c r="D185" s="634">
        <f>+B185+B186+B187</f>
        <v>0</v>
      </c>
      <c r="E185" s="631" t="s">
        <v>749</v>
      </c>
      <c r="F185" s="637">
        <f>+D185+D188</f>
        <v>0</v>
      </c>
      <c r="G185" s="638"/>
      <c r="I185" s="311" t="s">
        <v>738</v>
      </c>
      <c r="J185" s="316">
        <v>0</v>
      </c>
    </row>
    <row r="186" spans="1:10" x14ac:dyDescent="0.25">
      <c r="A186" s="315" t="s">
        <v>739</v>
      </c>
      <c r="B186" s="118">
        <v>0</v>
      </c>
      <c r="C186" s="632"/>
      <c r="D186" s="635"/>
      <c r="E186" s="632"/>
      <c r="F186" s="639"/>
      <c r="G186" s="640"/>
      <c r="I186" s="311" t="s">
        <v>739</v>
      </c>
      <c r="J186" s="316">
        <v>0</v>
      </c>
    </row>
    <row r="187" spans="1:10" x14ac:dyDescent="0.25">
      <c r="A187" s="315" t="s">
        <v>740</v>
      </c>
      <c r="B187" s="118">
        <v>0</v>
      </c>
      <c r="C187" s="633"/>
      <c r="D187" s="636"/>
      <c r="E187" s="632"/>
      <c r="F187" s="639"/>
      <c r="G187" s="640"/>
      <c r="I187" s="311" t="s">
        <v>740</v>
      </c>
      <c r="J187" s="316">
        <v>0</v>
      </c>
    </row>
    <row r="188" spans="1:10" x14ac:dyDescent="0.25">
      <c r="A188" s="315" t="s">
        <v>741</v>
      </c>
      <c r="B188" s="118">
        <v>0</v>
      </c>
      <c r="C188" s="631" t="s">
        <v>776</v>
      </c>
      <c r="D188" s="634">
        <f>+B188+B189+B190</f>
        <v>0</v>
      </c>
      <c r="E188" s="632"/>
      <c r="F188" s="639"/>
      <c r="G188" s="640"/>
      <c r="I188" s="311" t="s">
        <v>741</v>
      </c>
      <c r="J188" s="316">
        <v>0</v>
      </c>
    </row>
    <row r="189" spans="1:10" x14ac:dyDescent="0.25">
      <c r="A189" s="315" t="s">
        <v>742</v>
      </c>
      <c r="B189" s="118">
        <v>0</v>
      </c>
      <c r="C189" s="632"/>
      <c r="D189" s="635"/>
      <c r="E189" s="632"/>
      <c r="F189" s="639"/>
      <c r="G189" s="640"/>
      <c r="I189" s="311" t="s">
        <v>742</v>
      </c>
      <c r="J189" s="316">
        <v>0</v>
      </c>
    </row>
    <row r="190" spans="1:10" x14ac:dyDescent="0.25">
      <c r="A190" s="315" t="s">
        <v>732</v>
      </c>
      <c r="B190" s="118">
        <v>0</v>
      </c>
      <c r="C190" s="633"/>
      <c r="D190" s="636"/>
      <c r="E190" s="633"/>
      <c r="F190" s="641"/>
      <c r="G190" s="642"/>
      <c r="I190" s="311" t="s">
        <v>732</v>
      </c>
      <c r="J190" s="316">
        <v>0</v>
      </c>
    </row>
    <row r="191" spans="1:10" x14ac:dyDescent="0.25">
      <c r="A191" s="312" t="s">
        <v>690</v>
      </c>
      <c r="B191" s="266">
        <f>SUM(B179:B190)</f>
        <v>0</v>
      </c>
      <c r="C191" s="312" t="s">
        <v>690</v>
      </c>
      <c r="D191" s="266">
        <f>SUM(D179:D190)</f>
        <v>0</v>
      </c>
      <c r="E191" s="312" t="s">
        <v>690</v>
      </c>
      <c r="F191" s="629">
        <f>SUM(F179:G190)</f>
        <v>0</v>
      </c>
      <c r="G191" s="630"/>
      <c r="I191" s="312" t="s">
        <v>690</v>
      </c>
      <c r="J191" s="117">
        <f>SUM(J179:J190)</f>
        <v>0</v>
      </c>
    </row>
    <row r="193" spans="1:10" ht="18.75" customHeight="1" x14ac:dyDescent="0.25">
      <c r="A193" s="313" t="s">
        <v>1079</v>
      </c>
      <c r="B193" s="314"/>
      <c r="C193" s="314"/>
      <c r="D193" s="309" t="s">
        <v>1080</v>
      </c>
      <c r="E193" s="643"/>
      <c r="F193" s="643"/>
      <c r="G193" s="643"/>
      <c r="I193" s="644" t="s">
        <v>856</v>
      </c>
      <c r="J193" s="644"/>
    </row>
    <row r="194" spans="1:10" x14ac:dyDescent="0.25">
      <c r="A194" s="645" t="s">
        <v>241</v>
      </c>
      <c r="B194" s="646"/>
      <c r="C194" s="645" t="s">
        <v>743</v>
      </c>
      <c r="D194" s="646"/>
      <c r="E194" s="645" t="s">
        <v>747</v>
      </c>
      <c r="F194" s="646"/>
      <c r="G194" s="647"/>
      <c r="I194" s="648" t="s">
        <v>241</v>
      </c>
      <c r="J194" s="648"/>
    </row>
    <row r="195" spans="1:10" x14ac:dyDescent="0.25">
      <c r="A195" s="315" t="s">
        <v>733</v>
      </c>
      <c r="B195" s="118">
        <v>0</v>
      </c>
      <c r="C195" s="631" t="s">
        <v>744</v>
      </c>
      <c r="D195" s="634">
        <f>+B195+B196+B197</f>
        <v>0</v>
      </c>
      <c r="E195" s="631" t="s">
        <v>748</v>
      </c>
      <c r="F195" s="637">
        <f>+D195+D198</f>
        <v>0</v>
      </c>
      <c r="G195" s="638"/>
      <c r="I195" s="311" t="s">
        <v>733</v>
      </c>
      <c r="J195" s="316">
        <v>0</v>
      </c>
    </row>
    <row r="196" spans="1:10" x14ac:dyDescent="0.25">
      <c r="A196" s="315" t="s">
        <v>517</v>
      </c>
      <c r="B196" s="118">
        <v>0</v>
      </c>
      <c r="C196" s="632"/>
      <c r="D196" s="635"/>
      <c r="E196" s="632"/>
      <c r="F196" s="639"/>
      <c r="G196" s="640"/>
      <c r="I196" s="311" t="s">
        <v>517</v>
      </c>
      <c r="J196" s="316">
        <v>0</v>
      </c>
    </row>
    <row r="197" spans="1:10" x14ac:dyDescent="0.25">
      <c r="A197" s="315" t="s">
        <v>734</v>
      </c>
      <c r="B197" s="118">
        <v>0</v>
      </c>
      <c r="C197" s="633"/>
      <c r="D197" s="636"/>
      <c r="E197" s="632"/>
      <c r="F197" s="639"/>
      <c r="G197" s="640"/>
      <c r="I197" s="311" t="s">
        <v>734</v>
      </c>
      <c r="J197" s="316">
        <v>0</v>
      </c>
    </row>
    <row r="198" spans="1:10" x14ac:dyDescent="0.25">
      <c r="A198" s="315" t="s">
        <v>735</v>
      </c>
      <c r="B198" s="118">
        <v>0</v>
      </c>
      <c r="C198" s="631" t="s">
        <v>745</v>
      </c>
      <c r="D198" s="634">
        <f>+B198+B199+B200</f>
        <v>0</v>
      </c>
      <c r="E198" s="632"/>
      <c r="F198" s="639"/>
      <c r="G198" s="640"/>
      <c r="I198" s="311" t="s">
        <v>735</v>
      </c>
      <c r="J198" s="316">
        <v>0</v>
      </c>
    </row>
    <row r="199" spans="1:10" x14ac:dyDescent="0.25">
      <c r="A199" s="315" t="s">
        <v>736</v>
      </c>
      <c r="B199" s="118">
        <v>0</v>
      </c>
      <c r="C199" s="632"/>
      <c r="D199" s="635"/>
      <c r="E199" s="632"/>
      <c r="F199" s="639"/>
      <c r="G199" s="640"/>
      <c r="I199" s="311" t="s">
        <v>736</v>
      </c>
      <c r="J199" s="316">
        <v>0</v>
      </c>
    </row>
    <row r="200" spans="1:10" x14ac:dyDescent="0.25">
      <c r="A200" s="315" t="s">
        <v>737</v>
      </c>
      <c r="B200" s="118">
        <v>0</v>
      </c>
      <c r="C200" s="633"/>
      <c r="D200" s="636"/>
      <c r="E200" s="633"/>
      <c r="F200" s="641"/>
      <c r="G200" s="642"/>
      <c r="I200" s="311" t="s">
        <v>737</v>
      </c>
      <c r="J200" s="316">
        <v>0</v>
      </c>
    </row>
    <row r="201" spans="1:10" x14ac:dyDescent="0.25">
      <c r="A201" s="315" t="s">
        <v>738</v>
      </c>
      <c r="B201" s="118">
        <v>0</v>
      </c>
      <c r="C201" s="631" t="s">
        <v>746</v>
      </c>
      <c r="D201" s="634">
        <f>+B201+B202+B203</f>
        <v>0</v>
      </c>
      <c r="E201" s="631" t="s">
        <v>749</v>
      </c>
      <c r="F201" s="637">
        <f>+D201+D204</f>
        <v>0</v>
      </c>
      <c r="G201" s="638"/>
      <c r="I201" s="311" t="s">
        <v>738</v>
      </c>
      <c r="J201" s="316">
        <v>0</v>
      </c>
    </row>
    <row r="202" spans="1:10" x14ac:dyDescent="0.25">
      <c r="A202" s="315" t="s">
        <v>739</v>
      </c>
      <c r="B202" s="118">
        <v>0</v>
      </c>
      <c r="C202" s="632"/>
      <c r="D202" s="635"/>
      <c r="E202" s="632"/>
      <c r="F202" s="639"/>
      <c r="G202" s="640"/>
      <c r="I202" s="311" t="s">
        <v>739</v>
      </c>
      <c r="J202" s="316">
        <v>0</v>
      </c>
    </row>
    <row r="203" spans="1:10" x14ac:dyDescent="0.25">
      <c r="A203" s="315" t="s">
        <v>740</v>
      </c>
      <c r="B203" s="118">
        <v>0</v>
      </c>
      <c r="C203" s="633"/>
      <c r="D203" s="636"/>
      <c r="E203" s="632"/>
      <c r="F203" s="639"/>
      <c r="G203" s="640"/>
      <c r="I203" s="311" t="s">
        <v>740</v>
      </c>
      <c r="J203" s="316">
        <v>0</v>
      </c>
    </row>
    <row r="204" spans="1:10" x14ac:dyDescent="0.25">
      <c r="A204" s="315" t="s">
        <v>741</v>
      </c>
      <c r="B204" s="118">
        <v>0</v>
      </c>
      <c r="C204" s="631" t="s">
        <v>776</v>
      </c>
      <c r="D204" s="634">
        <f>+B204+B205+B206</f>
        <v>0</v>
      </c>
      <c r="E204" s="632"/>
      <c r="F204" s="639"/>
      <c r="G204" s="640"/>
      <c r="I204" s="311" t="s">
        <v>741</v>
      </c>
      <c r="J204" s="316">
        <v>0</v>
      </c>
    </row>
    <row r="205" spans="1:10" x14ac:dyDescent="0.25">
      <c r="A205" s="315" t="s">
        <v>742</v>
      </c>
      <c r="B205" s="118">
        <v>0</v>
      </c>
      <c r="C205" s="632"/>
      <c r="D205" s="635"/>
      <c r="E205" s="632"/>
      <c r="F205" s="639"/>
      <c r="G205" s="640"/>
      <c r="I205" s="311" t="s">
        <v>742</v>
      </c>
      <c r="J205" s="316">
        <v>0</v>
      </c>
    </row>
    <row r="206" spans="1:10" x14ac:dyDescent="0.25">
      <c r="A206" s="315" t="s">
        <v>732</v>
      </c>
      <c r="B206" s="118">
        <v>0</v>
      </c>
      <c r="C206" s="633"/>
      <c r="D206" s="636"/>
      <c r="E206" s="633"/>
      <c r="F206" s="641"/>
      <c r="G206" s="642"/>
      <c r="I206" s="311" t="s">
        <v>732</v>
      </c>
      <c r="J206" s="316">
        <v>0</v>
      </c>
    </row>
    <row r="207" spans="1:10" x14ac:dyDescent="0.25">
      <c r="A207" s="312" t="s">
        <v>690</v>
      </c>
      <c r="B207" s="266">
        <f>SUM(B195:B206)</f>
        <v>0</v>
      </c>
      <c r="C207" s="312" t="s">
        <v>690</v>
      </c>
      <c r="D207" s="266">
        <f>SUM(D195:D206)</f>
        <v>0</v>
      </c>
      <c r="E207" s="312" t="s">
        <v>690</v>
      </c>
      <c r="F207" s="629">
        <f>SUM(F195:G206)</f>
        <v>0</v>
      </c>
      <c r="G207" s="630"/>
      <c r="I207" s="312" t="s">
        <v>690</v>
      </c>
      <c r="J207" s="117">
        <f>SUM(J195:J206)</f>
        <v>0</v>
      </c>
    </row>
    <row r="209" spans="1:10" ht="18.75" customHeight="1" x14ac:dyDescent="0.25">
      <c r="A209" s="313" t="s">
        <v>1079</v>
      </c>
      <c r="B209" s="314"/>
      <c r="C209" s="314"/>
      <c r="D209" s="309" t="s">
        <v>1080</v>
      </c>
      <c r="E209" s="643"/>
      <c r="F209" s="643"/>
      <c r="G209" s="643"/>
      <c r="I209" s="644" t="s">
        <v>856</v>
      </c>
      <c r="J209" s="644"/>
    </row>
    <row r="210" spans="1:10" x14ac:dyDescent="0.25">
      <c r="A210" s="645" t="s">
        <v>241</v>
      </c>
      <c r="B210" s="646"/>
      <c r="C210" s="645" t="s">
        <v>743</v>
      </c>
      <c r="D210" s="646"/>
      <c r="E210" s="645" t="s">
        <v>747</v>
      </c>
      <c r="F210" s="646"/>
      <c r="G210" s="647"/>
      <c r="I210" s="648" t="s">
        <v>241</v>
      </c>
      <c r="J210" s="648"/>
    </row>
    <row r="211" spans="1:10" x14ac:dyDescent="0.25">
      <c r="A211" s="315" t="s">
        <v>733</v>
      </c>
      <c r="B211" s="118">
        <v>0</v>
      </c>
      <c r="C211" s="631" t="s">
        <v>744</v>
      </c>
      <c r="D211" s="634">
        <f>+B211+B212+B213</f>
        <v>0</v>
      </c>
      <c r="E211" s="631" t="s">
        <v>748</v>
      </c>
      <c r="F211" s="637">
        <f>+D211+D214</f>
        <v>0</v>
      </c>
      <c r="G211" s="638"/>
      <c r="I211" s="311" t="s">
        <v>733</v>
      </c>
      <c r="J211" s="316">
        <v>0</v>
      </c>
    </row>
    <row r="212" spans="1:10" x14ac:dyDescent="0.25">
      <c r="A212" s="315" t="s">
        <v>517</v>
      </c>
      <c r="B212" s="118">
        <v>0</v>
      </c>
      <c r="C212" s="632"/>
      <c r="D212" s="635"/>
      <c r="E212" s="632"/>
      <c r="F212" s="639"/>
      <c r="G212" s="640"/>
      <c r="I212" s="311" t="s">
        <v>517</v>
      </c>
      <c r="J212" s="316">
        <v>0</v>
      </c>
    </row>
    <row r="213" spans="1:10" x14ac:dyDescent="0.25">
      <c r="A213" s="315" t="s">
        <v>734</v>
      </c>
      <c r="B213" s="118">
        <v>0</v>
      </c>
      <c r="C213" s="633"/>
      <c r="D213" s="636"/>
      <c r="E213" s="632"/>
      <c r="F213" s="639"/>
      <c r="G213" s="640"/>
      <c r="I213" s="311" t="s">
        <v>734</v>
      </c>
      <c r="J213" s="316">
        <v>0</v>
      </c>
    </row>
    <row r="214" spans="1:10" x14ac:dyDescent="0.25">
      <c r="A214" s="315" t="s">
        <v>735</v>
      </c>
      <c r="B214" s="118">
        <v>0</v>
      </c>
      <c r="C214" s="631" t="s">
        <v>745</v>
      </c>
      <c r="D214" s="634">
        <f>+B214+B215+B216</f>
        <v>0</v>
      </c>
      <c r="E214" s="632"/>
      <c r="F214" s="639"/>
      <c r="G214" s="640"/>
      <c r="I214" s="311" t="s">
        <v>735</v>
      </c>
      <c r="J214" s="316">
        <v>0</v>
      </c>
    </row>
    <row r="215" spans="1:10" x14ac:dyDescent="0.25">
      <c r="A215" s="315" t="s">
        <v>736</v>
      </c>
      <c r="B215" s="118">
        <v>0</v>
      </c>
      <c r="C215" s="632"/>
      <c r="D215" s="635"/>
      <c r="E215" s="632"/>
      <c r="F215" s="639"/>
      <c r="G215" s="640"/>
      <c r="I215" s="311" t="s">
        <v>736</v>
      </c>
      <c r="J215" s="316">
        <v>0</v>
      </c>
    </row>
    <row r="216" spans="1:10" x14ac:dyDescent="0.25">
      <c r="A216" s="315" t="s">
        <v>737</v>
      </c>
      <c r="B216" s="118">
        <v>0</v>
      </c>
      <c r="C216" s="633"/>
      <c r="D216" s="636"/>
      <c r="E216" s="633"/>
      <c r="F216" s="641"/>
      <c r="G216" s="642"/>
      <c r="I216" s="311" t="s">
        <v>737</v>
      </c>
      <c r="J216" s="316">
        <v>0</v>
      </c>
    </row>
    <row r="217" spans="1:10" x14ac:dyDescent="0.25">
      <c r="A217" s="315" t="s">
        <v>738</v>
      </c>
      <c r="B217" s="118">
        <v>0</v>
      </c>
      <c r="C217" s="631" t="s">
        <v>746</v>
      </c>
      <c r="D217" s="634">
        <f>+B217+B218+B219</f>
        <v>0</v>
      </c>
      <c r="E217" s="631" t="s">
        <v>749</v>
      </c>
      <c r="F217" s="637">
        <f>+D217+D220</f>
        <v>0</v>
      </c>
      <c r="G217" s="638"/>
      <c r="I217" s="311" t="s">
        <v>738</v>
      </c>
      <c r="J217" s="316">
        <v>0</v>
      </c>
    </row>
    <row r="218" spans="1:10" x14ac:dyDescent="0.25">
      <c r="A218" s="315" t="s">
        <v>739</v>
      </c>
      <c r="B218" s="118">
        <v>0</v>
      </c>
      <c r="C218" s="632"/>
      <c r="D218" s="635"/>
      <c r="E218" s="632"/>
      <c r="F218" s="639"/>
      <c r="G218" s="640"/>
      <c r="I218" s="311" t="s">
        <v>739</v>
      </c>
      <c r="J218" s="316">
        <v>0</v>
      </c>
    </row>
    <row r="219" spans="1:10" x14ac:dyDescent="0.25">
      <c r="A219" s="315" t="s">
        <v>740</v>
      </c>
      <c r="B219" s="118">
        <v>0</v>
      </c>
      <c r="C219" s="633"/>
      <c r="D219" s="636"/>
      <c r="E219" s="632"/>
      <c r="F219" s="639"/>
      <c r="G219" s="640"/>
      <c r="I219" s="311" t="s">
        <v>740</v>
      </c>
      <c r="J219" s="316">
        <v>0</v>
      </c>
    </row>
    <row r="220" spans="1:10" x14ac:dyDescent="0.25">
      <c r="A220" s="315" t="s">
        <v>741</v>
      </c>
      <c r="B220" s="118">
        <v>0</v>
      </c>
      <c r="C220" s="631" t="s">
        <v>776</v>
      </c>
      <c r="D220" s="634">
        <f>+B220+B221+B222</f>
        <v>0</v>
      </c>
      <c r="E220" s="632"/>
      <c r="F220" s="639"/>
      <c r="G220" s="640"/>
      <c r="I220" s="311" t="s">
        <v>741</v>
      </c>
      <c r="J220" s="316">
        <v>0</v>
      </c>
    </row>
    <row r="221" spans="1:10" x14ac:dyDescent="0.25">
      <c r="A221" s="315" t="s">
        <v>742</v>
      </c>
      <c r="B221" s="118">
        <v>0</v>
      </c>
      <c r="C221" s="632"/>
      <c r="D221" s="635"/>
      <c r="E221" s="632"/>
      <c r="F221" s="639"/>
      <c r="G221" s="640"/>
      <c r="I221" s="311" t="s">
        <v>742</v>
      </c>
      <c r="J221" s="316">
        <v>0</v>
      </c>
    </row>
    <row r="222" spans="1:10" x14ac:dyDescent="0.25">
      <c r="A222" s="315" t="s">
        <v>732</v>
      </c>
      <c r="B222" s="118">
        <v>0</v>
      </c>
      <c r="C222" s="633"/>
      <c r="D222" s="636"/>
      <c r="E222" s="633"/>
      <c r="F222" s="641"/>
      <c r="G222" s="642"/>
      <c r="I222" s="311" t="s">
        <v>732</v>
      </c>
      <c r="J222" s="316">
        <v>0</v>
      </c>
    </row>
    <row r="223" spans="1:10" x14ac:dyDescent="0.25">
      <c r="A223" s="312" t="s">
        <v>690</v>
      </c>
      <c r="B223" s="266">
        <f>SUM(B211:B222)</f>
        <v>0</v>
      </c>
      <c r="C223" s="312" t="s">
        <v>690</v>
      </c>
      <c r="D223" s="266">
        <f>SUM(D211:D222)</f>
        <v>0</v>
      </c>
      <c r="E223" s="312" t="s">
        <v>690</v>
      </c>
      <c r="F223" s="629">
        <f>SUM(F211:G222)</f>
        <v>0</v>
      </c>
      <c r="G223" s="630"/>
      <c r="I223" s="312" t="s">
        <v>690</v>
      </c>
      <c r="J223" s="117">
        <f>SUM(J211:J222)</f>
        <v>0</v>
      </c>
    </row>
    <row r="225" spans="1:10" ht="18.75" customHeight="1" x14ac:dyDescent="0.25">
      <c r="A225" s="313" t="s">
        <v>1079</v>
      </c>
      <c r="B225" s="314"/>
      <c r="C225" s="314"/>
      <c r="D225" s="309" t="s">
        <v>1080</v>
      </c>
      <c r="E225" s="643"/>
      <c r="F225" s="643"/>
      <c r="G225" s="643"/>
      <c r="I225" s="644" t="s">
        <v>856</v>
      </c>
      <c r="J225" s="644"/>
    </row>
    <row r="226" spans="1:10" x14ac:dyDescent="0.25">
      <c r="A226" s="645" t="s">
        <v>241</v>
      </c>
      <c r="B226" s="646"/>
      <c r="C226" s="645" t="s">
        <v>743</v>
      </c>
      <c r="D226" s="646"/>
      <c r="E226" s="645" t="s">
        <v>747</v>
      </c>
      <c r="F226" s="646"/>
      <c r="G226" s="647"/>
      <c r="I226" s="648" t="s">
        <v>241</v>
      </c>
      <c r="J226" s="648"/>
    </row>
    <row r="227" spans="1:10" x14ac:dyDescent="0.25">
      <c r="A227" s="315" t="s">
        <v>733</v>
      </c>
      <c r="B227" s="118">
        <v>0</v>
      </c>
      <c r="C227" s="631" t="s">
        <v>744</v>
      </c>
      <c r="D227" s="634">
        <f>+B227+B228+B229</f>
        <v>0</v>
      </c>
      <c r="E227" s="631" t="s">
        <v>748</v>
      </c>
      <c r="F227" s="637">
        <f>+D227+D230</f>
        <v>0</v>
      </c>
      <c r="G227" s="638"/>
      <c r="I227" s="311" t="s">
        <v>733</v>
      </c>
      <c r="J227" s="316">
        <v>0</v>
      </c>
    </row>
    <row r="228" spans="1:10" x14ac:dyDescent="0.25">
      <c r="A228" s="315" t="s">
        <v>517</v>
      </c>
      <c r="B228" s="118">
        <v>0</v>
      </c>
      <c r="C228" s="632"/>
      <c r="D228" s="635"/>
      <c r="E228" s="632"/>
      <c r="F228" s="639"/>
      <c r="G228" s="640"/>
      <c r="I228" s="311" t="s">
        <v>517</v>
      </c>
      <c r="J228" s="316">
        <v>0</v>
      </c>
    </row>
    <row r="229" spans="1:10" x14ac:dyDescent="0.25">
      <c r="A229" s="315" t="s">
        <v>734</v>
      </c>
      <c r="B229" s="118">
        <v>0</v>
      </c>
      <c r="C229" s="633"/>
      <c r="D229" s="636"/>
      <c r="E229" s="632"/>
      <c r="F229" s="639"/>
      <c r="G229" s="640"/>
      <c r="I229" s="311" t="s">
        <v>734</v>
      </c>
      <c r="J229" s="316">
        <v>0</v>
      </c>
    </row>
    <row r="230" spans="1:10" x14ac:dyDescent="0.25">
      <c r="A230" s="315" t="s">
        <v>735</v>
      </c>
      <c r="B230" s="118">
        <v>0</v>
      </c>
      <c r="C230" s="631" t="s">
        <v>745</v>
      </c>
      <c r="D230" s="634">
        <f>+B230+B231+B232</f>
        <v>0</v>
      </c>
      <c r="E230" s="632"/>
      <c r="F230" s="639"/>
      <c r="G230" s="640"/>
      <c r="I230" s="311" t="s">
        <v>735</v>
      </c>
      <c r="J230" s="316">
        <v>0</v>
      </c>
    </row>
    <row r="231" spans="1:10" x14ac:dyDescent="0.25">
      <c r="A231" s="315" t="s">
        <v>736</v>
      </c>
      <c r="B231" s="118">
        <v>0</v>
      </c>
      <c r="C231" s="632"/>
      <c r="D231" s="635"/>
      <c r="E231" s="632"/>
      <c r="F231" s="639"/>
      <c r="G231" s="640"/>
      <c r="I231" s="311" t="s">
        <v>736</v>
      </c>
      <c r="J231" s="316">
        <v>0</v>
      </c>
    </row>
    <row r="232" spans="1:10" x14ac:dyDescent="0.25">
      <c r="A232" s="315" t="s">
        <v>737</v>
      </c>
      <c r="B232" s="118">
        <v>0</v>
      </c>
      <c r="C232" s="633"/>
      <c r="D232" s="636"/>
      <c r="E232" s="633"/>
      <c r="F232" s="641"/>
      <c r="G232" s="642"/>
      <c r="I232" s="311" t="s">
        <v>737</v>
      </c>
      <c r="J232" s="316">
        <v>0</v>
      </c>
    </row>
    <row r="233" spans="1:10" x14ac:dyDescent="0.25">
      <c r="A233" s="315" t="s">
        <v>738</v>
      </c>
      <c r="B233" s="118">
        <v>0</v>
      </c>
      <c r="C233" s="631" t="s">
        <v>746</v>
      </c>
      <c r="D233" s="634">
        <f>+B233+B234+B235</f>
        <v>0</v>
      </c>
      <c r="E233" s="631" t="s">
        <v>749</v>
      </c>
      <c r="F233" s="637">
        <f>+D233+D236</f>
        <v>0</v>
      </c>
      <c r="G233" s="638"/>
      <c r="I233" s="311" t="s">
        <v>738</v>
      </c>
      <c r="J233" s="316">
        <v>0</v>
      </c>
    </row>
    <row r="234" spans="1:10" x14ac:dyDescent="0.25">
      <c r="A234" s="315" t="s">
        <v>739</v>
      </c>
      <c r="B234" s="118">
        <v>0</v>
      </c>
      <c r="C234" s="632"/>
      <c r="D234" s="635"/>
      <c r="E234" s="632"/>
      <c r="F234" s="639"/>
      <c r="G234" s="640"/>
      <c r="I234" s="311" t="s">
        <v>739</v>
      </c>
      <c r="J234" s="316">
        <v>0</v>
      </c>
    </row>
    <row r="235" spans="1:10" x14ac:dyDescent="0.25">
      <c r="A235" s="315" t="s">
        <v>740</v>
      </c>
      <c r="B235" s="118">
        <v>0</v>
      </c>
      <c r="C235" s="633"/>
      <c r="D235" s="636"/>
      <c r="E235" s="632"/>
      <c r="F235" s="639"/>
      <c r="G235" s="640"/>
      <c r="I235" s="311" t="s">
        <v>740</v>
      </c>
      <c r="J235" s="316">
        <v>0</v>
      </c>
    </row>
    <row r="236" spans="1:10" x14ac:dyDescent="0.25">
      <c r="A236" s="315" t="s">
        <v>741</v>
      </c>
      <c r="B236" s="118">
        <v>0</v>
      </c>
      <c r="C236" s="631" t="s">
        <v>776</v>
      </c>
      <c r="D236" s="634">
        <f>+B236+B237+B238</f>
        <v>0</v>
      </c>
      <c r="E236" s="632"/>
      <c r="F236" s="639"/>
      <c r="G236" s="640"/>
      <c r="I236" s="311" t="s">
        <v>741</v>
      </c>
      <c r="J236" s="316">
        <v>0</v>
      </c>
    </row>
    <row r="237" spans="1:10" x14ac:dyDescent="0.25">
      <c r="A237" s="315" t="s">
        <v>742</v>
      </c>
      <c r="B237" s="118">
        <v>0</v>
      </c>
      <c r="C237" s="632"/>
      <c r="D237" s="635"/>
      <c r="E237" s="632"/>
      <c r="F237" s="639"/>
      <c r="G237" s="640"/>
      <c r="I237" s="311" t="s">
        <v>742</v>
      </c>
      <c r="J237" s="316">
        <v>0</v>
      </c>
    </row>
    <row r="238" spans="1:10" x14ac:dyDescent="0.25">
      <c r="A238" s="315" t="s">
        <v>732</v>
      </c>
      <c r="B238" s="118">
        <v>0</v>
      </c>
      <c r="C238" s="633"/>
      <c r="D238" s="636"/>
      <c r="E238" s="633"/>
      <c r="F238" s="641"/>
      <c r="G238" s="642"/>
      <c r="I238" s="311" t="s">
        <v>732</v>
      </c>
      <c r="J238" s="316">
        <v>0</v>
      </c>
    </row>
    <row r="239" spans="1:10" x14ac:dyDescent="0.25">
      <c r="A239" s="312" t="s">
        <v>690</v>
      </c>
      <c r="B239" s="266">
        <f>SUM(B227:B238)</f>
        <v>0</v>
      </c>
      <c r="C239" s="312" t="s">
        <v>690</v>
      </c>
      <c r="D239" s="266">
        <f>SUM(D227:D238)</f>
        <v>0</v>
      </c>
      <c r="E239" s="312" t="s">
        <v>690</v>
      </c>
      <c r="F239" s="629">
        <f>SUM(F227:G238)</f>
        <v>0</v>
      </c>
      <c r="G239" s="630"/>
      <c r="I239" s="312" t="s">
        <v>690</v>
      </c>
      <c r="J239" s="117">
        <f>SUM(J227:J238)</f>
        <v>0</v>
      </c>
    </row>
    <row r="241" spans="1:10" ht="18.75" customHeight="1" x14ac:dyDescent="0.25">
      <c r="A241" s="313" t="s">
        <v>1079</v>
      </c>
      <c r="B241" s="314"/>
      <c r="C241" s="314"/>
      <c r="D241" s="309" t="s">
        <v>1080</v>
      </c>
      <c r="E241" s="643"/>
      <c r="F241" s="643"/>
      <c r="G241" s="643"/>
      <c r="I241" s="644" t="s">
        <v>856</v>
      </c>
      <c r="J241" s="644"/>
    </row>
    <row r="242" spans="1:10" x14ac:dyDescent="0.25">
      <c r="A242" s="645" t="s">
        <v>241</v>
      </c>
      <c r="B242" s="646"/>
      <c r="C242" s="645" t="s">
        <v>743</v>
      </c>
      <c r="D242" s="646"/>
      <c r="E242" s="645" t="s">
        <v>747</v>
      </c>
      <c r="F242" s="646"/>
      <c r="G242" s="647"/>
      <c r="I242" s="648" t="s">
        <v>241</v>
      </c>
      <c r="J242" s="648"/>
    </row>
    <row r="243" spans="1:10" x14ac:dyDescent="0.25">
      <c r="A243" s="315" t="s">
        <v>733</v>
      </c>
      <c r="B243" s="118">
        <v>0</v>
      </c>
      <c r="C243" s="631" t="s">
        <v>744</v>
      </c>
      <c r="D243" s="634">
        <f>+B243+B244+B245</f>
        <v>0</v>
      </c>
      <c r="E243" s="631" t="s">
        <v>748</v>
      </c>
      <c r="F243" s="637">
        <f>+D243+D246</f>
        <v>0</v>
      </c>
      <c r="G243" s="638"/>
      <c r="I243" s="311" t="s">
        <v>733</v>
      </c>
      <c r="J243" s="316">
        <v>0</v>
      </c>
    </row>
    <row r="244" spans="1:10" x14ac:dyDescent="0.25">
      <c r="A244" s="315" t="s">
        <v>517</v>
      </c>
      <c r="B244" s="118">
        <v>0</v>
      </c>
      <c r="C244" s="632"/>
      <c r="D244" s="635"/>
      <c r="E244" s="632"/>
      <c r="F244" s="639"/>
      <c r="G244" s="640"/>
      <c r="I244" s="311" t="s">
        <v>517</v>
      </c>
      <c r="J244" s="316">
        <v>0</v>
      </c>
    </row>
    <row r="245" spans="1:10" x14ac:dyDescent="0.25">
      <c r="A245" s="315" t="s">
        <v>734</v>
      </c>
      <c r="B245" s="118">
        <v>0</v>
      </c>
      <c r="C245" s="633"/>
      <c r="D245" s="636"/>
      <c r="E245" s="632"/>
      <c r="F245" s="639"/>
      <c r="G245" s="640"/>
      <c r="I245" s="311" t="s">
        <v>734</v>
      </c>
      <c r="J245" s="316">
        <v>0</v>
      </c>
    </row>
    <row r="246" spans="1:10" x14ac:dyDescent="0.25">
      <c r="A246" s="315" t="s">
        <v>735</v>
      </c>
      <c r="B246" s="118">
        <v>0</v>
      </c>
      <c r="C246" s="631" t="s">
        <v>745</v>
      </c>
      <c r="D246" s="634">
        <f>+B246+B247+B248</f>
        <v>0</v>
      </c>
      <c r="E246" s="632"/>
      <c r="F246" s="639"/>
      <c r="G246" s="640"/>
      <c r="I246" s="311" t="s">
        <v>735</v>
      </c>
      <c r="J246" s="316">
        <v>0</v>
      </c>
    </row>
    <row r="247" spans="1:10" x14ac:dyDescent="0.25">
      <c r="A247" s="315" t="s">
        <v>736</v>
      </c>
      <c r="B247" s="118">
        <v>0</v>
      </c>
      <c r="C247" s="632"/>
      <c r="D247" s="635"/>
      <c r="E247" s="632"/>
      <c r="F247" s="639"/>
      <c r="G247" s="640"/>
      <c r="I247" s="311" t="s">
        <v>736</v>
      </c>
      <c r="J247" s="316">
        <v>0</v>
      </c>
    </row>
    <row r="248" spans="1:10" x14ac:dyDescent="0.25">
      <c r="A248" s="315" t="s">
        <v>737</v>
      </c>
      <c r="B248" s="118">
        <v>0</v>
      </c>
      <c r="C248" s="633"/>
      <c r="D248" s="636"/>
      <c r="E248" s="633"/>
      <c r="F248" s="641"/>
      <c r="G248" s="642"/>
      <c r="I248" s="311" t="s">
        <v>737</v>
      </c>
      <c r="J248" s="316">
        <v>0</v>
      </c>
    </row>
    <row r="249" spans="1:10" x14ac:dyDescent="0.25">
      <c r="A249" s="315" t="s">
        <v>738</v>
      </c>
      <c r="B249" s="118">
        <v>0</v>
      </c>
      <c r="C249" s="631" t="s">
        <v>746</v>
      </c>
      <c r="D249" s="634">
        <f>+B249+B250+B251</f>
        <v>0</v>
      </c>
      <c r="E249" s="631" t="s">
        <v>749</v>
      </c>
      <c r="F249" s="637">
        <f>+D249+D252</f>
        <v>0</v>
      </c>
      <c r="G249" s="638"/>
      <c r="I249" s="311" t="s">
        <v>738</v>
      </c>
      <c r="J249" s="316">
        <v>0</v>
      </c>
    </row>
    <row r="250" spans="1:10" x14ac:dyDescent="0.25">
      <c r="A250" s="315" t="s">
        <v>739</v>
      </c>
      <c r="B250" s="118">
        <v>0</v>
      </c>
      <c r="C250" s="632"/>
      <c r="D250" s="635"/>
      <c r="E250" s="632"/>
      <c r="F250" s="639"/>
      <c r="G250" s="640"/>
      <c r="I250" s="311" t="s">
        <v>739</v>
      </c>
      <c r="J250" s="316">
        <v>0</v>
      </c>
    </row>
    <row r="251" spans="1:10" x14ac:dyDescent="0.25">
      <c r="A251" s="315" t="s">
        <v>740</v>
      </c>
      <c r="B251" s="118">
        <v>0</v>
      </c>
      <c r="C251" s="633"/>
      <c r="D251" s="636"/>
      <c r="E251" s="632"/>
      <c r="F251" s="639"/>
      <c r="G251" s="640"/>
      <c r="I251" s="311" t="s">
        <v>740</v>
      </c>
      <c r="J251" s="316">
        <v>0</v>
      </c>
    </row>
    <row r="252" spans="1:10" x14ac:dyDescent="0.25">
      <c r="A252" s="315" t="s">
        <v>741</v>
      </c>
      <c r="B252" s="118">
        <v>0</v>
      </c>
      <c r="C252" s="631" t="s">
        <v>776</v>
      </c>
      <c r="D252" s="634">
        <f>+B252+B253+B254</f>
        <v>0</v>
      </c>
      <c r="E252" s="632"/>
      <c r="F252" s="639"/>
      <c r="G252" s="640"/>
      <c r="I252" s="311" t="s">
        <v>741</v>
      </c>
      <c r="J252" s="316">
        <v>0</v>
      </c>
    </row>
    <row r="253" spans="1:10" x14ac:dyDescent="0.25">
      <c r="A253" s="315" t="s">
        <v>742</v>
      </c>
      <c r="B253" s="118">
        <v>0</v>
      </c>
      <c r="C253" s="632"/>
      <c r="D253" s="635"/>
      <c r="E253" s="632"/>
      <c r="F253" s="639"/>
      <c r="G253" s="640"/>
      <c r="I253" s="311" t="s">
        <v>742</v>
      </c>
      <c r="J253" s="316">
        <v>0</v>
      </c>
    </row>
    <row r="254" spans="1:10" x14ac:dyDescent="0.25">
      <c r="A254" s="315" t="s">
        <v>732</v>
      </c>
      <c r="B254" s="118">
        <v>0</v>
      </c>
      <c r="C254" s="633"/>
      <c r="D254" s="636"/>
      <c r="E254" s="633"/>
      <c r="F254" s="641"/>
      <c r="G254" s="642"/>
      <c r="I254" s="311" t="s">
        <v>732</v>
      </c>
      <c r="J254" s="316">
        <v>0</v>
      </c>
    </row>
    <row r="255" spans="1:10" x14ac:dyDescent="0.25">
      <c r="A255" s="312" t="s">
        <v>690</v>
      </c>
      <c r="B255" s="266">
        <f>SUM(B243:B254)</f>
        <v>0</v>
      </c>
      <c r="C255" s="312" t="s">
        <v>690</v>
      </c>
      <c r="D255" s="266">
        <f>SUM(D243:D254)</f>
        <v>0</v>
      </c>
      <c r="E255" s="312" t="s">
        <v>690</v>
      </c>
      <c r="F255" s="629">
        <f>SUM(F243:G254)</f>
        <v>0</v>
      </c>
      <c r="G255" s="630"/>
      <c r="I255" s="312" t="s">
        <v>690</v>
      </c>
      <c r="J255" s="117">
        <f>SUM(J243:J254)</f>
        <v>0</v>
      </c>
    </row>
  </sheetData>
  <sheetProtection algorithmName="SHA-512" hashValue="hajSxJ+2ioQRoRMOPdQOL2Y71XKo0ADN9jTaNdvPB5HVcFOA7xJCVR+ddBnOPLXcvpVv/kH7Xt7YtFggKPUTPA==" saltValue="vlj+FZUja74zI0FEFCewDg==" spinCount="100000" sheet="1" objects="1" scenarios="1" formatCells="0" formatColumns="0" formatRows="0" sort="0" autoFilter="0" pivotTables="0"/>
  <mergeCells count="314">
    <mergeCell ref="A1:D1"/>
    <mergeCell ref="F1:G1"/>
    <mergeCell ref="I1:J1"/>
    <mergeCell ref="K1:K15"/>
    <mergeCell ref="L1:O1"/>
    <mergeCell ref="A2:B2"/>
    <mergeCell ref="C2:D2"/>
    <mergeCell ref="E2:G2"/>
    <mergeCell ref="I2:J2"/>
    <mergeCell ref="C3:C5"/>
    <mergeCell ref="D3:D5"/>
    <mergeCell ref="E3:E8"/>
    <mergeCell ref="F3:G8"/>
    <mergeCell ref="L5:O5"/>
    <mergeCell ref="C6:C8"/>
    <mergeCell ref="D6:D8"/>
    <mergeCell ref="M6:O6"/>
    <mergeCell ref="M7:O7"/>
    <mergeCell ref="L8:O8"/>
    <mergeCell ref="C9:C11"/>
    <mergeCell ref="D9:D11"/>
    <mergeCell ref="E9:E14"/>
    <mergeCell ref="F9:G14"/>
    <mergeCell ref="M9:O9"/>
    <mergeCell ref="M10:O10"/>
    <mergeCell ref="L11:O15"/>
    <mergeCell ref="C12:C14"/>
    <mergeCell ref="D12:D14"/>
    <mergeCell ref="F15:G15"/>
    <mergeCell ref="C19:C21"/>
    <mergeCell ref="D19:D21"/>
    <mergeCell ref="E19:E24"/>
    <mergeCell ref="F19:G24"/>
    <mergeCell ref="C22:C24"/>
    <mergeCell ref="D22:D24"/>
    <mergeCell ref="E17:G17"/>
    <mergeCell ref="I17:J17"/>
    <mergeCell ref="A18:B18"/>
    <mergeCell ref="C18:D18"/>
    <mergeCell ref="E18:G18"/>
    <mergeCell ref="I18:J18"/>
    <mergeCell ref="A34:B34"/>
    <mergeCell ref="C34:D34"/>
    <mergeCell ref="E34:G34"/>
    <mergeCell ref="I34:J34"/>
    <mergeCell ref="C25:C27"/>
    <mergeCell ref="D25:D27"/>
    <mergeCell ref="E25:E30"/>
    <mergeCell ref="F25:G30"/>
    <mergeCell ref="C28:C30"/>
    <mergeCell ref="D28:D30"/>
    <mergeCell ref="C35:C37"/>
    <mergeCell ref="D35:D37"/>
    <mergeCell ref="E35:E40"/>
    <mergeCell ref="F35:G40"/>
    <mergeCell ref="C38:C40"/>
    <mergeCell ref="D38:D40"/>
    <mergeCell ref="F31:G31"/>
    <mergeCell ref="E33:G33"/>
    <mergeCell ref="I33:J33"/>
    <mergeCell ref="A50:B50"/>
    <mergeCell ref="C50:D50"/>
    <mergeCell ref="E50:G50"/>
    <mergeCell ref="I50:J50"/>
    <mergeCell ref="C41:C43"/>
    <mergeCell ref="D41:D43"/>
    <mergeCell ref="E41:E46"/>
    <mergeCell ref="F41:G46"/>
    <mergeCell ref="C44:C46"/>
    <mergeCell ref="D44:D46"/>
    <mergeCell ref="C51:C53"/>
    <mergeCell ref="D51:D53"/>
    <mergeCell ref="E51:E56"/>
    <mergeCell ref="F51:G56"/>
    <mergeCell ref="C54:C56"/>
    <mergeCell ref="D54:D56"/>
    <mergeCell ref="F47:G47"/>
    <mergeCell ref="E49:G49"/>
    <mergeCell ref="I49:J49"/>
    <mergeCell ref="A66:B66"/>
    <mergeCell ref="C66:D66"/>
    <mergeCell ref="E66:G66"/>
    <mergeCell ref="I66:J66"/>
    <mergeCell ref="C57:C59"/>
    <mergeCell ref="D57:D59"/>
    <mergeCell ref="E57:E62"/>
    <mergeCell ref="F57:G62"/>
    <mergeCell ref="C60:C62"/>
    <mergeCell ref="D60:D62"/>
    <mergeCell ref="C67:C69"/>
    <mergeCell ref="D67:D69"/>
    <mergeCell ref="E67:E72"/>
    <mergeCell ref="F67:G72"/>
    <mergeCell ref="C70:C72"/>
    <mergeCell ref="D70:D72"/>
    <mergeCell ref="F63:G63"/>
    <mergeCell ref="E65:G65"/>
    <mergeCell ref="I65:J65"/>
    <mergeCell ref="A82:B82"/>
    <mergeCell ref="C82:D82"/>
    <mergeCell ref="E82:G82"/>
    <mergeCell ref="I82:J82"/>
    <mergeCell ref="C73:C75"/>
    <mergeCell ref="D73:D75"/>
    <mergeCell ref="E73:E78"/>
    <mergeCell ref="F73:G78"/>
    <mergeCell ref="C76:C78"/>
    <mergeCell ref="D76:D78"/>
    <mergeCell ref="C83:C85"/>
    <mergeCell ref="D83:D85"/>
    <mergeCell ref="E83:E88"/>
    <mergeCell ref="F83:G88"/>
    <mergeCell ref="C86:C88"/>
    <mergeCell ref="D86:D88"/>
    <mergeCell ref="F79:G79"/>
    <mergeCell ref="E81:G81"/>
    <mergeCell ref="I81:J81"/>
    <mergeCell ref="A98:B98"/>
    <mergeCell ref="C98:D98"/>
    <mergeCell ref="E98:G98"/>
    <mergeCell ref="I98:J98"/>
    <mergeCell ref="C89:C91"/>
    <mergeCell ref="D89:D91"/>
    <mergeCell ref="E89:E94"/>
    <mergeCell ref="F89:G94"/>
    <mergeCell ref="C92:C94"/>
    <mergeCell ref="D92:D94"/>
    <mergeCell ref="C99:C101"/>
    <mergeCell ref="D99:D101"/>
    <mergeCell ref="E99:E104"/>
    <mergeCell ref="F99:G104"/>
    <mergeCell ref="C102:C104"/>
    <mergeCell ref="D102:D104"/>
    <mergeCell ref="F95:G95"/>
    <mergeCell ref="E97:G97"/>
    <mergeCell ref="I97:J97"/>
    <mergeCell ref="A114:B114"/>
    <mergeCell ref="C114:D114"/>
    <mergeCell ref="E114:G114"/>
    <mergeCell ref="I114:J114"/>
    <mergeCell ref="C105:C107"/>
    <mergeCell ref="D105:D107"/>
    <mergeCell ref="E105:E110"/>
    <mergeCell ref="F105:G110"/>
    <mergeCell ref="C108:C110"/>
    <mergeCell ref="D108:D110"/>
    <mergeCell ref="C115:C117"/>
    <mergeCell ref="D115:D117"/>
    <mergeCell ref="E115:E120"/>
    <mergeCell ref="F115:G120"/>
    <mergeCell ref="C118:C120"/>
    <mergeCell ref="D118:D120"/>
    <mergeCell ref="F111:G111"/>
    <mergeCell ref="E113:G113"/>
    <mergeCell ref="I113:J113"/>
    <mergeCell ref="A130:B130"/>
    <mergeCell ref="C130:D130"/>
    <mergeCell ref="E130:G130"/>
    <mergeCell ref="I130:J130"/>
    <mergeCell ref="C121:C123"/>
    <mergeCell ref="D121:D123"/>
    <mergeCell ref="E121:E126"/>
    <mergeCell ref="F121:G126"/>
    <mergeCell ref="C124:C126"/>
    <mergeCell ref="D124:D126"/>
    <mergeCell ref="C131:C133"/>
    <mergeCell ref="D131:D133"/>
    <mergeCell ref="E131:E136"/>
    <mergeCell ref="F131:G136"/>
    <mergeCell ref="C134:C136"/>
    <mergeCell ref="D134:D136"/>
    <mergeCell ref="F127:G127"/>
    <mergeCell ref="E129:G129"/>
    <mergeCell ref="I129:J129"/>
    <mergeCell ref="A146:B146"/>
    <mergeCell ref="C146:D146"/>
    <mergeCell ref="E146:G146"/>
    <mergeCell ref="I146:J146"/>
    <mergeCell ref="C137:C139"/>
    <mergeCell ref="D137:D139"/>
    <mergeCell ref="E137:E142"/>
    <mergeCell ref="F137:G142"/>
    <mergeCell ref="C140:C142"/>
    <mergeCell ref="D140:D142"/>
    <mergeCell ref="C147:C149"/>
    <mergeCell ref="D147:D149"/>
    <mergeCell ref="E147:E152"/>
    <mergeCell ref="F147:G152"/>
    <mergeCell ref="C150:C152"/>
    <mergeCell ref="D150:D152"/>
    <mergeCell ref="F143:G143"/>
    <mergeCell ref="E145:G145"/>
    <mergeCell ref="I145:J145"/>
    <mergeCell ref="A162:B162"/>
    <mergeCell ref="C162:D162"/>
    <mergeCell ref="E162:G162"/>
    <mergeCell ref="I162:J162"/>
    <mergeCell ref="C153:C155"/>
    <mergeCell ref="D153:D155"/>
    <mergeCell ref="E153:E158"/>
    <mergeCell ref="F153:G158"/>
    <mergeCell ref="C156:C158"/>
    <mergeCell ref="D156:D158"/>
    <mergeCell ref="C163:C165"/>
    <mergeCell ref="D163:D165"/>
    <mergeCell ref="E163:E168"/>
    <mergeCell ref="F163:G168"/>
    <mergeCell ref="C166:C168"/>
    <mergeCell ref="D166:D168"/>
    <mergeCell ref="F159:G159"/>
    <mergeCell ref="E161:G161"/>
    <mergeCell ref="I161:J161"/>
    <mergeCell ref="A178:B178"/>
    <mergeCell ref="C178:D178"/>
    <mergeCell ref="E178:G178"/>
    <mergeCell ref="I178:J178"/>
    <mergeCell ref="C169:C171"/>
    <mergeCell ref="D169:D171"/>
    <mergeCell ref="E169:E174"/>
    <mergeCell ref="F169:G174"/>
    <mergeCell ref="C172:C174"/>
    <mergeCell ref="D172:D174"/>
    <mergeCell ref="C179:C181"/>
    <mergeCell ref="D179:D181"/>
    <mergeCell ref="E179:E184"/>
    <mergeCell ref="F179:G184"/>
    <mergeCell ref="C182:C184"/>
    <mergeCell ref="D182:D184"/>
    <mergeCell ref="F175:G175"/>
    <mergeCell ref="E177:G177"/>
    <mergeCell ref="I177:J177"/>
    <mergeCell ref="A194:B194"/>
    <mergeCell ref="C194:D194"/>
    <mergeCell ref="E194:G194"/>
    <mergeCell ref="I194:J194"/>
    <mergeCell ref="C185:C187"/>
    <mergeCell ref="D185:D187"/>
    <mergeCell ref="E185:E190"/>
    <mergeCell ref="F185:G190"/>
    <mergeCell ref="C188:C190"/>
    <mergeCell ref="D188:D190"/>
    <mergeCell ref="C195:C197"/>
    <mergeCell ref="D195:D197"/>
    <mergeCell ref="E195:E200"/>
    <mergeCell ref="F195:G200"/>
    <mergeCell ref="C198:C200"/>
    <mergeCell ref="D198:D200"/>
    <mergeCell ref="F191:G191"/>
    <mergeCell ref="E193:G193"/>
    <mergeCell ref="I193:J193"/>
    <mergeCell ref="A210:B210"/>
    <mergeCell ref="C210:D210"/>
    <mergeCell ref="E210:G210"/>
    <mergeCell ref="I210:J210"/>
    <mergeCell ref="C201:C203"/>
    <mergeCell ref="D201:D203"/>
    <mergeCell ref="E201:E206"/>
    <mergeCell ref="F201:G206"/>
    <mergeCell ref="C204:C206"/>
    <mergeCell ref="D204:D206"/>
    <mergeCell ref="C211:C213"/>
    <mergeCell ref="D211:D213"/>
    <mergeCell ref="E211:E216"/>
    <mergeCell ref="F211:G216"/>
    <mergeCell ref="C214:C216"/>
    <mergeCell ref="D214:D216"/>
    <mergeCell ref="F207:G207"/>
    <mergeCell ref="E209:G209"/>
    <mergeCell ref="I209:J209"/>
    <mergeCell ref="A226:B226"/>
    <mergeCell ref="C226:D226"/>
    <mergeCell ref="E226:G226"/>
    <mergeCell ref="I226:J226"/>
    <mergeCell ref="C217:C219"/>
    <mergeCell ref="D217:D219"/>
    <mergeCell ref="E217:E222"/>
    <mergeCell ref="F217:G222"/>
    <mergeCell ref="C220:C222"/>
    <mergeCell ref="D220:D222"/>
    <mergeCell ref="C227:C229"/>
    <mergeCell ref="D227:D229"/>
    <mergeCell ref="E227:E232"/>
    <mergeCell ref="F227:G232"/>
    <mergeCell ref="C230:C232"/>
    <mergeCell ref="D230:D232"/>
    <mergeCell ref="F223:G223"/>
    <mergeCell ref="E225:G225"/>
    <mergeCell ref="I225:J225"/>
    <mergeCell ref="F239:G239"/>
    <mergeCell ref="E241:G241"/>
    <mergeCell ref="I241:J241"/>
    <mergeCell ref="A242:B242"/>
    <mergeCell ref="C242:D242"/>
    <mergeCell ref="E242:G242"/>
    <mergeCell ref="I242:J242"/>
    <mergeCell ref="C233:C235"/>
    <mergeCell ref="D233:D235"/>
    <mergeCell ref="E233:E238"/>
    <mergeCell ref="F233:G238"/>
    <mergeCell ref="C236:C238"/>
    <mergeCell ref="D236:D238"/>
    <mergeCell ref="F255:G255"/>
    <mergeCell ref="C249:C251"/>
    <mergeCell ref="D249:D251"/>
    <mergeCell ref="E249:E254"/>
    <mergeCell ref="F249:G254"/>
    <mergeCell ref="C252:C254"/>
    <mergeCell ref="D252:D254"/>
    <mergeCell ref="C243:C245"/>
    <mergeCell ref="D243:D245"/>
    <mergeCell ref="E243:E248"/>
    <mergeCell ref="F243:G248"/>
    <mergeCell ref="C246:C248"/>
    <mergeCell ref="D246:D248"/>
  </mergeCells>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63CD8-4856-4A9A-93E1-30BCA3A9552E}">
  <sheetPr codeName="Sheet30"/>
  <dimension ref="A1:O255"/>
  <sheetViews>
    <sheetView zoomScaleNormal="100" workbookViewId="0">
      <selection activeCell="E2" sqref="E2:G2"/>
    </sheetView>
  </sheetViews>
  <sheetFormatPr defaultRowHeight="15" x14ac:dyDescent="0.25"/>
  <cols>
    <col min="1" max="1" width="10.85546875" customWidth="1"/>
    <col min="2" max="2" width="19.140625" customWidth="1"/>
    <col min="3" max="3" width="7.140625" bestFit="1" customWidth="1"/>
    <col min="4" max="4" width="21.85546875" customWidth="1"/>
    <col min="5" max="5" width="7.140625" bestFit="1" customWidth="1"/>
    <col min="6" max="6" width="12.5703125" customWidth="1"/>
    <col min="7" max="7" width="10.85546875" customWidth="1"/>
    <col min="9" max="9" width="10.85546875" customWidth="1"/>
    <col min="10" max="10" width="20.140625" customWidth="1"/>
    <col min="11" max="11" width="4.42578125" customWidth="1"/>
    <col min="12" max="12" width="24.85546875" customWidth="1"/>
    <col min="13" max="14" width="10" bestFit="1" customWidth="1"/>
    <col min="15" max="15" width="10.28515625" customWidth="1"/>
  </cols>
  <sheetData>
    <row r="1" spans="1:15" ht="33" customHeight="1" x14ac:dyDescent="0.25">
      <c r="A1" s="658" t="s">
        <v>1075</v>
      </c>
      <c r="B1" s="659"/>
      <c r="C1" s="659"/>
      <c r="D1" s="660"/>
      <c r="E1" s="309" t="s">
        <v>1076</v>
      </c>
      <c r="F1" s="661" t="s">
        <v>1081</v>
      </c>
      <c r="G1" s="662"/>
      <c r="I1" s="644" t="s">
        <v>1078</v>
      </c>
      <c r="J1" s="644"/>
      <c r="K1" s="663"/>
      <c r="L1" s="658" t="s">
        <v>863</v>
      </c>
      <c r="M1" s="659"/>
      <c r="N1" s="659"/>
      <c r="O1" s="660"/>
    </row>
    <row r="2" spans="1:15" x14ac:dyDescent="0.25">
      <c r="A2" s="645" t="s">
        <v>241</v>
      </c>
      <c r="B2" s="646"/>
      <c r="C2" s="645" t="s">
        <v>743</v>
      </c>
      <c r="D2" s="646"/>
      <c r="E2" s="645" t="s">
        <v>747</v>
      </c>
      <c r="F2" s="646"/>
      <c r="G2" s="647"/>
      <c r="I2" s="648" t="s">
        <v>241</v>
      </c>
      <c r="J2" s="648"/>
      <c r="K2" s="663"/>
      <c r="L2" s="265" t="s">
        <v>867</v>
      </c>
      <c r="M2" s="267" t="s">
        <v>864</v>
      </c>
      <c r="N2" s="267" t="s">
        <v>865</v>
      </c>
      <c r="O2" s="267" t="s">
        <v>866</v>
      </c>
    </row>
    <row r="3" spans="1:15" x14ac:dyDescent="0.25">
      <c r="A3" s="70" t="s">
        <v>733</v>
      </c>
      <c r="B3" s="310">
        <f>B19+B35+B51+B67+B83+B99+B115+B131+B147+B163+B179+B195+B211+B227+B243</f>
        <v>0</v>
      </c>
      <c r="C3" s="651" t="s">
        <v>744</v>
      </c>
      <c r="D3" s="654">
        <f>D19+D35+D51+D67+D83+D99+D115+D131+D147+D163+D179+D195+D211+D227+D243</f>
        <v>0</v>
      </c>
      <c r="E3" s="651" t="s">
        <v>748</v>
      </c>
      <c r="F3" s="665">
        <f>F19+F35+F51+F67+F83+F99+F115+F131+F147+F163+F179+F195+F211+F227+F243</f>
        <v>0</v>
      </c>
      <c r="G3" s="666"/>
      <c r="I3" s="311" t="s">
        <v>733</v>
      </c>
      <c r="J3" s="310">
        <f>J19+J35+J51+J67+J83+J99+J115+J131+J147+J163+J179+J195+J211+J227+J243</f>
        <v>0</v>
      </c>
      <c r="K3" s="663"/>
      <c r="L3" s="72" t="s">
        <v>857</v>
      </c>
      <c r="M3" s="74"/>
      <c r="N3" s="74"/>
      <c r="O3" s="71">
        <f>N3-M3</f>
        <v>0</v>
      </c>
    </row>
    <row r="4" spans="1:15" x14ac:dyDescent="0.25">
      <c r="A4" s="70" t="s">
        <v>517</v>
      </c>
      <c r="B4" s="310">
        <f t="shared" ref="B4:B14" si="0">B20+B36+B52+B68+B84+B100+B116+B132+B148+B164+B180+B196+B212+B228+B244</f>
        <v>0</v>
      </c>
      <c r="C4" s="652"/>
      <c r="D4" s="655"/>
      <c r="E4" s="652"/>
      <c r="F4" s="667"/>
      <c r="G4" s="668"/>
      <c r="I4" s="311" t="s">
        <v>517</v>
      </c>
      <c r="J4" s="310">
        <f t="shared" ref="J4:J14" si="1">J20+J36+J52+J68+J84+J100+J116+J132+J148+J164+J180+J196+J212+J228+J244</f>
        <v>0</v>
      </c>
      <c r="K4" s="663"/>
      <c r="L4" s="72" t="s">
        <v>858</v>
      </c>
      <c r="M4" s="74"/>
      <c r="N4" s="74"/>
      <c r="O4" s="71">
        <f>N4-M4</f>
        <v>0</v>
      </c>
    </row>
    <row r="5" spans="1:15" x14ac:dyDescent="0.25">
      <c r="A5" s="70" t="s">
        <v>734</v>
      </c>
      <c r="B5" s="310">
        <f t="shared" si="0"/>
        <v>0</v>
      </c>
      <c r="C5" s="653"/>
      <c r="D5" s="656"/>
      <c r="E5" s="652"/>
      <c r="F5" s="667"/>
      <c r="G5" s="668"/>
      <c r="I5" s="311" t="s">
        <v>734</v>
      </c>
      <c r="J5" s="310">
        <f t="shared" si="1"/>
        <v>0</v>
      </c>
      <c r="K5" s="664"/>
      <c r="L5" s="671"/>
      <c r="M5" s="671"/>
      <c r="N5" s="671"/>
      <c r="O5" s="671"/>
    </row>
    <row r="6" spans="1:15" x14ac:dyDescent="0.25">
      <c r="A6" s="70" t="s">
        <v>735</v>
      </c>
      <c r="B6" s="310">
        <f t="shared" si="0"/>
        <v>0</v>
      </c>
      <c r="C6" s="651" t="s">
        <v>745</v>
      </c>
      <c r="D6" s="654">
        <f t="shared" ref="D6" si="2">D22+D38+D54+D70+D86+D102+D118+D134+D150+D166+D182+D198+D214+D230+D246</f>
        <v>0</v>
      </c>
      <c r="E6" s="652"/>
      <c r="F6" s="667"/>
      <c r="G6" s="668"/>
      <c r="I6" s="311" t="s">
        <v>735</v>
      </c>
      <c r="J6" s="310">
        <f t="shared" si="1"/>
        <v>0</v>
      </c>
      <c r="K6" s="663"/>
      <c r="L6" s="116" t="s">
        <v>862</v>
      </c>
      <c r="M6" s="672"/>
      <c r="N6" s="673"/>
      <c r="O6" s="674"/>
    </row>
    <row r="7" spans="1:15" x14ac:dyDescent="0.25">
      <c r="A7" s="70" t="s">
        <v>736</v>
      </c>
      <c r="B7" s="310">
        <f t="shared" si="0"/>
        <v>0</v>
      </c>
      <c r="C7" s="652"/>
      <c r="D7" s="655"/>
      <c r="E7" s="652"/>
      <c r="F7" s="667"/>
      <c r="G7" s="668"/>
      <c r="I7" s="311" t="s">
        <v>736</v>
      </c>
      <c r="J7" s="310">
        <f t="shared" si="1"/>
        <v>0</v>
      </c>
      <c r="K7" s="663"/>
      <c r="L7" s="116" t="s">
        <v>861</v>
      </c>
      <c r="M7" s="672"/>
      <c r="N7" s="673"/>
      <c r="O7" s="674"/>
    </row>
    <row r="8" spans="1:15" x14ac:dyDescent="0.25">
      <c r="A8" s="70" t="s">
        <v>737</v>
      </c>
      <c r="B8" s="310">
        <f t="shared" si="0"/>
        <v>0</v>
      </c>
      <c r="C8" s="653"/>
      <c r="D8" s="656"/>
      <c r="E8" s="653"/>
      <c r="F8" s="669"/>
      <c r="G8" s="670"/>
      <c r="I8" s="311" t="s">
        <v>737</v>
      </c>
      <c r="J8" s="310">
        <f t="shared" si="1"/>
        <v>0</v>
      </c>
      <c r="K8" s="664"/>
      <c r="L8" s="671"/>
      <c r="M8" s="671"/>
      <c r="N8" s="671"/>
      <c r="O8" s="671"/>
    </row>
    <row r="9" spans="1:15" x14ac:dyDescent="0.25">
      <c r="A9" s="70" t="s">
        <v>738</v>
      </c>
      <c r="B9" s="310">
        <f t="shared" si="0"/>
        <v>0</v>
      </c>
      <c r="C9" s="651" t="s">
        <v>746</v>
      </c>
      <c r="D9" s="654">
        <f t="shared" ref="D9" si="3">D25+D41+D57+D73+D89+D105+D121+D137+D153+D169+D185+D201+D217+D233+D249</f>
        <v>0</v>
      </c>
      <c r="E9" s="651" t="s">
        <v>749</v>
      </c>
      <c r="F9" s="665">
        <f>F25+F41+F57+F73+F89+F105+F121+F137+F153+F169+F185+F201+F217+F233+F249</f>
        <v>0</v>
      </c>
      <c r="G9" s="666"/>
      <c r="I9" s="311" t="s">
        <v>738</v>
      </c>
      <c r="J9" s="310">
        <f t="shared" si="1"/>
        <v>0</v>
      </c>
      <c r="K9" s="663"/>
      <c r="L9" s="138" t="s">
        <v>860</v>
      </c>
      <c r="M9" s="649" t="e">
        <f>(M6/B15)*O3</f>
        <v>#DIV/0!</v>
      </c>
      <c r="N9" s="649"/>
      <c r="O9" s="649"/>
    </row>
    <row r="10" spans="1:15" x14ac:dyDescent="0.25">
      <c r="A10" s="70" t="s">
        <v>739</v>
      </c>
      <c r="B10" s="310">
        <f t="shared" si="0"/>
        <v>0</v>
      </c>
      <c r="C10" s="652"/>
      <c r="D10" s="655"/>
      <c r="E10" s="652"/>
      <c r="F10" s="667"/>
      <c r="G10" s="668"/>
      <c r="I10" s="311" t="s">
        <v>739</v>
      </c>
      <c r="J10" s="310">
        <f t="shared" si="1"/>
        <v>0</v>
      </c>
      <c r="K10" s="663"/>
      <c r="L10" s="138" t="s">
        <v>859</v>
      </c>
      <c r="M10" s="649" t="e">
        <f>(M7/J15)*O4</f>
        <v>#DIV/0!</v>
      </c>
      <c r="N10" s="649"/>
      <c r="O10" s="649"/>
    </row>
    <row r="11" spans="1:15" x14ac:dyDescent="0.25">
      <c r="A11" s="70" t="s">
        <v>740</v>
      </c>
      <c r="B11" s="310">
        <f t="shared" si="0"/>
        <v>0</v>
      </c>
      <c r="C11" s="653"/>
      <c r="D11" s="656"/>
      <c r="E11" s="652"/>
      <c r="F11" s="667"/>
      <c r="G11" s="668"/>
      <c r="I11" s="311" t="s">
        <v>740</v>
      </c>
      <c r="J11" s="310">
        <f t="shared" si="1"/>
        <v>0</v>
      </c>
      <c r="K11" s="664"/>
      <c r="L11" s="650"/>
      <c r="M11" s="650"/>
      <c r="N11" s="650"/>
      <c r="O11" s="650"/>
    </row>
    <row r="12" spans="1:15" x14ac:dyDescent="0.25">
      <c r="A12" s="70" t="s">
        <v>741</v>
      </c>
      <c r="B12" s="310">
        <f t="shared" si="0"/>
        <v>0</v>
      </c>
      <c r="C12" s="651" t="s">
        <v>776</v>
      </c>
      <c r="D12" s="654">
        <f t="shared" ref="D12" si="4">D28+D44+D60+D76+D92+D108+D124+D140+D156+D172+D188+D204+D220+D236+D252</f>
        <v>0</v>
      </c>
      <c r="E12" s="652"/>
      <c r="F12" s="667"/>
      <c r="G12" s="668"/>
      <c r="I12" s="311" t="s">
        <v>741</v>
      </c>
      <c r="J12" s="310">
        <f t="shared" si="1"/>
        <v>0</v>
      </c>
      <c r="K12" s="664"/>
      <c r="L12" s="650"/>
      <c r="M12" s="650"/>
      <c r="N12" s="650"/>
      <c r="O12" s="650"/>
    </row>
    <row r="13" spans="1:15" x14ac:dyDescent="0.25">
      <c r="A13" s="70" t="s">
        <v>742</v>
      </c>
      <c r="B13" s="310">
        <f t="shared" si="0"/>
        <v>0</v>
      </c>
      <c r="C13" s="652"/>
      <c r="D13" s="655"/>
      <c r="E13" s="652"/>
      <c r="F13" s="667"/>
      <c r="G13" s="668"/>
      <c r="I13" s="311" t="s">
        <v>742</v>
      </c>
      <c r="J13" s="310">
        <f t="shared" si="1"/>
        <v>0</v>
      </c>
      <c r="K13" s="664"/>
      <c r="L13" s="650"/>
      <c r="M13" s="650"/>
      <c r="N13" s="650"/>
      <c r="O13" s="650"/>
    </row>
    <row r="14" spans="1:15" x14ac:dyDescent="0.25">
      <c r="A14" s="70" t="s">
        <v>732</v>
      </c>
      <c r="B14" s="310">
        <f t="shared" si="0"/>
        <v>0</v>
      </c>
      <c r="C14" s="653"/>
      <c r="D14" s="656"/>
      <c r="E14" s="653"/>
      <c r="F14" s="669"/>
      <c r="G14" s="670"/>
      <c r="I14" s="311" t="s">
        <v>732</v>
      </c>
      <c r="J14" s="310">
        <f t="shared" si="1"/>
        <v>0</v>
      </c>
      <c r="K14" s="664"/>
      <c r="L14" s="650"/>
      <c r="M14" s="650"/>
      <c r="N14" s="650"/>
      <c r="O14" s="650"/>
    </row>
    <row r="15" spans="1:15" x14ac:dyDescent="0.25">
      <c r="A15" s="312" t="s">
        <v>690</v>
      </c>
      <c r="B15" s="351">
        <f>SUM(B3:B14)</f>
        <v>0</v>
      </c>
      <c r="C15" s="312" t="s">
        <v>690</v>
      </c>
      <c r="D15" s="351">
        <f>SUM(D3:D14)</f>
        <v>0</v>
      </c>
      <c r="E15" s="312" t="s">
        <v>690</v>
      </c>
      <c r="F15" s="629">
        <f>SUM(F3:G14)</f>
        <v>0</v>
      </c>
      <c r="G15" s="657"/>
      <c r="I15" s="312" t="s">
        <v>690</v>
      </c>
      <c r="J15" s="117">
        <f>SUM(J3:J14)</f>
        <v>0</v>
      </c>
      <c r="K15" s="664"/>
      <c r="L15" s="650"/>
      <c r="M15" s="650"/>
      <c r="N15" s="650"/>
      <c r="O15" s="650"/>
    </row>
    <row r="17" spans="1:10" ht="18.75" customHeight="1" x14ac:dyDescent="0.25">
      <c r="A17" s="313" t="s">
        <v>1079</v>
      </c>
      <c r="B17" s="314"/>
      <c r="C17" s="314"/>
      <c r="D17" s="309" t="s">
        <v>1080</v>
      </c>
      <c r="E17" s="643"/>
      <c r="F17" s="643"/>
      <c r="G17" s="643"/>
      <c r="I17" s="644" t="s">
        <v>856</v>
      </c>
      <c r="J17" s="644"/>
    </row>
    <row r="18" spans="1:10" x14ac:dyDescent="0.25">
      <c r="A18" s="645" t="s">
        <v>241</v>
      </c>
      <c r="B18" s="646"/>
      <c r="C18" s="645" t="s">
        <v>743</v>
      </c>
      <c r="D18" s="646"/>
      <c r="E18" s="645" t="s">
        <v>747</v>
      </c>
      <c r="F18" s="646"/>
      <c r="G18" s="647"/>
      <c r="I18" s="648" t="s">
        <v>241</v>
      </c>
      <c r="J18" s="648"/>
    </row>
    <row r="19" spans="1:10" x14ac:dyDescent="0.25">
      <c r="A19" s="315" t="s">
        <v>733</v>
      </c>
      <c r="B19" s="118">
        <v>0</v>
      </c>
      <c r="C19" s="631" t="s">
        <v>744</v>
      </c>
      <c r="D19" s="634">
        <f>B19+B20+B21</f>
        <v>0</v>
      </c>
      <c r="E19" s="631" t="s">
        <v>748</v>
      </c>
      <c r="F19" s="637">
        <f>+D19+D22</f>
        <v>0</v>
      </c>
      <c r="G19" s="638"/>
      <c r="I19" s="311" t="s">
        <v>733</v>
      </c>
      <c r="J19" s="316">
        <v>0</v>
      </c>
    </row>
    <row r="20" spans="1:10" x14ac:dyDescent="0.25">
      <c r="A20" s="315" t="s">
        <v>517</v>
      </c>
      <c r="B20" s="118">
        <v>0</v>
      </c>
      <c r="C20" s="632"/>
      <c r="D20" s="635"/>
      <c r="E20" s="632"/>
      <c r="F20" s="639"/>
      <c r="G20" s="640"/>
      <c r="I20" s="311" t="s">
        <v>517</v>
      </c>
      <c r="J20" s="316">
        <v>0</v>
      </c>
    </row>
    <row r="21" spans="1:10" x14ac:dyDescent="0.25">
      <c r="A21" s="315" t="s">
        <v>734</v>
      </c>
      <c r="B21" s="118">
        <v>0</v>
      </c>
      <c r="C21" s="633"/>
      <c r="D21" s="636"/>
      <c r="E21" s="632"/>
      <c r="F21" s="639"/>
      <c r="G21" s="640"/>
      <c r="I21" s="311" t="s">
        <v>734</v>
      </c>
      <c r="J21" s="316">
        <v>0</v>
      </c>
    </row>
    <row r="22" spans="1:10" x14ac:dyDescent="0.25">
      <c r="A22" s="315" t="s">
        <v>735</v>
      </c>
      <c r="B22" s="118">
        <v>0</v>
      </c>
      <c r="C22" s="631" t="s">
        <v>745</v>
      </c>
      <c r="D22" s="634">
        <f>B22+B23+B24</f>
        <v>0</v>
      </c>
      <c r="E22" s="632"/>
      <c r="F22" s="639"/>
      <c r="G22" s="640"/>
      <c r="I22" s="311" t="s">
        <v>735</v>
      </c>
      <c r="J22" s="316">
        <v>0</v>
      </c>
    </row>
    <row r="23" spans="1:10" x14ac:dyDescent="0.25">
      <c r="A23" s="315" t="s">
        <v>736</v>
      </c>
      <c r="B23" s="118">
        <v>0</v>
      </c>
      <c r="C23" s="632"/>
      <c r="D23" s="635"/>
      <c r="E23" s="632"/>
      <c r="F23" s="639"/>
      <c r="G23" s="640"/>
      <c r="I23" s="311" t="s">
        <v>736</v>
      </c>
      <c r="J23" s="316">
        <v>0</v>
      </c>
    </row>
    <row r="24" spans="1:10" x14ac:dyDescent="0.25">
      <c r="A24" s="315" t="s">
        <v>737</v>
      </c>
      <c r="B24" s="118">
        <v>0</v>
      </c>
      <c r="C24" s="633"/>
      <c r="D24" s="636"/>
      <c r="E24" s="633"/>
      <c r="F24" s="641"/>
      <c r="G24" s="642"/>
      <c r="I24" s="311" t="s">
        <v>737</v>
      </c>
      <c r="J24" s="316">
        <v>0</v>
      </c>
    </row>
    <row r="25" spans="1:10" x14ac:dyDescent="0.25">
      <c r="A25" s="315" t="s">
        <v>738</v>
      </c>
      <c r="B25" s="118">
        <v>0</v>
      </c>
      <c r="C25" s="631" t="s">
        <v>746</v>
      </c>
      <c r="D25" s="634">
        <f>B25+B26+B27</f>
        <v>0</v>
      </c>
      <c r="E25" s="631" t="s">
        <v>749</v>
      </c>
      <c r="F25" s="637">
        <f>+D25+D28</f>
        <v>0</v>
      </c>
      <c r="G25" s="638"/>
      <c r="I25" s="311" t="s">
        <v>738</v>
      </c>
      <c r="J25" s="316">
        <v>0</v>
      </c>
    </row>
    <row r="26" spans="1:10" x14ac:dyDescent="0.25">
      <c r="A26" s="315" t="s">
        <v>739</v>
      </c>
      <c r="B26" s="118">
        <v>0</v>
      </c>
      <c r="C26" s="632"/>
      <c r="D26" s="635"/>
      <c r="E26" s="632"/>
      <c r="F26" s="639"/>
      <c r="G26" s="640"/>
      <c r="I26" s="311" t="s">
        <v>739</v>
      </c>
      <c r="J26" s="316">
        <v>0</v>
      </c>
    </row>
    <row r="27" spans="1:10" x14ac:dyDescent="0.25">
      <c r="A27" s="315" t="s">
        <v>740</v>
      </c>
      <c r="B27" s="118">
        <v>0</v>
      </c>
      <c r="C27" s="633"/>
      <c r="D27" s="636"/>
      <c r="E27" s="632"/>
      <c r="F27" s="639"/>
      <c r="G27" s="640"/>
      <c r="I27" s="311" t="s">
        <v>740</v>
      </c>
      <c r="J27" s="316">
        <v>0</v>
      </c>
    </row>
    <row r="28" spans="1:10" x14ac:dyDescent="0.25">
      <c r="A28" s="315" t="s">
        <v>741</v>
      </c>
      <c r="B28" s="118">
        <v>0</v>
      </c>
      <c r="C28" s="631" t="s">
        <v>776</v>
      </c>
      <c r="D28" s="634">
        <f>B28+B29+B30</f>
        <v>0</v>
      </c>
      <c r="E28" s="632"/>
      <c r="F28" s="639"/>
      <c r="G28" s="640"/>
      <c r="I28" s="311" t="s">
        <v>741</v>
      </c>
      <c r="J28" s="316">
        <v>0</v>
      </c>
    </row>
    <row r="29" spans="1:10" x14ac:dyDescent="0.25">
      <c r="A29" s="315" t="s">
        <v>742</v>
      </c>
      <c r="B29" s="118">
        <v>0</v>
      </c>
      <c r="C29" s="632"/>
      <c r="D29" s="635"/>
      <c r="E29" s="632"/>
      <c r="F29" s="639"/>
      <c r="G29" s="640"/>
      <c r="I29" s="311" t="s">
        <v>742</v>
      </c>
      <c r="J29" s="316">
        <v>0</v>
      </c>
    </row>
    <row r="30" spans="1:10" x14ac:dyDescent="0.25">
      <c r="A30" s="315" t="s">
        <v>732</v>
      </c>
      <c r="B30" s="118">
        <v>0</v>
      </c>
      <c r="C30" s="633"/>
      <c r="D30" s="636"/>
      <c r="E30" s="633"/>
      <c r="F30" s="641"/>
      <c r="G30" s="642"/>
      <c r="I30" s="311" t="s">
        <v>732</v>
      </c>
      <c r="J30" s="316">
        <v>0</v>
      </c>
    </row>
    <row r="31" spans="1:10" x14ac:dyDescent="0.25">
      <c r="A31" s="312" t="s">
        <v>690</v>
      </c>
      <c r="B31" s="351">
        <f>SUM(B19:B30)</f>
        <v>0</v>
      </c>
      <c r="C31" s="312" t="s">
        <v>690</v>
      </c>
      <c r="D31" s="351">
        <f>SUM(D19:D30)</f>
        <v>0</v>
      </c>
      <c r="E31" s="312" t="s">
        <v>690</v>
      </c>
      <c r="F31" s="629">
        <f>SUM(F19:G30)</f>
        <v>0</v>
      </c>
      <c r="G31" s="630"/>
      <c r="I31" s="312" t="s">
        <v>690</v>
      </c>
      <c r="J31" s="117">
        <f>SUM(J19:J30)</f>
        <v>0</v>
      </c>
    </row>
    <row r="33" spans="1:10" ht="18.75" customHeight="1" x14ac:dyDescent="0.25">
      <c r="A33" s="313" t="s">
        <v>1079</v>
      </c>
      <c r="B33" s="314"/>
      <c r="C33" s="314"/>
      <c r="D33" s="309" t="s">
        <v>1080</v>
      </c>
      <c r="E33" s="643"/>
      <c r="F33" s="643"/>
      <c r="G33" s="643"/>
      <c r="I33" s="644" t="s">
        <v>856</v>
      </c>
      <c r="J33" s="644"/>
    </row>
    <row r="34" spans="1:10" x14ac:dyDescent="0.25">
      <c r="A34" s="645" t="s">
        <v>241</v>
      </c>
      <c r="B34" s="646"/>
      <c r="C34" s="645" t="s">
        <v>743</v>
      </c>
      <c r="D34" s="646"/>
      <c r="E34" s="645" t="s">
        <v>747</v>
      </c>
      <c r="F34" s="646"/>
      <c r="G34" s="647"/>
      <c r="I34" s="648" t="s">
        <v>241</v>
      </c>
      <c r="J34" s="648"/>
    </row>
    <row r="35" spans="1:10" x14ac:dyDescent="0.25">
      <c r="A35" s="315" t="s">
        <v>733</v>
      </c>
      <c r="B35" s="118">
        <v>0</v>
      </c>
      <c r="C35" s="631" t="s">
        <v>744</v>
      </c>
      <c r="D35" s="634">
        <f>+B35+B36+B37</f>
        <v>0</v>
      </c>
      <c r="E35" s="631" t="s">
        <v>748</v>
      </c>
      <c r="F35" s="637">
        <f>+D35+D38</f>
        <v>0</v>
      </c>
      <c r="G35" s="638"/>
      <c r="I35" s="311" t="s">
        <v>733</v>
      </c>
      <c r="J35" s="316">
        <v>0</v>
      </c>
    </row>
    <row r="36" spans="1:10" x14ac:dyDescent="0.25">
      <c r="A36" s="315" t="s">
        <v>517</v>
      </c>
      <c r="B36" s="118">
        <v>0</v>
      </c>
      <c r="C36" s="632"/>
      <c r="D36" s="635"/>
      <c r="E36" s="632"/>
      <c r="F36" s="639"/>
      <c r="G36" s="640"/>
      <c r="I36" s="311" t="s">
        <v>517</v>
      </c>
      <c r="J36" s="316">
        <v>0</v>
      </c>
    </row>
    <row r="37" spans="1:10" x14ac:dyDescent="0.25">
      <c r="A37" s="315" t="s">
        <v>734</v>
      </c>
      <c r="B37" s="118">
        <v>0</v>
      </c>
      <c r="C37" s="633"/>
      <c r="D37" s="636"/>
      <c r="E37" s="632"/>
      <c r="F37" s="639"/>
      <c r="G37" s="640"/>
      <c r="I37" s="311" t="s">
        <v>734</v>
      </c>
      <c r="J37" s="316">
        <v>0</v>
      </c>
    </row>
    <row r="38" spans="1:10" x14ac:dyDescent="0.25">
      <c r="A38" s="315" t="s">
        <v>735</v>
      </c>
      <c r="B38" s="118">
        <v>0</v>
      </c>
      <c r="C38" s="631" t="s">
        <v>745</v>
      </c>
      <c r="D38" s="634">
        <f>+B38+B39+B40</f>
        <v>0</v>
      </c>
      <c r="E38" s="632"/>
      <c r="F38" s="639"/>
      <c r="G38" s="640"/>
      <c r="I38" s="311" t="s">
        <v>735</v>
      </c>
      <c r="J38" s="316">
        <v>0</v>
      </c>
    </row>
    <row r="39" spans="1:10" x14ac:dyDescent="0.25">
      <c r="A39" s="315" t="s">
        <v>736</v>
      </c>
      <c r="B39" s="118">
        <v>0</v>
      </c>
      <c r="C39" s="632"/>
      <c r="D39" s="635"/>
      <c r="E39" s="632"/>
      <c r="F39" s="639"/>
      <c r="G39" s="640"/>
      <c r="I39" s="311" t="s">
        <v>736</v>
      </c>
      <c r="J39" s="316">
        <v>0</v>
      </c>
    </row>
    <row r="40" spans="1:10" x14ac:dyDescent="0.25">
      <c r="A40" s="315" t="s">
        <v>737</v>
      </c>
      <c r="B40" s="118">
        <v>0</v>
      </c>
      <c r="C40" s="633"/>
      <c r="D40" s="636"/>
      <c r="E40" s="633"/>
      <c r="F40" s="641"/>
      <c r="G40" s="642"/>
      <c r="I40" s="311" t="s">
        <v>737</v>
      </c>
      <c r="J40" s="316">
        <v>0</v>
      </c>
    </row>
    <row r="41" spans="1:10" x14ac:dyDescent="0.25">
      <c r="A41" s="315" t="s">
        <v>738</v>
      </c>
      <c r="B41" s="118">
        <v>0</v>
      </c>
      <c r="C41" s="631" t="s">
        <v>746</v>
      </c>
      <c r="D41" s="634">
        <f>+B41+B42+B43</f>
        <v>0</v>
      </c>
      <c r="E41" s="631" t="s">
        <v>749</v>
      </c>
      <c r="F41" s="637">
        <f>+D41+D44</f>
        <v>0</v>
      </c>
      <c r="G41" s="638"/>
      <c r="I41" s="311" t="s">
        <v>738</v>
      </c>
      <c r="J41" s="316">
        <v>0</v>
      </c>
    </row>
    <row r="42" spans="1:10" x14ac:dyDescent="0.25">
      <c r="A42" s="315" t="s">
        <v>739</v>
      </c>
      <c r="B42" s="118">
        <v>0</v>
      </c>
      <c r="C42" s="632"/>
      <c r="D42" s="635"/>
      <c r="E42" s="632"/>
      <c r="F42" s="639"/>
      <c r="G42" s="640"/>
      <c r="I42" s="311" t="s">
        <v>739</v>
      </c>
      <c r="J42" s="316">
        <v>0</v>
      </c>
    </row>
    <row r="43" spans="1:10" x14ac:dyDescent="0.25">
      <c r="A43" s="315" t="s">
        <v>740</v>
      </c>
      <c r="B43" s="118">
        <v>0</v>
      </c>
      <c r="C43" s="633"/>
      <c r="D43" s="636"/>
      <c r="E43" s="632"/>
      <c r="F43" s="639"/>
      <c r="G43" s="640"/>
      <c r="I43" s="311" t="s">
        <v>740</v>
      </c>
      <c r="J43" s="316">
        <v>0</v>
      </c>
    </row>
    <row r="44" spans="1:10" x14ac:dyDescent="0.25">
      <c r="A44" s="315" t="s">
        <v>741</v>
      </c>
      <c r="B44" s="118">
        <v>0</v>
      </c>
      <c r="C44" s="631" t="s">
        <v>776</v>
      </c>
      <c r="D44" s="634">
        <f>+B44+B45+B46</f>
        <v>0</v>
      </c>
      <c r="E44" s="632"/>
      <c r="F44" s="639"/>
      <c r="G44" s="640"/>
      <c r="I44" s="311" t="s">
        <v>741</v>
      </c>
      <c r="J44" s="316">
        <v>0</v>
      </c>
    </row>
    <row r="45" spans="1:10" x14ac:dyDescent="0.25">
      <c r="A45" s="315" t="s">
        <v>742</v>
      </c>
      <c r="B45" s="118">
        <v>0</v>
      </c>
      <c r="C45" s="632"/>
      <c r="D45" s="635"/>
      <c r="E45" s="632"/>
      <c r="F45" s="639"/>
      <c r="G45" s="640"/>
      <c r="I45" s="311" t="s">
        <v>742</v>
      </c>
      <c r="J45" s="316">
        <v>0</v>
      </c>
    </row>
    <row r="46" spans="1:10" x14ac:dyDescent="0.25">
      <c r="A46" s="315" t="s">
        <v>732</v>
      </c>
      <c r="B46" s="118">
        <v>0</v>
      </c>
      <c r="C46" s="633"/>
      <c r="D46" s="636"/>
      <c r="E46" s="633"/>
      <c r="F46" s="641"/>
      <c r="G46" s="642"/>
      <c r="I46" s="311" t="s">
        <v>732</v>
      </c>
      <c r="J46" s="316">
        <v>0</v>
      </c>
    </row>
    <row r="47" spans="1:10" x14ac:dyDescent="0.25">
      <c r="A47" s="312" t="s">
        <v>690</v>
      </c>
      <c r="B47" s="351">
        <f>SUM(B35:B46)</f>
        <v>0</v>
      </c>
      <c r="C47" s="312" t="s">
        <v>690</v>
      </c>
      <c r="D47" s="351">
        <f>SUM(D35:D46)</f>
        <v>0</v>
      </c>
      <c r="E47" s="312" t="s">
        <v>690</v>
      </c>
      <c r="F47" s="629">
        <f>SUM(F35:G46)</f>
        <v>0</v>
      </c>
      <c r="G47" s="630"/>
      <c r="I47" s="312" t="s">
        <v>690</v>
      </c>
      <c r="J47" s="117">
        <f>SUM(J35:J46)</f>
        <v>0</v>
      </c>
    </row>
    <row r="49" spans="1:10" ht="18.75" customHeight="1" x14ac:dyDescent="0.25">
      <c r="A49" s="313" t="s">
        <v>1079</v>
      </c>
      <c r="B49" s="314"/>
      <c r="C49" s="314"/>
      <c r="D49" s="309" t="s">
        <v>1080</v>
      </c>
      <c r="E49" s="643"/>
      <c r="F49" s="643"/>
      <c r="G49" s="643"/>
      <c r="I49" s="644" t="s">
        <v>856</v>
      </c>
      <c r="J49" s="644"/>
    </row>
    <row r="50" spans="1:10" x14ac:dyDescent="0.25">
      <c r="A50" s="645" t="s">
        <v>241</v>
      </c>
      <c r="B50" s="646"/>
      <c r="C50" s="645" t="s">
        <v>743</v>
      </c>
      <c r="D50" s="646"/>
      <c r="E50" s="645" t="s">
        <v>747</v>
      </c>
      <c r="F50" s="646"/>
      <c r="G50" s="647"/>
      <c r="I50" s="648" t="s">
        <v>241</v>
      </c>
      <c r="J50" s="648"/>
    </row>
    <row r="51" spans="1:10" x14ac:dyDescent="0.25">
      <c r="A51" s="315" t="s">
        <v>733</v>
      </c>
      <c r="B51" s="118">
        <v>0</v>
      </c>
      <c r="C51" s="631" t="s">
        <v>744</v>
      </c>
      <c r="D51" s="634">
        <f>+B51+B52+B53</f>
        <v>0</v>
      </c>
      <c r="E51" s="631" t="s">
        <v>748</v>
      </c>
      <c r="F51" s="637">
        <f>+D51+D54</f>
        <v>0</v>
      </c>
      <c r="G51" s="638"/>
      <c r="I51" s="311" t="s">
        <v>733</v>
      </c>
      <c r="J51" s="118">
        <v>0</v>
      </c>
    </row>
    <row r="52" spans="1:10" x14ac:dyDescent="0.25">
      <c r="A52" s="315" t="s">
        <v>517</v>
      </c>
      <c r="B52" s="118">
        <v>0</v>
      </c>
      <c r="C52" s="632"/>
      <c r="D52" s="635"/>
      <c r="E52" s="632"/>
      <c r="F52" s="639"/>
      <c r="G52" s="640"/>
      <c r="I52" s="311" t="s">
        <v>517</v>
      </c>
      <c r="J52" s="118">
        <v>0</v>
      </c>
    </row>
    <row r="53" spans="1:10" x14ac:dyDescent="0.25">
      <c r="A53" s="315" t="s">
        <v>734</v>
      </c>
      <c r="B53" s="118">
        <v>0</v>
      </c>
      <c r="C53" s="633"/>
      <c r="D53" s="636"/>
      <c r="E53" s="632"/>
      <c r="F53" s="639"/>
      <c r="G53" s="640"/>
      <c r="I53" s="311" t="s">
        <v>734</v>
      </c>
      <c r="J53" s="118">
        <v>0</v>
      </c>
    </row>
    <row r="54" spans="1:10" x14ac:dyDescent="0.25">
      <c r="A54" s="315" t="s">
        <v>735</v>
      </c>
      <c r="B54" s="118">
        <v>0</v>
      </c>
      <c r="C54" s="631" t="s">
        <v>745</v>
      </c>
      <c r="D54" s="634">
        <f>+B54+B55+B56</f>
        <v>0</v>
      </c>
      <c r="E54" s="632"/>
      <c r="F54" s="639"/>
      <c r="G54" s="640"/>
      <c r="I54" s="311" t="s">
        <v>735</v>
      </c>
      <c r="J54" s="118">
        <v>0</v>
      </c>
    </row>
    <row r="55" spans="1:10" x14ac:dyDescent="0.25">
      <c r="A55" s="315" t="s">
        <v>736</v>
      </c>
      <c r="B55" s="118">
        <v>0</v>
      </c>
      <c r="C55" s="632"/>
      <c r="D55" s="635"/>
      <c r="E55" s="632"/>
      <c r="F55" s="639"/>
      <c r="G55" s="640"/>
      <c r="I55" s="311" t="s">
        <v>736</v>
      </c>
      <c r="J55" s="118">
        <v>0</v>
      </c>
    </row>
    <row r="56" spans="1:10" x14ac:dyDescent="0.25">
      <c r="A56" s="315" t="s">
        <v>737</v>
      </c>
      <c r="B56" s="118">
        <v>0</v>
      </c>
      <c r="C56" s="633"/>
      <c r="D56" s="636"/>
      <c r="E56" s="633"/>
      <c r="F56" s="641"/>
      <c r="G56" s="642"/>
      <c r="I56" s="311" t="s">
        <v>737</v>
      </c>
      <c r="J56" s="118">
        <v>0</v>
      </c>
    </row>
    <row r="57" spans="1:10" x14ac:dyDescent="0.25">
      <c r="A57" s="315" t="s">
        <v>738</v>
      </c>
      <c r="B57" s="118">
        <v>0</v>
      </c>
      <c r="C57" s="631" t="s">
        <v>746</v>
      </c>
      <c r="D57" s="634">
        <f>+B57+B58+B59</f>
        <v>0</v>
      </c>
      <c r="E57" s="631" t="s">
        <v>749</v>
      </c>
      <c r="F57" s="637">
        <f>+D57+D60</f>
        <v>0</v>
      </c>
      <c r="G57" s="638"/>
      <c r="I57" s="311" t="s">
        <v>738</v>
      </c>
      <c r="J57" s="118">
        <v>0</v>
      </c>
    </row>
    <row r="58" spans="1:10" x14ac:dyDescent="0.25">
      <c r="A58" s="315" t="s">
        <v>739</v>
      </c>
      <c r="B58" s="118">
        <v>0</v>
      </c>
      <c r="C58" s="632"/>
      <c r="D58" s="635"/>
      <c r="E58" s="632"/>
      <c r="F58" s="639"/>
      <c r="G58" s="640"/>
      <c r="I58" s="311" t="s">
        <v>739</v>
      </c>
      <c r="J58" s="118">
        <v>0</v>
      </c>
    </row>
    <row r="59" spans="1:10" x14ac:dyDescent="0.25">
      <c r="A59" s="315" t="s">
        <v>740</v>
      </c>
      <c r="B59" s="118">
        <v>0</v>
      </c>
      <c r="C59" s="633"/>
      <c r="D59" s="636"/>
      <c r="E59" s="632"/>
      <c r="F59" s="639"/>
      <c r="G59" s="640"/>
      <c r="I59" s="311" t="s">
        <v>740</v>
      </c>
      <c r="J59" s="118">
        <v>0</v>
      </c>
    </row>
    <row r="60" spans="1:10" x14ac:dyDescent="0.25">
      <c r="A60" s="315" t="s">
        <v>741</v>
      </c>
      <c r="B60" s="118">
        <v>0</v>
      </c>
      <c r="C60" s="631" t="s">
        <v>776</v>
      </c>
      <c r="D60" s="634">
        <f>+B60+B61+B62</f>
        <v>0</v>
      </c>
      <c r="E60" s="632"/>
      <c r="F60" s="639"/>
      <c r="G60" s="640"/>
      <c r="I60" s="311" t="s">
        <v>741</v>
      </c>
      <c r="J60" s="118">
        <v>0</v>
      </c>
    </row>
    <row r="61" spans="1:10" x14ac:dyDescent="0.25">
      <c r="A61" s="315" t="s">
        <v>742</v>
      </c>
      <c r="B61" s="118">
        <v>0</v>
      </c>
      <c r="C61" s="632"/>
      <c r="D61" s="635"/>
      <c r="E61" s="632"/>
      <c r="F61" s="639"/>
      <c r="G61" s="640"/>
      <c r="I61" s="311" t="s">
        <v>742</v>
      </c>
      <c r="J61" s="118">
        <v>0</v>
      </c>
    </row>
    <row r="62" spans="1:10" x14ac:dyDescent="0.25">
      <c r="A62" s="315" t="s">
        <v>732</v>
      </c>
      <c r="B62" s="118">
        <v>0</v>
      </c>
      <c r="C62" s="633"/>
      <c r="D62" s="636"/>
      <c r="E62" s="633"/>
      <c r="F62" s="641"/>
      <c r="G62" s="642"/>
      <c r="I62" s="311" t="s">
        <v>732</v>
      </c>
      <c r="J62" s="118">
        <v>0</v>
      </c>
    </row>
    <row r="63" spans="1:10" x14ac:dyDescent="0.25">
      <c r="A63" s="312" t="s">
        <v>690</v>
      </c>
      <c r="B63" s="351">
        <f>SUM(B51:B62)</f>
        <v>0</v>
      </c>
      <c r="C63" s="312" t="s">
        <v>690</v>
      </c>
      <c r="D63" s="351">
        <f>SUM(D51:D62)</f>
        <v>0</v>
      </c>
      <c r="E63" s="312" t="s">
        <v>690</v>
      </c>
      <c r="F63" s="629">
        <f>SUM(F51:G62)</f>
        <v>0</v>
      </c>
      <c r="G63" s="630"/>
      <c r="I63" s="312" t="s">
        <v>690</v>
      </c>
      <c r="J63" s="117">
        <f>SUM(J51:J62)</f>
        <v>0</v>
      </c>
    </row>
    <row r="65" spans="1:10" ht="18.75" customHeight="1" x14ac:dyDescent="0.25">
      <c r="A65" s="313" t="s">
        <v>1079</v>
      </c>
      <c r="B65" s="314"/>
      <c r="C65" s="314"/>
      <c r="D65" s="309" t="s">
        <v>1080</v>
      </c>
      <c r="E65" s="643"/>
      <c r="F65" s="643"/>
      <c r="G65" s="643"/>
      <c r="I65" s="644" t="s">
        <v>856</v>
      </c>
      <c r="J65" s="644"/>
    </row>
    <row r="66" spans="1:10" x14ac:dyDescent="0.25">
      <c r="A66" s="645" t="s">
        <v>241</v>
      </c>
      <c r="B66" s="646"/>
      <c r="C66" s="645" t="s">
        <v>743</v>
      </c>
      <c r="D66" s="646"/>
      <c r="E66" s="645" t="s">
        <v>747</v>
      </c>
      <c r="F66" s="646"/>
      <c r="G66" s="647"/>
      <c r="I66" s="648" t="s">
        <v>241</v>
      </c>
      <c r="J66" s="648"/>
    </row>
    <row r="67" spans="1:10" x14ac:dyDescent="0.25">
      <c r="A67" s="315" t="s">
        <v>733</v>
      </c>
      <c r="B67" s="118">
        <v>0</v>
      </c>
      <c r="C67" s="631" t="s">
        <v>744</v>
      </c>
      <c r="D67" s="634">
        <f>+B67+B68+B69</f>
        <v>0</v>
      </c>
      <c r="E67" s="631" t="s">
        <v>748</v>
      </c>
      <c r="F67" s="637">
        <f>+D67+D70</f>
        <v>0</v>
      </c>
      <c r="G67" s="638"/>
      <c r="I67" s="311" t="s">
        <v>733</v>
      </c>
      <c r="J67" s="316">
        <v>0</v>
      </c>
    </row>
    <row r="68" spans="1:10" x14ac:dyDescent="0.25">
      <c r="A68" s="315" t="s">
        <v>517</v>
      </c>
      <c r="B68" s="118">
        <v>0</v>
      </c>
      <c r="C68" s="632"/>
      <c r="D68" s="635"/>
      <c r="E68" s="632"/>
      <c r="F68" s="639"/>
      <c r="G68" s="640"/>
      <c r="I68" s="311" t="s">
        <v>517</v>
      </c>
      <c r="J68" s="316">
        <v>0</v>
      </c>
    </row>
    <row r="69" spans="1:10" x14ac:dyDescent="0.25">
      <c r="A69" s="315" t="s">
        <v>734</v>
      </c>
      <c r="B69" s="118">
        <v>0</v>
      </c>
      <c r="C69" s="633"/>
      <c r="D69" s="636"/>
      <c r="E69" s="632"/>
      <c r="F69" s="639"/>
      <c r="G69" s="640"/>
      <c r="I69" s="311" t="s">
        <v>734</v>
      </c>
      <c r="J69" s="316">
        <v>0</v>
      </c>
    </row>
    <row r="70" spans="1:10" x14ac:dyDescent="0.25">
      <c r="A70" s="315" t="s">
        <v>735</v>
      </c>
      <c r="B70" s="118">
        <v>0</v>
      </c>
      <c r="C70" s="631" t="s">
        <v>745</v>
      </c>
      <c r="D70" s="634">
        <f>+B70+B71+B72</f>
        <v>0</v>
      </c>
      <c r="E70" s="632"/>
      <c r="F70" s="639"/>
      <c r="G70" s="640"/>
      <c r="I70" s="311" t="s">
        <v>735</v>
      </c>
      <c r="J70" s="316">
        <v>0</v>
      </c>
    </row>
    <row r="71" spans="1:10" x14ac:dyDescent="0.25">
      <c r="A71" s="315" t="s">
        <v>736</v>
      </c>
      <c r="B71" s="118">
        <v>0</v>
      </c>
      <c r="C71" s="632"/>
      <c r="D71" s="635"/>
      <c r="E71" s="632"/>
      <c r="F71" s="639"/>
      <c r="G71" s="640"/>
      <c r="I71" s="311" t="s">
        <v>736</v>
      </c>
      <c r="J71" s="316">
        <v>0</v>
      </c>
    </row>
    <row r="72" spans="1:10" x14ac:dyDescent="0.25">
      <c r="A72" s="315" t="s">
        <v>737</v>
      </c>
      <c r="B72" s="118">
        <v>0</v>
      </c>
      <c r="C72" s="633"/>
      <c r="D72" s="636"/>
      <c r="E72" s="633"/>
      <c r="F72" s="641"/>
      <c r="G72" s="642"/>
      <c r="I72" s="311" t="s">
        <v>737</v>
      </c>
      <c r="J72" s="316">
        <v>0</v>
      </c>
    </row>
    <row r="73" spans="1:10" x14ac:dyDescent="0.25">
      <c r="A73" s="315" t="s">
        <v>738</v>
      </c>
      <c r="B73" s="118">
        <v>0</v>
      </c>
      <c r="C73" s="631" t="s">
        <v>746</v>
      </c>
      <c r="D73" s="634">
        <f>+B73+B74+B75</f>
        <v>0</v>
      </c>
      <c r="E73" s="631" t="s">
        <v>749</v>
      </c>
      <c r="F73" s="637">
        <f>+D73+D76</f>
        <v>0</v>
      </c>
      <c r="G73" s="638"/>
      <c r="I73" s="311" t="s">
        <v>738</v>
      </c>
      <c r="J73" s="316">
        <v>0</v>
      </c>
    </row>
    <row r="74" spans="1:10" x14ac:dyDescent="0.25">
      <c r="A74" s="315" t="s">
        <v>739</v>
      </c>
      <c r="B74" s="118">
        <v>0</v>
      </c>
      <c r="C74" s="632"/>
      <c r="D74" s="635"/>
      <c r="E74" s="632"/>
      <c r="F74" s="639"/>
      <c r="G74" s="640"/>
      <c r="I74" s="311" t="s">
        <v>739</v>
      </c>
      <c r="J74" s="316">
        <v>0</v>
      </c>
    </row>
    <row r="75" spans="1:10" x14ac:dyDescent="0.25">
      <c r="A75" s="315" t="s">
        <v>740</v>
      </c>
      <c r="B75" s="118">
        <v>0</v>
      </c>
      <c r="C75" s="633"/>
      <c r="D75" s="636"/>
      <c r="E75" s="632"/>
      <c r="F75" s="639"/>
      <c r="G75" s="640"/>
      <c r="I75" s="311" t="s">
        <v>740</v>
      </c>
      <c r="J75" s="316">
        <v>0</v>
      </c>
    </row>
    <row r="76" spans="1:10" x14ac:dyDescent="0.25">
      <c r="A76" s="315" t="s">
        <v>741</v>
      </c>
      <c r="B76" s="118">
        <v>0</v>
      </c>
      <c r="C76" s="631" t="s">
        <v>776</v>
      </c>
      <c r="D76" s="634">
        <f>+B76+B77+B78</f>
        <v>0</v>
      </c>
      <c r="E76" s="632"/>
      <c r="F76" s="639"/>
      <c r="G76" s="640"/>
      <c r="I76" s="311" t="s">
        <v>741</v>
      </c>
      <c r="J76" s="316">
        <v>0</v>
      </c>
    </row>
    <row r="77" spans="1:10" x14ac:dyDescent="0.25">
      <c r="A77" s="315" t="s">
        <v>742</v>
      </c>
      <c r="B77" s="118">
        <v>0</v>
      </c>
      <c r="C77" s="632"/>
      <c r="D77" s="635"/>
      <c r="E77" s="632"/>
      <c r="F77" s="639"/>
      <c r="G77" s="640"/>
      <c r="I77" s="311" t="s">
        <v>742</v>
      </c>
      <c r="J77" s="316">
        <v>0</v>
      </c>
    </row>
    <row r="78" spans="1:10" x14ac:dyDescent="0.25">
      <c r="A78" s="315" t="s">
        <v>732</v>
      </c>
      <c r="B78" s="118">
        <v>0</v>
      </c>
      <c r="C78" s="633"/>
      <c r="D78" s="636"/>
      <c r="E78" s="633"/>
      <c r="F78" s="641"/>
      <c r="G78" s="642"/>
      <c r="I78" s="311" t="s">
        <v>732</v>
      </c>
      <c r="J78" s="316">
        <v>0</v>
      </c>
    </row>
    <row r="79" spans="1:10" x14ac:dyDescent="0.25">
      <c r="A79" s="312" t="s">
        <v>690</v>
      </c>
      <c r="B79" s="351">
        <f>SUM(B67:B78)</f>
        <v>0</v>
      </c>
      <c r="C79" s="312" t="s">
        <v>690</v>
      </c>
      <c r="D79" s="351">
        <f>SUM(D67:D78)</f>
        <v>0</v>
      </c>
      <c r="E79" s="312" t="s">
        <v>690</v>
      </c>
      <c r="F79" s="629">
        <f>SUM(F67:G78)</f>
        <v>0</v>
      </c>
      <c r="G79" s="630"/>
      <c r="I79" s="312" t="s">
        <v>690</v>
      </c>
      <c r="J79" s="117">
        <f>SUM(J67:J78)</f>
        <v>0</v>
      </c>
    </row>
    <row r="81" spans="1:10" ht="18.75" customHeight="1" x14ac:dyDescent="0.25">
      <c r="A81" s="313" t="s">
        <v>1079</v>
      </c>
      <c r="B81" s="314"/>
      <c r="C81" s="314"/>
      <c r="D81" s="309" t="s">
        <v>1080</v>
      </c>
      <c r="E81" s="643"/>
      <c r="F81" s="643"/>
      <c r="G81" s="643"/>
      <c r="I81" s="644" t="s">
        <v>856</v>
      </c>
      <c r="J81" s="644"/>
    </row>
    <row r="82" spans="1:10" x14ac:dyDescent="0.25">
      <c r="A82" s="645" t="s">
        <v>241</v>
      </c>
      <c r="B82" s="646"/>
      <c r="C82" s="645" t="s">
        <v>743</v>
      </c>
      <c r="D82" s="646"/>
      <c r="E82" s="645" t="s">
        <v>747</v>
      </c>
      <c r="F82" s="646"/>
      <c r="G82" s="647"/>
      <c r="I82" s="648" t="s">
        <v>241</v>
      </c>
      <c r="J82" s="648"/>
    </row>
    <row r="83" spans="1:10" x14ac:dyDescent="0.25">
      <c r="A83" s="315" t="s">
        <v>733</v>
      </c>
      <c r="B83" s="118">
        <v>0</v>
      </c>
      <c r="C83" s="631" t="s">
        <v>744</v>
      </c>
      <c r="D83" s="634">
        <f>+B83+B84+B85</f>
        <v>0</v>
      </c>
      <c r="E83" s="631" t="s">
        <v>748</v>
      </c>
      <c r="F83" s="637">
        <f>+D83+D86</f>
        <v>0</v>
      </c>
      <c r="G83" s="638"/>
      <c r="I83" s="311" t="s">
        <v>733</v>
      </c>
      <c r="J83" s="316">
        <v>0</v>
      </c>
    </row>
    <row r="84" spans="1:10" x14ac:dyDescent="0.25">
      <c r="A84" s="315" t="s">
        <v>517</v>
      </c>
      <c r="B84" s="118">
        <v>0</v>
      </c>
      <c r="C84" s="632"/>
      <c r="D84" s="635"/>
      <c r="E84" s="632"/>
      <c r="F84" s="639"/>
      <c r="G84" s="640"/>
      <c r="I84" s="311" t="s">
        <v>517</v>
      </c>
      <c r="J84" s="316">
        <v>0</v>
      </c>
    </row>
    <row r="85" spans="1:10" x14ac:dyDescent="0.25">
      <c r="A85" s="315" t="s">
        <v>734</v>
      </c>
      <c r="B85" s="118">
        <v>0</v>
      </c>
      <c r="C85" s="633"/>
      <c r="D85" s="636"/>
      <c r="E85" s="632"/>
      <c r="F85" s="639"/>
      <c r="G85" s="640"/>
      <c r="I85" s="311" t="s">
        <v>734</v>
      </c>
      <c r="J85" s="316">
        <v>0</v>
      </c>
    </row>
    <row r="86" spans="1:10" x14ac:dyDescent="0.25">
      <c r="A86" s="315" t="s">
        <v>735</v>
      </c>
      <c r="B86" s="118">
        <v>0</v>
      </c>
      <c r="C86" s="631" t="s">
        <v>745</v>
      </c>
      <c r="D86" s="634">
        <f>+B86+B87+B88</f>
        <v>0</v>
      </c>
      <c r="E86" s="632"/>
      <c r="F86" s="639"/>
      <c r="G86" s="640"/>
      <c r="I86" s="311" t="s">
        <v>735</v>
      </c>
      <c r="J86" s="316">
        <v>0</v>
      </c>
    </row>
    <row r="87" spans="1:10" x14ac:dyDescent="0.25">
      <c r="A87" s="315" t="s">
        <v>736</v>
      </c>
      <c r="B87" s="118">
        <v>0</v>
      </c>
      <c r="C87" s="632"/>
      <c r="D87" s="635"/>
      <c r="E87" s="632"/>
      <c r="F87" s="639"/>
      <c r="G87" s="640"/>
      <c r="I87" s="311" t="s">
        <v>736</v>
      </c>
      <c r="J87" s="316">
        <v>0</v>
      </c>
    </row>
    <row r="88" spans="1:10" x14ac:dyDescent="0.25">
      <c r="A88" s="315" t="s">
        <v>737</v>
      </c>
      <c r="B88" s="118">
        <v>0</v>
      </c>
      <c r="C88" s="633"/>
      <c r="D88" s="636"/>
      <c r="E88" s="633"/>
      <c r="F88" s="641"/>
      <c r="G88" s="642"/>
      <c r="I88" s="311" t="s">
        <v>737</v>
      </c>
      <c r="J88" s="316">
        <v>0</v>
      </c>
    </row>
    <row r="89" spans="1:10" x14ac:dyDescent="0.25">
      <c r="A89" s="315" t="s">
        <v>738</v>
      </c>
      <c r="B89" s="118">
        <v>0</v>
      </c>
      <c r="C89" s="631" t="s">
        <v>746</v>
      </c>
      <c r="D89" s="634">
        <f>+B89+B90+B91</f>
        <v>0</v>
      </c>
      <c r="E89" s="631" t="s">
        <v>749</v>
      </c>
      <c r="F89" s="637">
        <f>+D89+D92</f>
        <v>0</v>
      </c>
      <c r="G89" s="638"/>
      <c r="I89" s="311" t="s">
        <v>738</v>
      </c>
      <c r="J89" s="316">
        <v>0</v>
      </c>
    </row>
    <row r="90" spans="1:10" x14ac:dyDescent="0.25">
      <c r="A90" s="315" t="s">
        <v>739</v>
      </c>
      <c r="B90" s="118">
        <v>0</v>
      </c>
      <c r="C90" s="632"/>
      <c r="D90" s="635"/>
      <c r="E90" s="632"/>
      <c r="F90" s="639"/>
      <c r="G90" s="640"/>
      <c r="I90" s="311" t="s">
        <v>739</v>
      </c>
      <c r="J90" s="316">
        <v>0</v>
      </c>
    </row>
    <row r="91" spans="1:10" x14ac:dyDescent="0.25">
      <c r="A91" s="315" t="s">
        <v>740</v>
      </c>
      <c r="B91" s="118">
        <v>0</v>
      </c>
      <c r="C91" s="633"/>
      <c r="D91" s="636"/>
      <c r="E91" s="632"/>
      <c r="F91" s="639"/>
      <c r="G91" s="640"/>
      <c r="I91" s="311" t="s">
        <v>740</v>
      </c>
      <c r="J91" s="316">
        <v>0</v>
      </c>
    </row>
    <row r="92" spans="1:10" x14ac:dyDescent="0.25">
      <c r="A92" s="315" t="s">
        <v>741</v>
      </c>
      <c r="B92" s="118">
        <v>0</v>
      </c>
      <c r="C92" s="631" t="s">
        <v>776</v>
      </c>
      <c r="D92" s="634">
        <f>+B92+B93+B94</f>
        <v>0</v>
      </c>
      <c r="E92" s="632"/>
      <c r="F92" s="639"/>
      <c r="G92" s="640"/>
      <c r="I92" s="311" t="s">
        <v>741</v>
      </c>
      <c r="J92" s="316">
        <v>0</v>
      </c>
    </row>
    <row r="93" spans="1:10" x14ac:dyDescent="0.25">
      <c r="A93" s="315" t="s">
        <v>742</v>
      </c>
      <c r="B93" s="118">
        <v>0</v>
      </c>
      <c r="C93" s="632"/>
      <c r="D93" s="635"/>
      <c r="E93" s="632"/>
      <c r="F93" s="639"/>
      <c r="G93" s="640"/>
      <c r="I93" s="311" t="s">
        <v>742</v>
      </c>
      <c r="J93" s="316">
        <v>0</v>
      </c>
    </row>
    <row r="94" spans="1:10" x14ac:dyDescent="0.25">
      <c r="A94" s="315" t="s">
        <v>732</v>
      </c>
      <c r="B94" s="118">
        <v>0</v>
      </c>
      <c r="C94" s="633"/>
      <c r="D94" s="636"/>
      <c r="E94" s="633"/>
      <c r="F94" s="641"/>
      <c r="G94" s="642"/>
      <c r="I94" s="311" t="s">
        <v>732</v>
      </c>
      <c r="J94" s="316">
        <v>0</v>
      </c>
    </row>
    <row r="95" spans="1:10" x14ac:dyDescent="0.25">
      <c r="A95" s="312" t="s">
        <v>690</v>
      </c>
      <c r="B95" s="351">
        <f>SUM(B83:B94)</f>
        <v>0</v>
      </c>
      <c r="C95" s="312" t="s">
        <v>690</v>
      </c>
      <c r="D95" s="351">
        <f>SUM(D83:D94)</f>
        <v>0</v>
      </c>
      <c r="E95" s="312" t="s">
        <v>690</v>
      </c>
      <c r="F95" s="629">
        <f>SUM(F83:G94)</f>
        <v>0</v>
      </c>
      <c r="G95" s="630"/>
      <c r="I95" s="312" t="s">
        <v>690</v>
      </c>
      <c r="J95" s="117">
        <f>SUM(J83:J94)</f>
        <v>0</v>
      </c>
    </row>
    <row r="97" spans="1:10" ht="18.75" customHeight="1" x14ac:dyDescent="0.25">
      <c r="A97" s="313" t="s">
        <v>1079</v>
      </c>
      <c r="B97" s="314"/>
      <c r="C97" s="314"/>
      <c r="D97" s="309" t="s">
        <v>1080</v>
      </c>
      <c r="E97" s="643"/>
      <c r="F97" s="643"/>
      <c r="G97" s="643"/>
      <c r="I97" s="644" t="s">
        <v>856</v>
      </c>
      <c r="J97" s="644"/>
    </row>
    <row r="98" spans="1:10" x14ac:dyDescent="0.25">
      <c r="A98" s="645" t="s">
        <v>241</v>
      </c>
      <c r="B98" s="646"/>
      <c r="C98" s="645" t="s">
        <v>743</v>
      </c>
      <c r="D98" s="646"/>
      <c r="E98" s="645" t="s">
        <v>747</v>
      </c>
      <c r="F98" s="646"/>
      <c r="G98" s="647"/>
      <c r="I98" s="648" t="s">
        <v>241</v>
      </c>
      <c r="J98" s="648"/>
    </row>
    <row r="99" spans="1:10" x14ac:dyDescent="0.25">
      <c r="A99" s="315" t="s">
        <v>733</v>
      </c>
      <c r="B99" s="118">
        <v>0</v>
      </c>
      <c r="C99" s="631" t="s">
        <v>744</v>
      </c>
      <c r="D99" s="634">
        <f>+B99+B100+B101</f>
        <v>0</v>
      </c>
      <c r="E99" s="631" t="s">
        <v>748</v>
      </c>
      <c r="F99" s="637">
        <f>+D99+D102</f>
        <v>0</v>
      </c>
      <c r="G99" s="638"/>
      <c r="I99" s="311" t="s">
        <v>733</v>
      </c>
      <c r="J99" s="316">
        <v>0</v>
      </c>
    </row>
    <row r="100" spans="1:10" x14ac:dyDescent="0.25">
      <c r="A100" s="315" t="s">
        <v>517</v>
      </c>
      <c r="B100" s="118">
        <v>0</v>
      </c>
      <c r="C100" s="632"/>
      <c r="D100" s="635"/>
      <c r="E100" s="632"/>
      <c r="F100" s="639"/>
      <c r="G100" s="640"/>
      <c r="I100" s="311" t="s">
        <v>517</v>
      </c>
      <c r="J100" s="316">
        <v>0</v>
      </c>
    </row>
    <row r="101" spans="1:10" x14ac:dyDescent="0.25">
      <c r="A101" s="315" t="s">
        <v>734</v>
      </c>
      <c r="B101" s="118">
        <v>0</v>
      </c>
      <c r="C101" s="633"/>
      <c r="D101" s="636"/>
      <c r="E101" s="632"/>
      <c r="F101" s="639"/>
      <c r="G101" s="640"/>
      <c r="I101" s="311" t="s">
        <v>734</v>
      </c>
      <c r="J101" s="316">
        <v>0</v>
      </c>
    </row>
    <row r="102" spans="1:10" x14ac:dyDescent="0.25">
      <c r="A102" s="315" t="s">
        <v>735</v>
      </c>
      <c r="B102" s="118">
        <v>0</v>
      </c>
      <c r="C102" s="631" t="s">
        <v>745</v>
      </c>
      <c r="D102" s="634">
        <f>+B102+B103+B104</f>
        <v>0</v>
      </c>
      <c r="E102" s="632"/>
      <c r="F102" s="639"/>
      <c r="G102" s="640"/>
      <c r="I102" s="311" t="s">
        <v>735</v>
      </c>
      <c r="J102" s="316">
        <v>0</v>
      </c>
    </row>
    <row r="103" spans="1:10" x14ac:dyDescent="0.25">
      <c r="A103" s="315" t="s">
        <v>736</v>
      </c>
      <c r="B103" s="118">
        <v>0</v>
      </c>
      <c r="C103" s="632"/>
      <c r="D103" s="635"/>
      <c r="E103" s="632"/>
      <c r="F103" s="639"/>
      <c r="G103" s="640"/>
      <c r="I103" s="311" t="s">
        <v>736</v>
      </c>
      <c r="J103" s="316">
        <v>0</v>
      </c>
    </row>
    <row r="104" spans="1:10" x14ac:dyDescent="0.25">
      <c r="A104" s="315" t="s">
        <v>737</v>
      </c>
      <c r="B104" s="118">
        <v>0</v>
      </c>
      <c r="C104" s="633"/>
      <c r="D104" s="636"/>
      <c r="E104" s="633"/>
      <c r="F104" s="641"/>
      <c r="G104" s="642"/>
      <c r="I104" s="311" t="s">
        <v>737</v>
      </c>
      <c r="J104" s="316">
        <v>0</v>
      </c>
    </row>
    <row r="105" spans="1:10" x14ac:dyDescent="0.25">
      <c r="A105" s="315" t="s">
        <v>738</v>
      </c>
      <c r="B105" s="118">
        <v>0</v>
      </c>
      <c r="C105" s="631" t="s">
        <v>746</v>
      </c>
      <c r="D105" s="634">
        <f>+B105+B106+B107</f>
        <v>0</v>
      </c>
      <c r="E105" s="631" t="s">
        <v>749</v>
      </c>
      <c r="F105" s="637">
        <f>+D105+D108</f>
        <v>0</v>
      </c>
      <c r="G105" s="638"/>
      <c r="I105" s="311" t="s">
        <v>738</v>
      </c>
      <c r="J105" s="316">
        <v>0</v>
      </c>
    </row>
    <row r="106" spans="1:10" x14ac:dyDescent="0.25">
      <c r="A106" s="315" t="s">
        <v>739</v>
      </c>
      <c r="B106" s="118">
        <v>0</v>
      </c>
      <c r="C106" s="632"/>
      <c r="D106" s="635"/>
      <c r="E106" s="632"/>
      <c r="F106" s="639"/>
      <c r="G106" s="640"/>
      <c r="I106" s="311" t="s">
        <v>739</v>
      </c>
      <c r="J106" s="316">
        <v>0</v>
      </c>
    </row>
    <row r="107" spans="1:10" x14ac:dyDescent="0.25">
      <c r="A107" s="315" t="s">
        <v>740</v>
      </c>
      <c r="B107" s="118">
        <v>0</v>
      </c>
      <c r="C107" s="633"/>
      <c r="D107" s="636"/>
      <c r="E107" s="632"/>
      <c r="F107" s="639"/>
      <c r="G107" s="640"/>
      <c r="I107" s="311" t="s">
        <v>740</v>
      </c>
      <c r="J107" s="316">
        <v>0</v>
      </c>
    </row>
    <row r="108" spans="1:10" x14ac:dyDescent="0.25">
      <c r="A108" s="315" t="s">
        <v>741</v>
      </c>
      <c r="B108" s="118">
        <v>0</v>
      </c>
      <c r="C108" s="631" t="s">
        <v>776</v>
      </c>
      <c r="D108" s="634">
        <f>+B108+B109+B110</f>
        <v>0</v>
      </c>
      <c r="E108" s="632"/>
      <c r="F108" s="639"/>
      <c r="G108" s="640"/>
      <c r="I108" s="311" t="s">
        <v>741</v>
      </c>
      <c r="J108" s="316">
        <v>0</v>
      </c>
    </row>
    <row r="109" spans="1:10" x14ac:dyDescent="0.25">
      <c r="A109" s="315" t="s">
        <v>742</v>
      </c>
      <c r="B109" s="118">
        <v>0</v>
      </c>
      <c r="C109" s="632"/>
      <c r="D109" s="635"/>
      <c r="E109" s="632"/>
      <c r="F109" s="639"/>
      <c r="G109" s="640"/>
      <c r="I109" s="311" t="s">
        <v>742</v>
      </c>
      <c r="J109" s="316">
        <v>0</v>
      </c>
    </row>
    <row r="110" spans="1:10" x14ac:dyDescent="0.25">
      <c r="A110" s="315" t="s">
        <v>732</v>
      </c>
      <c r="B110" s="118">
        <v>0</v>
      </c>
      <c r="C110" s="633"/>
      <c r="D110" s="636"/>
      <c r="E110" s="633"/>
      <c r="F110" s="641"/>
      <c r="G110" s="642"/>
      <c r="I110" s="311" t="s">
        <v>732</v>
      </c>
      <c r="J110" s="316">
        <v>0</v>
      </c>
    </row>
    <row r="111" spans="1:10" x14ac:dyDescent="0.25">
      <c r="A111" s="312" t="s">
        <v>690</v>
      </c>
      <c r="B111" s="351">
        <f>SUM(B99:B110)</f>
        <v>0</v>
      </c>
      <c r="C111" s="312" t="s">
        <v>690</v>
      </c>
      <c r="D111" s="351">
        <f>SUM(D99:D110)</f>
        <v>0</v>
      </c>
      <c r="E111" s="312" t="s">
        <v>690</v>
      </c>
      <c r="F111" s="629">
        <f>SUM(F99:G110)</f>
        <v>0</v>
      </c>
      <c r="G111" s="630"/>
      <c r="I111" s="312" t="s">
        <v>690</v>
      </c>
      <c r="J111" s="117">
        <f>SUM(J99:J110)</f>
        <v>0</v>
      </c>
    </row>
    <row r="113" spans="1:10" ht="18.75" customHeight="1" x14ac:dyDescent="0.25">
      <c r="A113" s="313" t="s">
        <v>1079</v>
      </c>
      <c r="B113" s="314"/>
      <c r="C113" s="314"/>
      <c r="D113" s="309" t="s">
        <v>1080</v>
      </c>
      <c r="E113" s="643"/>
      <c r="F113" s="643"/>
      <c r="G113" s="643"/>
      <c r="I113" s="644" t="s">
        <v>856</v>
      </c>
      <c r="J113" s="644"/>
    </row>
    <row r="114" spans="1:10" x14ac:dyDescent="0.25">
      <c r="A114" s="645" t="s">
        <v>241</v>
      </c>
      <c r="B114" s="646"/>
      <c r="C114" s="645" t="s">
        <v>743</v>
      </c>
      <c r="D114" s="646"/>
      <c r="E114" s="645" t="s">
        <v>747</v>
      </c>
      <c r="F114" s="646"/>
      <c r="G114" s="647"/>
      <c r="I114" s="648" t="s">
        <v>241</v>
      </c>
      <c r="J114" s="648"/>
    </row>
    <row r="115" spans="1:10" x14ac:dyDescent="0.25">
      <c r="A115" s="315" t="s">
        <v>733</v>
      </c>
      <c r="B115" s="118">
        <v>0</v>
      </c>
      <c r="C115" s="631" t="s">
        <v>744</v>
      </c>
      <c r="D115" s="634">
        <f>+B115+B116+B117</f>
        <v>0</v>
      </c>
      <c r="E115" s="631" t="s">
        <v>748</v>
      </c>
      <c r="F115" s="637">
        <f>+D115+D118</f>
        <v>0</v>
      </c>
      <c r="G115" s="638"/>
      <c r="I115" s="311" t="s">
        <v>733</v>
      </c>
      <c r="J115" s="316">
        <v>0</v>
      </c>
    </row>
    <row r="116" spans="1:10" x14ac:dyDescent="0.25">
      <c r="A116" s="315" t="s">
        <v>517</v>
      </c>
      <c r="B116" s="118">
        <v>0</v>
      </c>
      <c r="C116" s="632"/>
      <c r="D116" s="635"/>
      <c r="E116" s="632"/>
      <c r="F116" s="639"/>
      <c r="G116" s="640"/>
      <c r="I116" s="311" t="s">
        <v>517</v>
      </c>
      <c r="J116" s="316">
        <v>0</v>
      </c>
    </row>
    <row r="117" spans="1:10" x14ac:dyDescent="0.25">
      <c r="A117" s="315" t="s">
        <v>734</v>
      </c>
      <c r="B117" s="118">
        <v>0</v>
      </c>
      <c r="C117" s="633"/>
      <c r="D117" s="636"/>
      <c r="E117" s="632"/>
      <c r="F117" s="639"/>
      <c r="G117" s="640"/>
      <c r="I117" s="311" t="s">
        <v>734</v>
      </c>
      <c r="J117" s="316">
        <v>0</v>
      </c>
    </row>
    <row r="118" spans="1:10" x14ac:dyDescent="0.25">
      <c r="A118" s="315" t="s">
        <v>735</v>
      </c>
      <c r="B118" s="118">
        <v>0</v>
      </c>
      <c r="C118" s="631" t="s">
        <v>745</v>
      </c>
      <c r="D118" s="634">
        <f>+B118+B119+B120</f>
        <v>0</v>
      </c>
      <c r="E118" s="632"/>
      <c r="F118" s="639"/>
      <c r="G118" s="640"/>
      <c r="I118" s="311" t="s">
        <v>735</v>
      </c>
      <c r="J118" s="316">
        <v>0</v>
      </c>
    </row>
    <row r="119" spans="1:10" x14ac:dyDescent="0.25">
      <c r="A119" s="315" t="s">
        <v>736</v>
      </c>
      <c r="B119" s="118">
        <v>0</v>
      </c>
      <c r="C119" s="632"/>
      <c r="D119" s="635"/>
      <c r="E119" s="632"/>
      <c r="F119" s="639"/>
      <c r="G119" s="640"/>
      <c r="I119" s="311" t="s">
        <v>736</v>
      </c>
      <c r="J119" s="316">
        <v>0</v>
      </c>
    </row>
    <row r="120" spans="1:10" x14ac:dyDescent="0.25">
      <c r="A120" s="315" t="s">
        <v>737</v>
      </c>
      <c r="B120" s="118">
        <v>0</v>
      </c>
      <c r="C120" s="633"/>
      <c r="D120" s="636"/>
      <c r="E120" s="633"/>
      <c r="F120" s="641"/>
      <c r="G120" s="642"/>
      <c r="I120" s="311" t="s">
        <v>737</v>
      </c>
      <c r="J120" s="316">
        <v>0</v>
      </c>
    </row>
    <row r="121" spans="1:10" x14ac:dyDescent="0.25">
      <c r="A121" s="315" t="s">
        <v>738</v>
      </c>
      <c r="B121" s="118">
        <v>0</v>
      </c>
      <c r="C121" s="631" t="s">
        <v>746</v>
      </c>
      <c r="D121" s="634">
        <f>+B121+B122+B123</f>
        <v>0</v>
      </c>
      <c r="E121" s="631" t="s">
        <v>749</v>
      </c>
      <c r="F121" s="637">
        <f>+D121+D124</f>
        <v>0</v>
      </c>
      <c r="G121" s="638"/>
      <c r="I121" s="311" t="s">
        <v>738</v>
      </c>
      <c r="J121" s="316">
        <v>0</v>
      </c>
    </row>
    <row r="122" spans="1:10" x14ac:dyDescent="0.25">
      <c r="A122" s="315" t="s">
        <v>739</v>
      </c>
      <c r="B122" s="118">
        <v>0</v>
      </c>
      <c r="C122" s="632"/>
      <c r="D122" s="635"/>
      <c r="E122" s="632"/>
      <c r="F122" s="639"/>
      <c r="G122" s="640"/>
      <c r="I122" s="311" t="s">
        <v>739</v>
      </c>
      <c r="J122" s="316">
        <v>0</v>
      </c>
    </row>
    <row r="123" spans="1:10" x14ac:dyDescent="0.25">
      <c r="A123" s="315" t="s">
        <v>740</v>
      </c>
      <c r="B123" s="118">
        <v>0</v>
      </c>
      <c r="C123" s="633"/>
      <c r="D123" s="636"/>
      <c r="E123" s="632"/>
      <c r="F123" s="639"/>
      <c r="G123" s="640"/>
      <c r="I123" s="311" t="s">
        <v>740</v>
      </c>
      <c r="J123" s="316">
        <v>0</v>
      </c>
    </row>
    <row r="124" spans="1:10" x14ac:dyDescent="0.25">
      <c r="A124" s="315" t="s">
        <v>741</v>
      </c>
      <c r="B124" s="118">
        <v>0</v>
      </c>
      <c r="C124" s="631" t="s">
        <v>776</v>
      </c>
      <c r="D124" s="634">
        <f>+B124+B125+B126</f>
        <v>0</v>
      </c>
      <c r="E124" s="632"/>
      <c r="F124" s="639"/>
      <c r="G124" s="640"/>
      <c r="I124" s="311" t="s">
        <v>741</v>
      </c>
      <c r="J124" s="316">
        <v>0</v>
      </c>
    </row>
    <row r="125" spans="1:10" x14ac:dyDescent="0.25">
      <c r="A125" s="315" t="s">
        <v>742</v>
      </c>
      <c r="B125" s="118">
        <v>0</v>
      </c>
      <c r="C125" s="632"/>
      <c r="D125" s="635"/>
      <c r="E125" s="632"/>
      <c r="F125" s="639"/>
      <c r="G125" s="640"/>
      <c r="I125" s="311" t="s">
        <v>742</v>
      </c>
      <c r="J125" s="316">
        <v>0</v>
      </c>
    </row>
    <row r="126" spans="1:10" x14ac:dyDescent="0.25">
      <c r="A126" s="315" t="s">
        <v>732</v>
      </c>
      <c r="B126" s="118">
        <v>0</v>
      </c>
      <c r="C126" s="633"/>
      <c r="D126" s="636"/>
      <c r="E126" s="633"/>
      <c r="F126" s="641"/>
      <c r="G126" s="642"/>
      <c r="I126" s="311" t="s">
        <v>732</v>
      </c>
      <c r="J126" s="316">
        <v>0</v>
      </c>
    </row>
    <row r="127" spans="1:10" x14ac:dyDescent="0.25">
      <c r="A127" s="312" t="s">
        <v>690</v>
      </c>
      <c r="B127" s="351">
        <f>SUM(B115:B126)</f>
        <v>0</v>
      </c>
      <c r="C127" s="312" t="s">
        <v>690</v>
      </c>
      <c r="D127" s="351">
        <f>SUM(D115:D126)</f>
        <v>0</v>
      </c>
      <c r="E127" s="312" t="s">
        <v>690</v>
      </c>
      <c r="F127" s="629">
        <f>SUM(F115:G126)</f>
        <v>0</v>
      </c>
      <c r="G127" s="630"/>
      <c r="I127" s="312" t="s">
        <v>690</v>
      </c>
      <c r="J127" s="117">
        <f>SUM(J115:J126)</f>
        <v>0</v>
      </c>
    </row>
    <row r="129" spans="1:10" ht="18.75" customHeight="1" x14ac:dyDescent="0.25">
      <c r="A129" s="313" t="s">
        <v>1079</v>
      </c>
      <c r="B129" s="314"/>
      <c r="C129" s="314"/>
      <c r="D129" s="309" t="s">
        <v>1080</v>
      </c>
      <c r="E129" s="643"/>
      <c r="F129" s="643"/>
      <c r="G129" s="643"/>
      <c r="I129" s="644" t="s">
        <v>856</v>
      </c>
      <c r="J129" s="644"/>
    </row>
    <row r="130" spans="1:10" x14ac:dyDescent="0.25">
      <c r="A130" s="645" t="s">
        <v>241</v>
      </c>
      <c r="B130" s="646"/>
      <c r="C130" s="645" t="s">
        <v>743</v>
      </c>
      <c r="D130" s="646"/>
      <c r="E130" s="645" t="s">
        <v>747</v>
      </c>
      <c r="F130" s="646"/>
      <c r="G130" s="647"/>
      <c r="I130" s="648" t="s">
        <v>241</v>
      </c>
      <c r="J130" s="648"/>
    </row>
    <row r="131" spans="1:10" x14ac:dyDescent="0.25">
      <c r="A131" s="315" t="s">
        <v>733</v>
      </c>
      <c r="B131" s="118">
        <v>0</v>
      </c>
      <c r="C131" s="631" t="s">
        <v>744</v>
      </c>
      <c r="D131" s="634">
        <f>+B131+B132+B133</f>
        <v>0</v>
      </c>
      <c r="E131" s="631" t="s">
        <v>748</v>
      </c>
      <c r="F131" s="637">
        <f>+D131+D134</f>
        <v>0</v>
      </c>
      <c r="G131" s="638"/>
      <c r="I131" s="311" t="s">
        <v>733</v>
      </c>
      <c r="J131" s="316">
        <v>0</v>
      </c>
    </row>
    <row r="132" spans="1:10" x14ac:dyDescent="0.25">
      <c r="A132" s="315" t="s">
        <v>517</v>
      </c>
      <c r="B132" s="118">
        <v>0</v>
      </c>
      <c r="C132" s="632"/>
      <c r="D132" s="635"/>
      <c r="E132" s="632"/>
      <c r="F132" s="639"/>
      <c r="G132" s="640"/>
      <c r="I132" s="311" t="s">
        <v>517</v>
      </c>
      <c r="J132" s="316">
        <v>0</v>
      </c>
    </row>
    <row r="133" spans="1:10" x14ac:dyDescent="0.25">
      <c r="A133" s="315" t="s">
        <v>734</v>
      </c>
      <c r="B133" s="118">
        <v>0</v>
      </c>
      <c r="C133" s="633"/>
      <c r="D133" s="636"/>
      <c r="E133" s="632"/>
      <c r="F133" s="639"/>
      <c r="G133" s="640"/>
      <c r="I133" s="311" t="s">
        <v>734</v>
      </c>
      <c r="J133" s="316">
        <v>0</v>
      </c>
    </row>
    <row r="134" spans="1:10" x14ac:dyDescent="0.25">
      <c r="A134" s="315" t="s">
        <v>735</v>
      </c>
      <c r="B134" s="118">
        <v>0</v>
      </c>
      <c r="C134" s="631" t="s">
        <v>745</v>
      </c>
      <c r="D134" s="634">
        <f>+B134+B135+B136</f>
        <v>0</v>
      </c>
      <c r="E134" s="632"/>
      <c r="F134" s="639"/>
      <c r="G134" s="640"/>
      <c r="I134" s="311" t="s">
        <v>735</v>
      </c>
      <c r="J134" s="316">
        <v>0</v>
      </c>
    </row>
    <row r="135" spans="1:10" x14ac:dyDescent="0.25">
      <c r="A135" s="315" t="s">
        <v>736</v>
      </c>
      <c r="B135" s="118">
        <v>0</v>
      </c>
      <c r="C135" s="632"/>
      <c r="D135" s="635"/>
      <c r="E135" s="632"/>
      <c r="F135" s="639"/>
      <c r="G135" s="640"/>
      <c r="I135" s="311" t="s">
        <v>736</v>
      </c>
      <c r="J135" s="316">
        <v>0</v>
      </c>
    </row>
    <row r="136" spans="1:10" x14ac:dyDescent="0.25">
      <c r="A136" s="315" t="s">
        <v>737</v>
      </c>
      <c r="B136" s="118">
        <v>0</v>
      </c>
      <c r="C136" s="633"/>
      <c r="D136" s="636"/>
      <c r="E136" s="633"/>
      <c r="F136" s="641"/>
      <c r="G136" s="642"/>
      <c r="I136" s="311" t="s">
        <v>737</v>
      </c>
      <c r="J136" s="316">
        <v>0</v>
      </c>
    </row>
    <row r="137" spans="1:10" x14ac:dyDescent="0.25">
      <c r="A137" s="315" t="s">
        <v>738</v>
      </c>
      <c r="B137" s="118">
        <v>0</v>
      </c>
      <c r="C137" s="631" t="s">
        <v>746</v>
      </c>
      <c r="D137" s="634">
        <f>+B137+B138+B139</f>
        <v>0</v>
      </c>
      <c r="E137" s="631" t="s">
        <v>749</v>
      </c>
      <c r="F137" s="637">
        <f>+D137+D140</f>
        <v>0</v>
      </c>
      <c r="G137" s="638"/>
      <c r="I137" s="311" t="s">
        <v>738</v>
      </c>
      <c r="J137" s="316">
        <v>0</v>
      </c>
    </row>
    <row r="138" spans="1:10" x14ac:dyDescent="0.25">
      <c r="A138" s="315" t="s">
        <v>739</v>
      </c>
      <c r="B138" s="118">
        <v>0</v>
      </c>
      <c r="C138" s="632"/>
      <c r="D138" s="635"/>
      <c r="E138" s="632"/>
      <c r="F138" s="639"/>
      <c r="G138" s="640"/>
      <c r="I138" s="311" t="s">
        <v>739</v>
      </c>
      <c r="J138" s="316">
        <v>0</v>
      </c>
    </row>
    <row r="139" spans="1:10" x14ac:dyDescent="0.25">
      <c r="A139" s="315" t="s">
        <v>740</v>
      </c>
      <c r="B139" s="118">
        <v>0</v>
      </c>
      <c r="C139" s="633"/>
      <c r="D139" s="636"/>
      <c r="E139" s="632"/>
      <c r="F139" s="639"/>
      <c r="G139" s="640"/>
      <c r="I139" s="311" t="s">
        <v>740</v>
      </c>
      <c r="J139" s="316">
        <v>0</v>
      </c>
    </row>
    <row r="140" spans="1:10" x14ac:dyDescent="0.25">
      <c r="A140" s="315" t="s">
        <v>741</v>
      </c>
      <c r="B140" s="118">
        <v>0</v>
      </c>
      <c r="C140" s="631" t="s">
        <v>776</v>
      </c>
      <c r="D140" s="634">
        <f>+B140+B141+B142</f>
        <v>0</v>
      </c>
      <c r="E140" s="632"/>
      <c r="F140" s="639"/>
      <c r="G140" s="640"/>
      <c r="I140" s="311" t="s">
        <v>741</v>
      </c>
      <c r="J140" s="316">
        <v>0</v>
      </c>
    </row>
    <row r="141" spans="1:10" x14ac:dyDescent="0.25">
      <c r="A141" s="315" t="s">
        <v>742</v>
      </c>
      <c r="B141" s="118">
        <v>0</v>
      </c>
      <c r="C141" s="632"/>
      <c r="D141" s="635"/>
      <c r="E141" s="632"/>
      <c r="F141" s="639"/>
      <c r="G141" s="640"/>
      <c r="I141" s="311" t="s">
        <v>742</v>
      </c>
      <c r="J141" s="316">
        <v>0</v>
      </c>
    </row>
    <row r="142" spans="1:10" x14ac:dyDescent="0.25">
      <c r="A142" s="315" t="s">
        <v>732</v>
      </c>
      <c r="B142" s="118">
        <v>0</v>
      </c>
      <c r="C142" s="633"/>
      <c r="D142" s="636"/>
      <c r="E142" s="633"/>
      <c r="F142" s="641"/>
      <c r="G142" s="642"/>
      <c r="I142" s="311" t="s">
        <v>732</v>
      </c>
      <c r="J142" s="316">
        <v>0</v>
      </c>
    </row>
    <row r="143" spans="1:10" x14ac:dyDescent="0.25">
      <c r="A143" s="312" t="s">
        <v>690</v>
      </c>
      <c r="B143" s="351">
        <f>SUM(B131:B142)</f>
        <v>0</v>
      </c>
      <c r="C143" s="312" t="s">
        <v>690</v>
      </c>
      <c r="D143" s="351">
        <f>SUM(D131:D142)</f>
        <v>0</v>
      </c>
      <c r="E143" s="312" t="s">
        <v>690</v>
      </c>
      <c r="F143" s="629">
        <f>SUM(F131:G142)</f>
        <v>0</v>
      </c>
      <c r="G143" s="630"/>
      <c r="I143" s="312" t="s">
        <v>690</v>
      </c>
      <c r="J143" s="117">
        <f>SUM(J131:J142)</f>
        <v>0</v>
      </c>
    </row>
    <row r="145" spans="1:10" ht="18.75" customHeight="1" x14ac:dyDescent="0.25">
      <c r="A145" s="313" t="s">
        <v>1079</v>
      </c>
      <c r="B145" s="314"/>
      <c r="C145" s="314"/>
      <c r="D145" s="309" t="s">
        <v>1080</v>
      </c>
      <c r="E145" s="643"/>
      <c r="F145" s="643"/>
      <c r="G145" s="643"/>
      <c r="I145" s="644" t="s">
        <v>856</v>
      </c>
      <c r="J145" s="644"/>
    </row>
    <row r="146" spans="1:10" x14ac:dyDescent="0.25">
      <c r="A146" s="645" t="s">
        <v>241</v>
      </c>
      <c r="B146" s="646"/>
      <c r="C146" s="645" t="s">
        <v>743</v>
      </c>
      <c r="D146" s="646"/>
      <c r="E146" s="645" t="s">
        <v>747</v>
      </c>
      <c r="F146" s="646"/>
      <c r="G146" s="647"/>
      <c r="I146" s="648" t="s">
        <v>241</v>
      </c>
      <c r="J146" s="648"/>
    </row>
    <row r="147" spans="1:10" x14ac:dyDescent="0.25">
      <c r="A147" s="315" t="s">
        <v>733</v>
      </c>
      <c r="B147" s="118">
        <v>0</v>
      </c>
      <c r="C147" s="631" t="s">
        <v>744</v>
      </c>
      <c r="D147" s="634">
        <f>+B147+B148+B149</f>
        <v>0</v>
      </c>
      <c r="E147" s="631" t="s">
        <v>748</v>
      </c>
      <c r="F147" s="637">
        <f>+D147+D150</f>
        <v>0</v>
      </c>
      <c r="G147" s="638"/>
      <c r="I147" s="311" t="s">
        <v>733</v>
      </c>
      <c r="J147" s="316">
        <v>0</v>
      </c>
    </row>
    <row r="148" spans="1:10" x14ac:dyDescent="0.25">
      <c r="A148" s="315" t="s">
        <v>517</v>
      </c>
      <c r="B148" s="118">
        <v>0</v>
      </c>
      <c r="C148" s="632"/>
      <c r="D148" s="635"/>
      <c r="E148" s="632"/>
      <c r="F148" s="639"/>
      <c r="G148" s="640"/>
      <c r="I148" s="311" t="s">
        <v>517</v>
      </c>
      <c r="J148" s="316">
        <v>0</v>
      </c>
    </row>
    <row r="149" spans="1:10" x14ac:dyDescent="0.25">
      <c r="A149" s="315" t="s">
        <v>734</v>
      </c>
      <c r="B149" s="118">
        <v>0</v>
      </c>
      <c r="C149" s="633"/>
      <c r="D149" s="636"/>
      <c r="E149" s="632"/>
      <c r="F149" s="639"/>
      <c r="G149" s="640"/>
      <c r="I149" s="311" t="s">
        <v>734</v>
      </c>
      <c r="J149" s="316">
        <v>0</v>
      </c>
    </row>
    <row r="150" spans="1:10" x14ac:dyDescent="0.25">
      <c r="A150" s="315" t="s">
        <v>735</v>
      </c>
      <c r="B150" s="118">
        <v>0</v>
      </c>
      <c r="C150" s="631" t="s">
        <v>745</v>
      </c>
      <c r="D150" s="634">
        <f>+B150+B151+B152</f>
        <v>0</v>
      </c>
      <c r="E150" s="632"/>
      <c r="F150" s="639"/>
      <c r="G150" s="640"/>
      <c r="I150" s="311" t="s">
        <v>735</v>
      </c>
      <c r="J150" s="316">
        <v>0</v>
      </c>
    </row>
    <row r="151" spans="1:10" x14ac:dyDescent="0.25">
      <c r="A151" s="315" t="s">
        <v>736</v>
      </c>
      <c r="B151" s="118">
        <v>0</v>
      </c>
      <c r="C151" s="632"/>
      <c r="D151" s="635"/>
      <c r="E151" s="632"/>
      <c r="F151" s="639"/>
      <c r="G151" s="640"/>
      <c r="I151" s="311" t="s">
        <v>736</v>
      </c>
      <c r="J151" s="316">
        <v>0</v>
      </c>
    </row>
    <row r="152" spans="1:10" x14ac:dyDescent="0.25">
      <c r="A152" s="315" t="s">
        <v>737</v>
      </c>
      <c r="B152" s="118">
        <v>0</v>
      </c>
      <c r="C152" s="633"/>
      <c r="D152" s="636"/>
      <c r="E152" s="633"/>
      <c r="F152" s="641"/>
      <c r="G152" s="642"/>
      <c r="I152" s="311" t="s">
        <v>737</v>
      </c>
      <c r="J152" s="316">
        <v>0</v>
      </c>
    </row>
    <row r="153" spans="1:10" x14ac:dyDescent="0.25">
      <c r="A153" s="315" t="s">
        <v>738</v>
      </c>
      <c r="B153" s="118">
        <v>0</v>
      </c>
      <c r="C153" s="631" t="s">
        <v>746</v>
      </c>
      <c r="D153" s="634">
        <f>+B153+B154+B155</f>
        <v>0</v>
      </c>
      <c r="E153" s="631" t="s">
        <v>749</v>
      </c>
      <c r="F153" s="637">
        <f>+D153+D156</f>
        <v>0</v>
      </c>
      <c r="G153" s="638"/>
      <c r="I153" s="311" t="s">
        <v>738</v>
      </c>
      <c r="J153" s="316">
        <v>0</v>
      </c>
    </row>
    <row r="154" spans="1:10" x14ac:dyDescent="0.25">
      <c r="A154" s="315" t="s">
        <v>739</v>
      </c>
      <c r="B154" s="118">
        <v>0</v>
      </c>
      <c r="C154" s="632"/>
      <c r="D154" s="635"/>
      <c r="E154" s="632"/>
      <c r="F154" s="639"/>
      <c r="G154" s="640"/>
      <c r="I154" s="311" t="s">
        <v>739</v>
      </c>
      <c r="J154" s="316">
        <v>0</v>
      </c>
    </row>
    <row r="155" spans="1:10" x14ac:dyDescent="0.25">
      <c r="A155" s="315" t="s">
        <v>740</v>
      </c>
      <c r="B155" s="118">
        <v>0</v>
      </c>
      <c r="C155" s="633"/>
      <c r="D155" s="636"/>
      <c r="E155" s="632"/>
      <c r="F155" s="639"/>
      <c r="G155" s="640"/>
      <c r="I155" s="311" t="s">
        <v>740</v>
      </c>
      <c r="J155" s="316">
        <v>0</v>
      </c>
    </row>
    <row r="156" spans="1:10" x14ac:dyDescent="0.25">
      <c r="A156" s="315" t="s">
        <v>741</v>
      </c>
      <c r="B156" s="118">
        <v>0</v>
      </c>
      <c r="C156" s="631" t="s">
        <v>776</v>
      </c>
      <c r="D156" s="634">
        <f>+B156+B157+B158</f>
        <v>0</v>
      </c>
      <c r="E156" s="632"/>
      <c r="F156" s="639"/>
      <c r="G156" s="640"/>
      <c r="I156" s="311" t="s">
        <v>741</v>
      </c>
      <c r="J156" s="316">
        <v>0</v>
      </c>
    </row>
    <row r="157" spans="1:10" x14ac:dyDescent="0.25">
      <c r="A157" s="315" t="s">
        <v>742</v>
      </c>
      <c r="B157" s="118">
        <v>0</v>
      </c>
      <c r="C157" s="632"/>
      <c r="D157" s="635"/>
      <c r="E157" s="632"/>
      <c r="F157" s="639"/>
      <c r="G157" s="640"/>
      <c r="I157" s="311" t="s">
        <v>742</v>
      </c>
      <c r="J157" s="316">
        <v>0</v>
      </c>
    </row>
    <row r="158" spans="1:10" x14ac:dyDescent="0.25">
      <c r="A158" s="315" t="s">
        <v>732</v>
      </c>
      <c r="B158" s="118">
        <v>0</v>
      </c>
      <c r="C158" s="633"/>
      <c r="D158" s="636"/>
      <c r="E158" s="633"/>
      <c r="F158" s="641"/>
      <c r="G158" s="642"/>
      <c r="I158" s="311" t="s">
        <v>732</v>
      </c>
      <c r="J158" s="316">
        <v>0</v>
      </c>
    </row>
    <row r="159" spans="1:10" x14ac:dyDescent="0.25">
      <c r="A159" s="312" t="s">
        <v>690</v>
      </c>
      <c r="B159" s="351">
        <f>SUM(B147:B158)</f>
        <v>0</v>
      </c>
      <c r="C159" s="312" t="s">
        <v>690</v>
      </c>
      <c r="D159" s="351">
        <f>SUM(D147:D158)</f>
        <v>0</v>
      </c>
      <c r="E159" s="312" t="s">
        <v>690</v>
      </c>
      <c r="F159" s="629">
        <f>SUM(F147:G158)</f>
        <v>0</v>
      </c>
      <c r="G159" s="630"/>
      <c r="I159" s="312" t="s">
        <v>690</v>
      </c>
      <c r="J159" s="117">
        <f>SUM(J147:J158)</f>
        <v>0</v>
      </c>
    </row>
    <row r="161" spans="1:10" ht="18.75" customHeight="1" x14ac:dyDescent="0.25">
      <c r="A161" s="313" t="s">
        <v>1079</v>
      </c>
      <c r="B161" s="314"/>
      <c r="C161" s="314"/>
      <c r="D161" s="309" t="s">
        <v>1080</v>
      </c>
      <c r="E161" s="643"/>
      <c r="F161" s="643"/>
      <c r="G161" s="643"/>
      <c r="I161" s="644" t="s">
        <v>856</v>
      </c>
      <c r="J161" s="644"/>
    </row>
    <row r="162" spans="1:10" x14ac:dyDescent="0.25">
      <c r="A162" s="645" t="s">
        <v>241</v>
      </c>
      <c r="B162" s="646"/>
      <c r="C162" s="645" t="s">
        <v>743</v>
      </c>
      <c r="D162" s="646"/>
      <c r="E162" s="645" t="s">
        <v>747</v>
      </c>
      <c r="F162" s="646"/>
      <c r="G162" s="647"/>
      <c r="I162" s="648" t="s">
        <v>241</v>
      </c>
      <c r="J162" s="648"/>
    </row>
    <row r="163" spans="1:10" x14ac:dyDescent="0.25">
      <c r="A163" s="315" t="s">
        <v>733</v>
      </c>
      <c r="B163" s="118">
        <v>0</v>
      </c>
      <c r="C163" s="631" t="s">
        <v>744</v>
      </c>
      <c r="D163" s="634">
        <f>+B163+B164+B165</f>
        <v>0</v>
      </c>
      <c r="E163" s="631" t="s">
        <v>748</v>
      </c>
      <c r="F163" s="637">
        <f>+D163+D166</f>
        <v>0</v>
      </c>
      <c r="G163" s="638"/>
      <c r="I163" s="311" t="s">
        <v>733</v>
      </c>
      <c r="J163" s="316">
        <v>0</v>
      </c>
    </row>
    <row r="164" spans="1:10" x14ac:dyDescent="0.25">
      <c r="A164" s="315" t="s">
        <v>517</v>
      </c>
      <c r="B164" s="118">
        <v>0</v>
      </c>
      <c r="C164" s="632"/>
      <c r="D164" s="635"/>
      <c r="E164" s="632"/>
      <c r="F164" s="639"/>
      <c r="G164" s="640"/>
      <c r="I164" s="311" t="s">
        <v>517</v>
      </c>
      <c r="J164" s="316">
        <v>0</v>
      </c>
    </row>
    <row r="165" spans="1:10" x14ac:dyDescent="0.25">
      <c r="A165" s="315" t="s">
        <v>734</v>
      </c>
      <c r="B165" s="118">
        <v>0</v>
      </c>
      <c r="C165" s="633"/>
      <c r="D165" s="636"/>
      <c r="E165" s="632"/>
      <c r="F165" s="639"/>
      <c r="G165" s="640"/>
      <c r="I165" s="311" t="s">
        <v>734</v>
      </c>
      <c r="J165" s="316">
        <v>0</v>
      </c>
    </row>
    <row r="166" spans="1:10" x14ac:dyDescent="0.25">
      <c r="A166" s="315" t="s">
        <v>735</v>
      </c>
      <c r="B166" s="118">
        <v>0</v>
      </c>
      <c r="C166" s="631" t="s">
        <v>745</v>
      </c>
      <c r="D166" s="634">
        <f>+B166+B167+B168</f>
        <v>0</v>
      </c>
      <c r="E166" s="632"/>
      <c r="F166" s="639"/>
      <c r="G166" s="640"/>
      <c r="I166" s="311" t="s">
        <v>735</v>
      </c>
      <c r="J166" s="316">
        <v>0</v>
      </c>
    </row>
    <row r="167" spans="1:10" x14ac:dyDescent="0.25">
      <c r="A167" s="315" t="s">
        <v>736</v>
      </c>
      <c r="B167" s="118">
        <v>0</v>
      </c>
      <c r="C167" s="632"/>
      <c r="D167" s="635"/>
      <c r="E167" s="632"/>
      <c r="F167" s="639"/>
      <c r="G167" s="640"/>
      <c r="I167" s="311" t="s">
        <v>736</v>
      </c>
      <c r="J167" s="316">
        <v>0</v>
      </c>
    </row>
    <row r="168" spans="1:10" x14ac:dyDescent="0.25">
      <c r="A168" s="315" t="s">
        <v>737</v>
      </c>
      <c r="B168" s="118">
        <v>0</v>
      </c>
      <c r="C168" s="633"/>
      <c r="D168" s="636"/>
      <c r="E168" s="633"/>
      <c r="F168" s="641"/>
      <c r="G168" s="642"/>
      <c r="I168" s="311" t="s">
        <v>737</v>
      </c>
      <c r="J168" s="316">
        <v>0</v>
      </c>
    </row>
    <row r="169" spans="1:10" x14ac:dyDescent="0.25">
      <c r="A169" s="315" t="s">
        <v>738</v>
      </c>
      <c r="B169" s="118">
        <v>0</v>
      </c>
      <c r="C169" s="631" t="s">
        <v>746</v>
      </c>
      <c r="D169" s="634">
        <f>+B169+B170+B171</f>
        <v>0</v>
      </c>
      <c r="E169" s="631" t="s">
        <v>749</v>
      </c>
      <c r="F169" s="637">
        <f>+D169+D172</f>
        <v>0</v>
      </c>
      <c r="G169" s="638"/>
      <c r="I169" s="311" t="s">
        <v>738</v>
      </c>
      <c r="J169" s="316">
        <v>0</v>
      </c>
    </row>
    <row r="170" spans="1:10" x14ac:dyDescent="0.25">
      <c r="A170" s="315" t="s">
        <v>739</v>
      </c>
      <c r="B170" s="118">
        <v>0</v>
      </c>
      <c r="C170" s="632"/>
      <c r="D170" s="635"/>
      <c r="E170" s="632"/>
      <c r="F170" s="639"/>
      <c r="G170" s="640"/>
      <c r="I170" s="311" t="s">
        <v>739</v>
      </c>
      <c r="J170" s="316">
        <v>0</v>
      </c>
    </row>
    <row r="171" spans="1:10" x14ac:dyDescent="0.25">
      <c r="A171" s="315" t="s">
        <v>740</v>
      </c>
      <c r="B171" s="118">
        <v>0</v>
      </c>
      <c r="C171" s="633"/>
      <c r="D171" s="636"/>
      <c r="E171" s="632"/>
      <c r="F171" s="639"/>
      <c r="G171" s="640"/>
      <c r="I171" s="311" t="s">
        <v>740</v>
      </c>
      <c r="J171" s="316">
        <v>0</v>
      </c>
    </row>
    <row r="172" spans="1:10" x14ac:dyDescent="0.25">
      <c r="A172" s="315" t="s">
        <v>741</v>
      </c>
      <c r="B172" s="118">
        <v>0</v>
      </c>
      <c r="C172" s="631" t="s">
        <v>776</v>
      </c>
      <c r="D172" s="634">
        <f>+B172+B173+B174</f>
        <v>0</v>
      </c>
      <c r="E172" s="632"/>
      <c r="F172" s="639"/>
      <c r="G172" s="640"/>
      <c r="I172" s="311" t="s">
        <v>741</v>
      </c>
      <c r="J172" s="316">
        <v>0</v>
      </c>
    </row>
    <row r="173" spans="1:10" x14ac:dyDescent="0.25">
      <c r="A173" s="315" t="s">
        <v>742</v>
      </c>
      <c r="B173" s="118">
        <v>0</v>
      </c>
      <c r="C173" s="632"/>
      <c r="D173" s="635"/>
      <c r="E173" s="632"/>
      <c r="F173" s="639"/>
      <c r="G173" s="640"/>
      <c r="I173" s="311" t="s">
        <v>742</v>
      </c>
      <c r="J173" s="316">
        <v>0</v>
      </c>
    </row>
    <row r="174" spans="1:10" x14ac:dyDescent="0.25">
      <c r="A174" s="315" t="s">
        <v>732</v>
      </c>
      <c r="B174" s="118">
        <v>0</v>
      </c>
      <c r="C174" s="633"/>
      <c r="D174" s="636"/>
      <c r="E174" s="633"/>
      <c r="F174" s="641"/>
      <c r="G174" s="642"/>
      <c r="I174" s="311" t="s">
        <v>732</v>
      </c>
      <c r="J174" s="316">
        <v>0</v>
      </c>
    </row>
    <row r="175" spans="1:10" x14ac:dyDescent="0.25">
      <c r="A175" s="312" t="s">
        <v>690</v>
      </c>
      <c r="B175" s="351">
        <f>SUM(B163:B174)</f>
        <v>0</v>
      </c>
      <c r="C175" s="312" t="s">
        <v>690</v>
      </c>
      <c r="D175" s="351">
        <f>SUM(D163:D174)</f>
        <v>0</v>
      </c>
      <c r="E175" s="312" t="s">
        <v>690</v>
      </c>
      <c r="F175" s="629">
        <f>SUM(F163:G174)</f>
        <v>0</v>
      </c>
      <c r="G175" s="630"/>
      <c r="I175" s="312" t="s">
        <v>690</v>
      </c>
      <c r="J175" s="117">
        <f>SUM(J163:J174)</f>
        <v>0</v>
      </c>
    </row>
    <row r="177" spans="1:10" ht="18.75" customHeight="1" x14ac:dyDescent="0.25">
      <c r="A177" s="313" t="s">
        <v>1079</v>
      </c>
      <c r="B177" s="314"/>
      <c r="C177" s="314"/>
      <c r="D177" s="309" t="s">
        <v>1080</v>
      </c>
      <c r="E177" s="643"/>
      <c r="F177" s="643"/>
      <c r="G177" s="643"/>
      <c r="I177" s="644" t="s">
        <v>856</v>
      </c>
      <c r="J177" s="644"/>
    </row>
    <row r="178" spans="1:10" x14ac:dyDescent="0.25">
      <c r="A178" s="645" t="s">
        <v>241</v>
      </c>
      <c r="B178" s="646"/>
      <c r="C178" s="645" t="s">
        <v>743</v>
      </c>
      <c r="D178" s="646"/>
      <c r="E178" s="645" t="s">
        <v>747</v>
      </c>
      <c r="F178" s="646"/>
      <c r="G178" s="647"/>
      <c r="I178" s="648" t="s">
        <v>241</v>
      </c>
      <c r="J178" s="648"/>
    </row>
    <row r="179" spans="1:10" x14ac:dyDescent="0.25">
      <c r="A179" s="315" t="s">
        <v>733</v>
      </c>
      <c r="B179" s="118">
        <v>0</v>
      </c>
      <c r="C179" s="631" t="s">
        <v>744</v>
      </c>
      <c r="D179" s="634">
        <f>+B179+B180+B181</f>
        <v>0</v>
      </c>
      <c r="E179" s="631" t="s">
        <v>748</v>
      </c>
      <c r="F179" s="637">
        <f>+D179+D182</f>
        <v>0</v>
      </c>
      <c r="G179" s="638"/>
      <c r="I179" s="311" t="s">
        <v>733</v>
      </c>
      <c r="J179" s="316">
        <v>0</v>
      </c>
    </row>
    <row r="180" spans="1:10" x14ac:dyDescent="0.25">
      <c r="A180" s="315" t="s">
        <v>517</v>
      </c>
      <c r="B180" s="118">
        <v>0</v>
      </c>
      <c r="C180" s="632"/>
      <c r="D180" s="635"/>
      <c r="E180" s="632"/>
      <c r="F180" s="639"/>
      <c r="G180" s="640"/>
      <c r="I180" s="311" t="s">
        <v>517</v>
      </c>
      <c r="J180" s="316">
        <v>0</v>
      </c>
    </row>
    <row r="181" spans="1:10" x14ac:dyDescent="0.25">
      <c r="A181" s="315" t="s">
        <v>734</v>
      </c>
      <c r="B181" s="118">
        <v>0</v>
      </c>
      <c r="C181" s="633"/>
      <c r="D181" s="636"/>
      <c r="E181" s="632"/>
      <c r="F181" s="639"/>
      <c r="G181" s="640"/>
      <c r="I181" s="311" t="s">
        <v>734</v>
      </c>
      <c r="J181" s="316">
        <v>0</v>
      </c>
    </row>
    <row r="182" spans="1:10" x14ac:dyDescent="0.25">
      <c r="A182" s="315" t="s">
        <v>735</v>
      </c>
      <c r="B182" s="118">
        <v>0</v>
      </c>
      <c r="C182" s="631" t="s">
        <v>745</v>
      </c>
      <c r="D182" s="634">
        <f>+B182+B183+B184</f>
        <v>0</v>
      </c>
      <c r="E182" s="632"/>
      <c r="F182" s="639"/>
      <c r="G182" s="640"/>
      <c r="I182" s="311" t="s">
        <v>735</v>
      </c>
      <c r="J182" s="316">
        <v>0</v>
      </c>
    </row>
    <row r="183" spans="1:10" x14ac:dyDescent="0.25">
      <c r="A183" s="315" t="s">
        <v>736</v>
      </c>
      <c r="B183" s="118">
        <v>0</v>
      </c>
      <c r="C183" s="632"/>
      <c r="D183" s="635"/>
      <c r="E183" s="632"/>
      <c r="F183" s="639"/>
      <c r="G183" s="640"/>
      <c r="I183" s="311" t="s">
        <v>736</v>
      </c>
      <c r="J183" s="316">
        <v>0</v>
      </c>
    </row>
    <row r="184" spans="1:10" x14ac:dyDescent="0.25">
      <c r="A184" s="315" t="s">
        <v>737</v>
      </c>
      <c r="B184" s="118">
        <v>0</v>
      </c>
      <c r="C184" s="633"/>
      <c r="D184" s="636"/>
      <c r="E184" s="633"/>
      <c r="F184" s="641"/>
      <c r="G184" s="642"/>
      <c r="I184" s="311" t="s">
        <v>737</v>
      </c>
      <c r="J184" s="316">
        <v>0</v>
      </c>
    </row>
    <row r="185" spans="1:10" x14ac:dyDescent="0.25">
      <c r="A185" s="315" t="s">
        <v>738</v>
      </c>
      <c r="B185" s="118">
        <v>0</v>
      </c>
      <c r="C185" s="631" t="s">
        <v>746</v>
      </c>
      <c r="D185" s="634">
        <f>+B185+B186+B187</f>
        <v>0</v>
      </c>
      <c r="E185" s="631" t="s">
        <v>749</v>
      </c>
      <c r="F185" s="637">
        <f>+D185+D188</f>
        <v>0</v>
      </c>
      <c r="G185" s="638"/>
      <c r="I185" s="311" t="s">
        <v>738</v>
      </c>
      <c r="J185" s="316">
        <v>0</v>
      </c>
    </row>
    <row r="186" spans="1:10" x14ac:dyDescent="0.25">
      <c r="A186" s="315" t="s">
        <v>739</v>
      </c>
      <c r="B186" s="118">
        <v>0</v>
      </c>
      <c r="C186" s="632"/>
      <c r="D186" s="635"/>
      <c r="E186" s="632"/>
      <c r="F186" s="639"/>
      <c r="G186" s="640"/>
      <c r="I186" s="311" t="s">
        <v>739</v>
      </c>
      <c r="J186" s="316">
        <v>0</v>
      </c>
    </row>
    <row r="187" spans="1:10" x14ac:dyDescent="0.25">
      <c r="A187" s="315" t="s">
        <v>740</v>
      </c>
      <c r="B187" s="118">
        <v>0</v>
      </c>
      <c r="C187" s="633"/>
      <c r="D187" s="636"/>
      <c r="E187" s="632"/>
      <c r="F187" s="639"/>
      <c r="G187" s="640"/>
      <c r="I187" s="311" t="s">
        <v>740</v>
      </c>
      <c r="J187" s="316">
        <v>0</v>
      </c>
    </row>
    <row r="188" spans="1:10" x14ac:dyDescent="0.25">
      <c r="A188" s="315" t="s">
        <v>741</v>
      </c>
      <c r="B188" s="118">
        <v>0</v>
      </c>
      <c r="C188" s="631" t="s">
        <v>776</v>
      </c>
      <c r="D188" s="634">
        <f>+B188+B189+B190</f>
        <v>0</v>
      </c>
      <c r="E188" s="632"/>
      <c r="F188" s="639"/>
      <c r="G188" s="640"/>
      <c r="I188" s="311" t="s">
        <v>741</v>
      </c>
      <c r="J188" s="316">
        <v>0</v>
      </c>
    </row>
    <row r="189" spans="1:10" x14ac:dyDescent="0.25">
      <c r="A189" s="315" t="s">
        <v>742</v>
      </c>
      <c r="B189" s="118">
        <v>0</v>
      </c>
      <c r="C189" s="632"/>
      <c r="D189" s="635"/>
      <c r="E189" s="632"/>
      <c r="F189" s="639"/>
      <c r="G189" s="640"/>
      <c r="I189" s="311" t="s">
        <v>742</v>
      </c>
      <c r="J189" s="316">
        <v>0</v>
      </c>
    </row>
    <row r="190" spans="1:10" x14ac:dyDescent="0.25">
      <c r="A190" s="315" t="s">
        <v>732</v>
      </c>
      <c r="B190" s="118">
        <v>0</v>
      </c>
      <c r="C190" s="633"/>
      <c r="D190" s="636"/>
      <c r="E190" s="633"/>
      <c r="F190" s="641"/>
      <c r="G190" s="642"/>
      <c r="I190" s="311" t="s">
        <v>732</v>
      </c>
      <c r="J190" s="316">
        <v>0</v>
      </c>
    </row>
    <row r="191" spans="1:10" x14ac:dyDescent="0.25">
      <c r="A191" s="312" t="s">
        <v>690</v>
      </c>
      <c r="B191" s="351">
        <f>SUM(B179:B190)</f>
        <v>0</v>
      </c>
      <c r="C191" s="312" t="s">
        <v>690</v>
      </c>
      <c r="D191" s="351">
        <f>SUM(D179:D190)</f>
        <v>0</v>
      </c>
      <c r="E191" s="312" t="s">
        <v>690</v>
      </c>
      <c r="F191" s="629">
        <f>SUM(F179:G190)</f>
        <v>0</v>
      </c>
      <c r="G191" s="630"/>
      <c r="I191" s="312" t="s">
        <v>690</v>
      </c>
      <c r="J191" s="117">
        <f>SUM(J179:J190)</f>
        <v>0</v>
      </c>
    </row>
    <row r="193" spans="1:10" ht="18.75" customHeight="1" x14ac:dyDescent="0.25">
      <c r="A193" s="313" t="s">
        <v>1079</v>
      </c>
      <c r="B193" s="314"/>
      <c r="C193" s="314"/>
      <c r="D193" s="309" t="s">
        <v>1080</v>
      </c>
      <c r="E193" s="643"/>
      <c r="F193" s="643"/>
      <c r="G193" s="643"/>
      <c r="I193" s="644" t="s">
        <v>856</v>
      </c>
      <c r="J193" s="644"/>
    </row>
    <row r="194" spans="1:10" x14ac:dyDescent="0.25">
      <c r="A194" s="645" t="s">
        <v>241</v>
      </c>
      <c r="B194" s="646"/>
      <c r="C194" s="645" t="s">
        <v>743</v>
      </c>
      <c r="D194" s="646"/>
      <c r="E194" s="645" t="s">
        <v>747</v>
      </c>
      <c r="F194" s="646"/>
      <c r="G194" s="647"/>
      <c r="I194" s="648" t="s">
        <v>241</v>
      </c>
      <c r="J194" s="648"/>
    </row>
    <row r="195" spans="1:10" x14ac:dyDescent="0.25">
      <c r="A195" s="315" t="s">
        <v>733</v>
      </c>
      <c r="B195" s="118">
        <v>0</v>
      </c>
      <c r="C195" s="631" t="s">
        <v>744</v>
      </c>
      <c r="D195" s="634">
        <f>+B195+B196+B197</f>
        <v>0</v>
      </c>
      <c r="E195" s="631" t="s">
        <v>748</v>
      </c>
      <c r="F195" s="637">
        <f>+D195+D198</f>
        <v>0</v>
      </c>
      <c r="G195" s="638"/>
      <c r="I195" s="311" t="s">
        <v>733</v>
      </c>
      <c r="J195" s="316">
        <v>0</v>
      </c>
    </row>
    <row r="196" spans="1:10" x14ac:dyDescent="0.25">
      <c r="A196" s="315" t="s">
        <v>517</v>
      </c>
      <c r="B196" s="118">
        <v>0</v>
      </c>
      <c r="C196" s="632"/>
      <c r="D196" s="635"/>
      <c r="E196" s="632"/>
      <c r="F196" s="639"/>
      <c r="G196" s="640"/>
      <c r="I196" s="311" t="s">
        <v>517</v>
      </c>
      <c r="J196" s="316">
        <v>0</v>
      </c>
    </row>
    <row r="197" spans="1:10" x14ac:dyDescent="0.25">
      <c r="A197" s="315" t="s">
        <v>734</v>
      </c>
      <c r="B197" s="118">
        <v>0</v>
      </c>
      <c r="C197" s="633"/>
      <c r="D197" s="636"/>
      <c r="E197" s="632"/>
      <c r="F197" s="639"/>
      <c r="G197" s="640"/>
      <c r="I197" s="311" t="s">
        <v>734</v>
      </c>
      <c r="J197" s="316">
        <v>0</v>
      </c>
    </row>
    <row r="198" spans="1:10" x14ac:dyDescent="0.25">
      <c r="A198" s="315" t="s">
        <v>735</v>
      </c>
      <c r="B198" s="118">
        <v>0</v>
      </c>
      <c r="C198" s="631" t="s">
        <v>745</v>
      </c>
      <c r="D198" s="634">
        <f>+B198+B199+B200</f>
        <v>0</v>
      </c>
      <c r="E198" s="632"/>
      <c r="F198" s="639"/>
      <c r="G198" s="640"/>
      <c r="I198" s="311" t="s">
        <v>735</v>
      </c>
      <c r="J198" s="316">
        <v>0</v>
      </c>
    </row>
    <row r="199" spans="1:10" x14ac:dyDescent="0.25">
      <c r="A199" s="315" t="s">
        <v>736</v>
      </c>
      <c r="B199" s="118">
        <v>0</v>
      </c>
      <c r="C199" s="632"/>
      <c r="D199" s="635"/>
      <c r="E199" s="632"/>
      <c r="F199" s="639"/>
      <c r="G199" s="640"/>
      <c r="I199" s="311" t="s">
        <v>736</v>
      </c>
      <c r="J199" s="316">
        <v>0</v>
      </c>
    </row>
    <row r="200" spans="1:10" x14ac:dyDescent="0.25">
      <c r="A200" s="315" t="s">
        <v>737</v>
      </c>
      <c r="B200" s="118">
        <v>0</v>
      </c>
      <c r="C200" s="633"/>
      <c r="D200" s="636"/>
      <c r="E200" s="633"/>
      <c r="F200" s="641"/>
      <c r="G200" s="642"/>
      <c r="I200" s="311" t="s">
        <v>737</v>
      </c>
      <c r="J200" s="316">
        <v>0</v>
      </c>
    </row>
    <row r="201" spans="1:10" x14ac:dyDescent="0.25">
      <c r="A201" s="315" t="s">
        <v>738</v>
      </c>
      <c r="B201" s="118">
        <v>0</v>
      </c>
      <c r="C201" s="631" t="s">
        <v>746</v>
      </c>
      <c r="D201" s="634">
        <f>+B201+B202+B203</f>
        <v>0</v>
      </c>
      <c r="E201" s="631" t="s">
        <v>749</v>
      </c>
      <c r="F201" s="637">
        <f>+D201+D204</f>
        <v>0</v>
      </c>
      <c r="G201" s="638"/>
      <c r="I201" s="311" t="s">
        <v>738</v>
      </c>
      <c r="J201" s="316">
        <v>0</v>
      </c>
    </row>
    <row r="202" spans="1:10" x14ac:dyDescent="0.25">
      <c r="A202" s="315" t="s">
        <v>739</v>
      </c>
      <c r="B202" s="118">
        <v>0</v>
      </c>
      <c r="C202" s="632"/>
      <c r="D202" s="635"/>
      <c r="E202" s="632"/>
      <c r="F202" s="639"/>
      <c r="G202" s="640"/>
      <c r="I202" s="311" t="s">
        <v>739</v>
      </c>
      <c r="J202" s="316">
        <v>0</v>
      </c>
    </row>
    <row r="203" spans="1:10" x14ac:dyDescent="0.25">
      <c r="A203" s="315" t="s">
        <v>740</v>
      </c>
      <c r="B203" s="118">
        <v>0</v>
      </c>
      <c r="C203" s="633"/>
      <c r="D203" s="636"/>
      <c r="E203" s="632"/>
      <c r="F203" s="639"/>
      <c r="G203" s="640"/>
      <c r="I203" s="311" t="s">
        <v>740</v>
      </c>
      <c r="J203" s="316">
        <v>0</v>
      </c>
    </row>
    <row r="204" spans="1:10" x14ac:dyDescent="0.25">
      <c r="A204" s="315" t="s">
        <v>741</v>
      </c>
      <c r="B204" s="118">
        <v>0</v>
      </c>
      <c r="C204" s="631" t="s">
        <v>776</v>
      </c>
      <c r="D204" s="634">
        <f>+B204+B205+B206</f>
        <v>0</v>
      </c>
      <c r="E204" s="632"/>
      <c r="F204" s="639"/>
      <c r="G204" s="640"/>
      <c r="I204" s="311" t="s">
        <v>741</v>
      </c>
      <c r="J204" s="316">
        <v>0</v>
      </c>
    </row>
    <row r="205" spans="1:10" x14ac:dyDescent="0.25">
      <c r="A205" s="315" t="s">
        <v>742</v>
      </c>
      <c r="B205" s="118">
        <v>0</v>
      </c>
      <c r="C205" s="632"/>
      <c r="D205" s="635"/>
      <c r="E205" s="632"/>
      <c r="F205" s="639"/>
      <c r="G205" s="640"/>
      <c r="I205" s="311" t="s">
        <v>742</v>
      </c>
      <c r="J205" s="316">
        <v>0</v>
      </c>
    </row>
    <row r="206" spans="1:10" x14ac:dyDescent="0.25">
      <c r="A206" s="315" t="s">
        <v>732</v>
      </c>
      <c r="B206" s="118">
        <v>0</v>
      </c>
      <c r="C206" s="633"/>
      <c r="D206" s="636"/>
      <c r="E206" s="633"/>
      <c r="F206" s="641"/>
      <c r="G206" s="642"/>
      <c r="I206" s="311" t="s">
        <v>732</v>
      </c>
      <c r="J206" s="316">
        <v>0</v>
      </c>
    </row>
    <row r="207" spans="1:10" x14ac:dyDescent="0.25">
      <c r="A207" s="312" t="s">
        <v>690</v>
      </c>
      <c r="B207" s="351">
        <f>SUM(B195:B206)</f>
        <v>0</v>
      </c>
      <c r="C207" s="312" t="s">
        <v>690</v>
      </c>
      <c r="D207" s="351">
        <f>SUM(D195:D206)</f>
        <v>0</v>
      </c>
      <c r="E207" s="312" t="s">
        <v>690</v>
      </c>
      <c r="F207" s="629">
        <f>SUM(F195:G206)</f>
        <v>0</v>
      </c>
      <c r="G207" s="630"/>
      <c r="I207" s="312" t="s">
        <v>690</v>
      </c>
      <c r="J207" s="117">
        <f>SUM(J195:J206)</f>
        <v>0</v>
      </c>
    </row>
    <row r="209" spans="1:10" ht="18.75" customHeight="1" x14ac:dyDescent="0.25">
      <c r="A209" s="313" t="s">
        <v>1079</v>
      </c>
      <c r="B209" s="314"/>
      <c r="C209" s="314"/>
      <c r="D209" s="309" t="s">
        <v>1080</v>
      </c>
      <c r="E209" s="643"/>
      <c r="F209" s="643"/>
      <c r="G209" s="643"/>
      <c r="I209" s="644" t="s">
        <v>856</v>
      </c>
      <c r="J209" s="644"/>
    </row>
    <row r="210" spans="1:10" x14ac:dyDescent="0.25">
      <c r="A210" s="645" t="s">
        <v>241</v>
      </c>
      <c r="B210" s="646"/>
      <c r="C210" s="645" t="s">
        <v>743</v>
      </c>
      <c r="D210" s="646"/>
      <c r="E210" s="645" t="s">
        <v>747</v>
      </c>
      <c r="F210" s="646"/>
      <c r="G210" s="647"/>
      <c r="I210" s="648" t="s">
        <v>241</v>
      </c>
      <c r="J210" s="648"/>
    </row>
    <row r="211" spans="1:10" x14ac:dyDescent="0.25">
      <c r="A211" s="315" t="s">
        <v>733</v>
      </c>
      <c r="B211" s="118">
        <v>0</v>
      </c>
      <c r="C211" s="631" t="s">
        <v>744</v>
      </c>
      <c r="D211" s="634">
        <f>+B211+B212+B213</f>
        <v>0</v>
      </c>
      <c r="E211" s="631" t="s">
        <v>748</v>
      </c>
      <c r="F211" s="637">
        <f>+D211+D214</f>
        <v>0</v>
      </c>
      <c r="G211" s="638"/>
      <c r="I211" s="311" t="s">
        <v>733</v>
      </c>
      <c r="J211" s="316">
        <v>0</v>
      </c>
    </row>
    <row r="212" spans="1:10" x14ac:dyDescent="0.25">
      <c r="A212" s="315" t="s">
        <v>517</v>
      </c>
      <c r="B212" s="118">
        <v>0</v>
      </c>
      <c r="C212" s="632"/>
      <c r="D212" s="635"/>
      <c r="E212" s="632"/>
      <c r="F212" s="639"/>
      <c r="G212" s="640"/>
      <c r="I212" s="311" t="s">
        <v>517</v>
      </c>
      <c r="J212" s="316">
        <v>0</v>
      </c>
    </row>
    <row r="213" spans="1:10" x14ac:dyDescent="0.25">
      <c r="A213" s="315" t="s">
        <v>734</v>
      </c>
      <c r="B213" s="118">
        <v>0</v>
      </c>
      <c r="C213" s="633"/>
      <c r="D213" s="636"/>
      <c r="E213" s="632"/>
      <c r="F213" s="639"/>
      <c r="G213" s="640"/>
      <c r="I213" s="311" t="s">
        <v>734</v>
      </c>
      <c r="J213" s="316">
        <v>0</v>
      </c>
    </row>
    <row r="214" spans="1:10" x14ac:dyDescent="0.25">
      <c r="A214" s="315" t="s">
        <v>735</v>
      </c>
      <c r="B214" s="118">
        <v>0</v>
      </c>
      <c r="C214" s="631" t="s">
        <v>745</v>
      </c>
      <c r="D214" s="634">
        <f>+B214+B215+B216</f>
        <v>0</v>
      </c>
      <c r="E214" s="632"/>
      <c r="F214" s="639"/>
      <c r="G214" s="640"/>
      <c r="I214" s="311" t="s">
        <v>735</v>
      </c>
      <c r="J214" s="316">
        <v>0</v>
      </c>
    </row>
    <row r="215" spans="1:10" x14ac:dyDescent="0.25">
      <c r="A215" s="315" t="s">
        <v>736</v>
      </c>
      <c r="B215" s="118">
        <v>0</v>
      </c>
      <c r="C215" s="632"/>
      <c r="D215" s="635"/>
      <c r="E215" s="632"/>
      <c r="F215" s="639"/>
      <c r="G215" s="640"/>
      <c r="I215" s="311" t="s">
        <v>736</v>
      </c>
      <c r="J215" s="316">
        <v>0</v>
      </c>
    </row>
    <row r="216" spans="1:10" x14ac:dyDescent="0.25">
      <c r="A216" s="315" t="s">
        <v>737</v>
      </c>
      <c r="B216" s="118">
        <v>0</v>
      </c>
      <c r="C216" s="633"/>
      <c r="D216" s="636"/>
      <c r="E216" s="633"/>
      <c r="F216" s="641"/>
      <c r="G216" s="642"/>
      <c r="I216" s="311" t="s">
        <v>737</v>
      </c>
      <c r="J216" s="316">
        <v>0</v>
      </c>
    </row>
    <row r="217" spans="1:10" x14ac:dyDescent="0.25">
      <c r="A217" s="315" t="s">
        <v>738</v>
      </c>
      <c r="B217" s="118">
        <v>0</v>
      </c>
      <c r="C217" s="631" t="s">
        <v>746</v>
      </c>
      <c r="D217" s="634">
        <f>+B217+B218+B219</f>
        <v>0</v>
      </c>
      <c r="E217" s="631" t="s">
        <v>749</v>
      </c>
      <c r="F217" s="637">
        <f>+D217+D220</f>
        <v>0</v>
      </c>
      <c r="G217" s="638"/>
      <c r="I217" s="311" t="s">
        <v>738</v>
      </c>
      <c r="J217" s="316">
        <v>0</v>
      </c>
    </row>
    <row r="218" spans="1:10" x14ac:dyDescent="0.25">
      <c r="A218" s="315" t="s">
        <v>739</v>
      </c>
      <c r="B218" s="118">
        <v>0</v>
      </c>
      <c r="C218" s="632"/>
      <c r="D218" s="635"/>
      <c r="E218" s="632"/>
      <c r="F218" s="639"/>
      <c r="G218" s="640"/>
      <c r="I218" s="311" t="s">
        <v>739</v>
      </c>
      <c r="J218" s="316">
        <v>0</v>
      </c>
    </row>
    <row r="219" spans="1:10" x14ac:dyDescent="0.25">
      <c r="A219" s="315" t="s">
        <v>740</v>
      </c>
      <c r="B219" s="118">
        <v>0</v>
      </c>
      <c r="C219" s="633"/>
      <c r="D219" s="636"/>
      <c r="E219" s="632"/>
      <c r="F219" s="639"/>
      <c r="G219" s="640"/>
      <c r="I219" s="311" t="s">
        <v>740</v>
      </c>
      <c r="J219" s="316">
        <v>0</v>
      </c>
    </row>
    <row r="220" spans="1:10" x14ac:dyDescent="0.25">
      <c r="A220" s="315" t="s">
        <v>741</v>
      </c>
      <c r="B220" s="118">
        <v>0</v>
      </c>
      <c r="C220" s="631" t="s">
        <v>776</v>
      </c>
      <c r="D220" s="634">
        <f>+B220+B221+B222</f>
        <v>0</v>
      </c>
      <c r="E220" s="632"/>
      <c r="F220" s="639"/>
      <c r="G220" s="640"/>
      <c r="I220" s="311" t="s">
        <v>741</v>
      </c>
      <c r="J220" s="316">
        <v>0</v>
      </c>
    </row>
    <row r="221" spans="1:10" x14ac:dyDescent="0.25">
      <c r="A221" s="315" t="s">
        <v>742</v>
      </c>
      <c r="B221" s="118">
        <v>0</v>
      </c>
      <c r="C221" s="632"/>
      <c r="D221" s="635"/>
      <c r="E221" s="632"/>
      <c r="F221" s="639"/>
      <c r="G221" s="640"/>
      <c r="I221" s="311" t="s">
        <v>742</v>
      </c>
      <c r="J221" s="316">
        <v>0</v>
      </c>
    </row>
    <row r="222" spans="1:10" x14ac:dyDescent="0.25">
      <c r="A222" s="315" t="s">
        <v>732</v>
      </c>
      <c r="B222" s="118">
        <v>0</v>
      </c>
      <c r="C222" s="633"/>
      <c r="D222" s="636"/>
      <c r="E222" s="633"/>
      <c r="F222" s="641"/>
      <c r="G222" s="642"/>
      <c r="I222" s="311" t="s">
        <v>732</v>
      </c>
      <c r="J222" s="316">
        <v>0</v>
      </c>
    </row>
    <row r="223" spans="1:10" x14ac:dyDescent="0.25">
      <c r="A223" s="312" t="s">
        <v>690</v>
      </c>
      <c r="B223" s="351">
        <f>SUM(B211:B222)</f>
        <v>0</v>
      </c>
      <c r="C223" s="312" t="s">
        <v>690</v>
      </c>
      <c r="D223" s="351">
        <f>SUM(D211:D222)</f>
        <v>0</v>
      </c>
      <c r="E223" s="312" t="s">
        <v>690</v>
      </c>
      <c r="F223" s="629">
        <f>SUM(F211:G222)</f>
        <v>0</v>
      </c>
      <c r="G223" s="630"/>
      <c r="I223" s="312" t="s">
        <v>690</v>
      </c>
      <c r="J223" s="117">
        <f>SUM(J211:J222)</f>
        <v>0</v>
      </c>
    </row>
    <row r="225" spans="1:10" ht="18.75" customHeight="1" x14ac:dyDescent="0.25">
      <c r="A225" s="313" t="s">
        <v>1079</v>
      </c>
      <c r="B225" s="314"/>
      <c r="C225" s="314"/>
      <c r="D225" s="309" t="s">
        <v>1080</v>
      </c>
      <c r="E225" s="643"/>
      <c r="F225" s="643"/>
      <c r="G225" s="643"/>
      <c r="I225" s="644" t="s">
        <v>856</v>
      </c>
      <c r="J225" s="644"/>
    </row>
    <row r="226" spans="1:10" x14ac:dyDescent="0.25">
      <c r="A226" s="645" t="s">
        <v>241</v>
      </c>
      <c r="B226" s="646"/>
      <c r="C226" s="645" t="s">
        <v>743</v>
      </c>
      <c r="D226" s="646"/>
      <c r="E226" s="645" t="s">
        <v>747</v>
      </c>
      <c r="F226" s="646"/>
      <c r="G226" s="647"/>
      <c r="I226" s="648" t="s">
        <v>241</v>
      </c>
      <c r="J226" s="648"/>
    </row>
    <row r="227" spans="1:10" x14ac:dyDescent="0.25">
      <c r="A227" s="315" t="s">
        <v>733</v>
      </c>
      <c r="B227" s="118">
        <v>0</v>
      </c>
      <c r="C227" s="631" t="s">
        <v>744</v>
      </c>
      <c r="D227" s="634">
        <f>+B227+B228+B229</f>
        <v>0</v>
      </c>
      <c r="E227" s="631" t="s">
        <v>748</v>
      </c>
      <c r="F227" s="637">
        <f>+D227+D230</f>
        <v>0</v>
      </c>
      <c r="G227" s="638"/>
      <c r="I227" s="311" t="s">
        <v>733</v>
      </c>
      <c r="J227" s="316">
        <v>0</v>
      </c>
    </row>
    <row r="228" spans="1:10" x14ac:dyDescent="0.25">
      <c r="A228" s="315" t="s">
        <v>517</v>
      </c>
      <c r="B228" s="118">
        <v>0</v>
      </c>
      <c r="C228" s="632"/>
      <c r="D228" s="635"/>
      <c r="E228" s="632"/>
      <c r="F228" s="639"/>
      <c r="G228" s="640"/>
      <c r="I228" s="311" t="s">
        <v>517</v>
      </c>
      <c r="J228" s="316">
        <v>0</v>
      </c>
    </row>
    <row r="229" spans="1:10" x14ac:dyDescent="0.25">
      <c r="A229" s="315" t="s">
        <v>734</v>
      </c>
      <c r="B229" s="118">
        <v>0</v>
      </c>
      <c r="C229" s="633"/>
      <c r="D229" s="636"/>
      <c r="E229" s="632"/>
      <c r="F229" s="639"/>
      <c r="G229" s="640"/>
      <c r="I229" s="311" t="s">
        <v>734</v>
      </c>
      <c r="J229" s="316">
        <v>0</v>
      </c>
    </row>
    <row r="230" spans="1:10" x14ac:dyDescent="0.25">
      <c r="A230" s="315" t="s">
        <v>735</v>
      </c>
      <c r="B230" s="118">
        <v>0</v>
      </c>
      <c r="C230" s="631" t="s">
        <v>745</v>
      </c>
      <c r="D230" s="634">
        <f>+B230+B231+B232</f>
        <v>0</v>
      </c>
      <c r="E230" s="632"/>
      <c r="F230" s="639"/>
      <c r="G230" s="640"/>
      <c r="I230" s="311" t="s">
        <v>735</v>
      </c>
      <c r="J230" s="316">
        <v>0</v>
      </c>
    </row>
    <row r="231" spans="1:10" x14ac:dyDescent="0.25">
      <c r="A231" s="315" t="s">
        <v>736</v>
      </c>
      <c r="B231" s="118">
        <v>0</v>
      </c>
      <c r="C231" s="632"/>
      <c r="D231" s="635"/>
      <c r="E231" s="632"/>
      <c r="F231" s="639"/>
      <c r="G231" s="640"/>
      <c r="I231" s="311" t="s">
        <v>736</v>
      </c>
      <c r="J231" s="316">
        <v>0</v>
      </c>
    </row>
    <row r="232" spans="1:10" x14ac:dyDescent="0.25">
      <c r="A232" s="315" t="s">
        <v>737</v>
      </c>
      <c r="B232" s="118">
        <v>0</v>
      </c>
      <c r="C232" s="633"/>
      <c r="D232" s="636"/>
      <c r="E232" s="633"/>
      <c r="F232" s="641"/>
      <c r="G232" s="642"/>
      <c r="I232" s="311" t="s">
        <v>737</v>
      </c>
      <c r="J232" s="316">
        <v>0</v>
      </c>
    </row>
    <row r="233" spans="1:10" x14ac:dyDescent="0.25">
      <c r="A233" s="315" t="s">
        <v>738</v>
      </c>
      <c r="B233" s="118">
        <v>0</v>
      </c>
      <c r="C233" s="631" t="s">
        <v>746</v>
      </c>
      <c r="D233" s="634">
        <f>+B233+B234+B235</f>
        <v>0</v>
      </c>
      <c r="E233" s="631" t="s">
        <v>749</v>
      </c>
      <c r="F233" s="637">
        <f>+D233+D236</f>
        <v>0</v>
      </c>
      <c r="G233" s="638"/>
      <c r="I233" s="311" t="s">
        <v>738</v>
      </c>
      <c r="J233" s="316">
        <v>0</v>
      </c>
    </row>
    <row r="234" spans="1:10" x14ac:dyDescent="0.25">
      <c r="A234" s="315" t="s">
        <v>739</v>
      </c>
      <c r="B234" s="118">
        <v>0</v>
      </c>
      <c r="C234" s="632"/>
      <c r="D234" s="635"/>
      <c r="E234" s="632"/>
      <c r="F234" s="639"/>
      <c r="G234" s="640"/>
      <c r="I234" s="311" t="s">
        <v>739</v>
      </c>
      <c r="J234" s="316">
        <v>0</v>
      </c>
    </row>
    <row r="235" spans="1:10" x14ac:dyDescent="0.25">
      <c r="A235" s="315" t="s">
        <v>740</v>
      </c>
      <c r="B235" s="118">
        <v>0</v>
      </c>
      <c r="C235" s="633"/>
      <c r="D235" s="636"/>
      <c r="E235" s="632"/>
      <c r="F235" s="639"/>
      <c r="G235" s="640"/>
      <c r="I235" s="311" t="s">
        <v>740</v>
      </c>
      <c r="J235" s="316">
        <v>0</v>
      </c>
    </row>
    <row r="236" spans="1:10" x14ac:dyDescent="0.25">
      <c r="A236" s="315" t="s">
        <v>741</v>
      </c>
      <c r="B236" s="118">
        <v>0</v>
      </c>
      <c r="C236" s="631" t="s">
        <v>776</v>
      </c>
      <c r="D236" s="634">
        <f>+B236+B237+B238</f>
        <v>0</v>
      </c>
      <c r="E236" s="632"/>
      <c r="F236" s="639"/>
      <c r="G236" s="640"/>
      <c r="I236" s="311" t="s">
        <v>741</v>
      </c>
      <c r="J236" s="316">
        <v>0</v>
      </c>
    </row>
    <row r="237" spans="1:10" x14ac:dyDescent="0.25">
      <c r="A237" s="315" t="s">
        <v>742</v>
      </c>
      <c r="B237" s="118">
        <v>0</v>
      </c>
      <c r="C237" s="632"/>
      <c r="D237" s="635"/>
      <c r="E237" s="632"/>
      <c r="F237" s="639"/>
      <c r="G237" s="640"/>
      <c r="I237" s="311" t="s">
        <v>742</v>
      </c>
      <c r="J237" s="316">
        <v>0</v>
      </c>
    </row>
    <row r="238" spans="1:10" x14ac:dyDescent="0.25">
      <c r="A238" s="315" t="s">
        <v>732</v>
      </c>
      <c r="B238" s="118">
        <v>0</v>
      </c>
      <c r="C238" s="633"/>
      <c r="D238" s="636"/>
      <c r="E238" s="633"/>
      <c r="F238" s="641"/>
      <c r="G238" s="642"/>
      <c r="I238" s="311" t="s">
        <v>732</v>
      </c>
      <c r="J238" s="316">
        <v>0</v>
      </c>
    </row>
    <row r="239" spans="1:10" x14ac:dyDescent="0.25">
      <c r="A239" s="312" t="s">
        <v>690</v>
      </c>
      <c r="B239" s="351">
        <f>SUM(B227:B238)</f>
        <v>0</v>
      </c>
      <c r="C239" s="312" t="s">
        <v>690</v>
      </c>
      <c r="D239" s="351">
        <f>SUM(D227:D238)</f>
        <v>0</v>
      </c>
      <c r="E239" s="312" t="s">
        <v>690</v>
      </c>
      <c r="F239" s="629">
        <f>SUM(F227:G238)</f>
        <v>0</v>
      </c>
      <c r="G239" s="630"/>
      <c r="I239" s="312" t="s">
        <v>690</v>
      </c>
      <c r="J239" s="117">
        <f>SUM(J227:J238)</f>
        <v>0</v>
      </c>
    </row>
    <row r="241" spans="1:10" ht="18.75" customHeight="1" x14ac:dyDescent="0.25">
      <c r="A241" s="313" t="s">
        <v>1079</v>
      </c>
      <c r="B241" s="314"/>
      <c r="C241" s="314"/>
      <c r="D241" s="309" t="s">
        <v>1080</v>
      </c>
      <c r="E241" s="643"/>
      <c r="F241" s="643"/>
      <c r="G241" s="643"/>
      <c r="I241" s="644" t="s">
        <v>856</v>
      </c>
      <c r="J241" s="644"/>
    </row>
    <row r="242" spans="1:10" x14ac:dyDescent="0.25">
      <c r="A242" s="645" t="s">
        <v>241</v>
      </c>
      <c r="B242" s="646"/>
      <c r="C242" s="645" t="s">
        <v>743</v>
      </c>
      <c r="D242" s="646"/>
      <c r="E242" s="645" t="s">
        <v>747</v>
      </c>
      <c r="F242" s="646"/>
      <c r="G242" s="647"/>
      <c r="I242" s="648" t="s">
        <v>241</v>
      </c>
      <c r="J242" s="648"/>
    </row>
    <row r="243" spans="1:10" x14ac:dyDescent="0.25">
      <c r="A243" s="315" t="s">
        <v>733</v>
      </c>
      <c r="B243" s="118">
        <v>0</v>
      </c>
      <c r="C243" s="631" t="s">
        <v>744</v>
      </c>
      <c r="D243" s="634">
        <f>+B243+B244+B245</f>
        <v>0</v>
      </c>
      <c r="E243" s="631" t="s">
        <v>748</v>
      </c>
      <c r="F243" s="637">
        <f>+D243+D246</f>
        <v>0</v>
      </c>
      <c r="G243" s="638"/>
      <c r="I243" s="311" t="s">
        <v>733</v>
      </c>
      <c r="J243" s="316">
        <v>0</v>
      </c>
    </row>
    <row r="244" spans="1:10" x14ac:dyDescent="0.25">
      <c r="A244" s="315" t="s">
        <v>517</v>
      </c>
      <c r="B244" s="118">
        <v>0</v>
      </c>
      <c r="C244" s="632"/>
      <c r="D244" s="635"/>
      <c r="E244" s="632"/>
      <c r="F244" s="639"/>
      <c r="G244" s="640"/>
      <c r="I244" s="311" t="s">
        <v>517</v>
      </c>
      <c r="J244" s="316">
        <v>0</v>
      </c>
    </row>
    <row r="245" spans="1:10" x14ac:dyDescent="0.25">
      <c r="A245" s="315" t="s">
        <v>734</v>
      </c>
      <c r="B245" s="118">
        <v>0</v>
      </c>
      <c r="C245" s="633"/>
      <c r="D245" s="636"/>
      <c r="E245" s="632"/>
      <c r="F245" s="639"/>
      <c r="G245" s="640"/>
      <c r="I245" s="311" t="s">
        <v>734</v>
      </c>
      <c r="J245" s="316">
        <v>0</v>
      </c>
    </row>
    <row r="246" spans="1:10" x14ac:dyDescent="0.25">
      <c r="A246" s="315" t="s">
        <v>735</v>
      </c>
      <c r="B246" s="118">
        <v>0</v>
      </c>
      <c r="C246" s="631" t="s">
        <v>745</v>
      </c>
      <c r="D246" s="634">
        <f>+B246+B247+B248</f>
        <v>0</v>
      </c>
      <c r="E246" s="632"/>
      <c r="F246" s="639"/>
      <c r="G246" s="640"/>
      <c r="I246" s="311" t="s">
        <v>735</v>
      </c>
      <c r="J246" s="316">
        <v>0</v>
      </c>
    </row>
    <row r="247" spans="1:10" x14ac:dyDescent="0.25">
      <c r="A247" s="315" t="s">
        <v>736</v>
      </c>
      <c r="B247" s="118">
        <v>0</v>
      </c>
      <c r="C247" s="632"/>
      <c r="D247" s="635"/>
      <c r="E247" s="632"/>
      <c r="F247" s="639"/>
      <c r="G247" s="640"/>
      <c r="I247" s="311" t="s">
        <v>736</v>
      </c>
      <c r="J247" s="316">
        <v>0</v>
      </c>
    </row>
    <row r="248" spans="1:10" x14ac:dyDescent="0.25">
      <c r="A248" s="315" t="s">
        <v>737</v>
      </c>
      <c r="B248" s="118">
        <v>0</v>
      </c>
      <c r="C248" s="633"/>
      <c r="D248" s="636"/>
      <c r="E248" s="633"/>
      <c r="F248" s="641"/>
      <c r="G248" s="642"/>
      <c r="I248" s="311" t="s">
        <v>737</v>
      </c>
      <c r="J248" s="316">
        <v>0</v>
      </c>
    </row>
    <row r="249" spans="1:10" x14ac:dyDescent="0.25">
      <c r="A249" s="315" t="s">
        <v>738</v>
      </c>
      <c r="B249" s="118">
        <v>0</v>
      </c>
      <c r="C249" s="631" t="s">
        <v>746</v>
      </c>
      <c r="D249" s="634">
        <f>+B249+B250+B251</f>
        <v>0</v>
      </c>
      <c r="E249" s="631" t="s">
        <v>749</v>
      </c>
      <c r="F249" s="637">
        <f>+D249+D252</f>
        <v>0</v>
      </c>
      <c r="G249" s="638"/>
      <c r="I249" s="311" t="s">
        <v>738</v>
      </c>
      <c r="J249" s="316">
        <v>0</v>
      </c>
    </row>
    <row r="250" spans="1:10" x14ac:dyDescent="0.25">
      <c r="A250" s="315" t="s">
        <v>739</v>
      </c>
      <c r="B250" s="118">
        <v>0</v>
      </c>
      <c r="C250" s="632"/>
      <c r="D250" s="635"/>
      <c r="E250" s="632"/>
      <c r="F250" s="639"/>
      <c r="G250" s="640"/>
      <c r="I250" s="311" t="s">
        <v>739</v>
      </c>
      <c r="J250" s="316">
        <v>0</v>
      </c>
    </row>
    <row r="251" spans="1:10" x14ac:dyDescent="0.25">
      <c r="A251" s="315" t="s">
        <v>740</v>
      </c>
      <c r="B251" s="118">
        <v>0</v>
      </c>
      <c r="C251" s="633"/>
      <c r="D251" s="636"/>
      <c r="E251" s="632"/>
      <c r="F251" s="639"/>
      <c r="G251" s="640"/>
      <c r="I251" s="311" t="s">
        <v>740</v>
      </c>
      <c r="J251" s="316">
        <v>0</v>
      </c>
    </row>
    <row r="252" spans="1:10" x14ac:dyDescent="0.25">
      <c r="A252" s="315" t="s">
        <v>741</v>
      </c>
      <c r="B252" s="118">
        <v>0</v>
      </c>
      <c r="C252" s="631" t="s">
        <v>776</v>
      </c>
      <c r="D252" s="634">
        <f>+B252+B253+B254</f>
        <v>0</v>
      </c>
      <c r="E252" s="632"/>
      <c r="F252" s="639"/>
      <c r="G252" s="640"/>
      <c r="I252" s="311" t="s">
        <v>741</v>
      </c>
      <c r="J252" s="316">
        <v>0</v>
      </c>
    </row>
    <row r="253" spans="1:10" x14ac:dyDescent="0.25">
      <c r="A253" s="315" t="s">
        <v>742</v>
      </c>
      <c r="B253" s="118">
        <v>0</v>
      </c>
      <c r="C253" s="632"/>
      <c r="D253" s="635"/>
      <c r="E253" s="632"/>
      <c r="F253" s="639"/>
      <c r="G253" s="640"/>
      <c r="I253" s="311" t="s">
        <v>742</v>
      </c>
      <c r="J253" s="316">
        <v>0</v>
      </c>
    </row>
    <row r="254" spans="1:10" x14ac:dyDescent="0.25">
      <c r="A254" s="315" t="s">
        <v>732</v>
      </c>
      <c r="B254" s="118">
        <v>0</v>
      </c>
      <c r="C254" s="633"/>
      <c r="D254" s="636"/>
      <c r="E254" s="633"/>
      <c r="F254" s="641"/>
      <c r="G254" s="642"/>
      <c r="I254" s="311" t="s">
        <v>732</v>
      </c>
      <c r="J254" s="316">
        <v>0</v>
      </c>
    </row>
    <row r="255" spans="1:10" x14ac:dyDescent="0.25">
      <c r="A255" s="312" t="s">
        <v>690</v>
      </c>
      <c r="B255" s="351">
        <f>SUM(B243:B254)</f>
        <v>0</v>
      </c>
      <c r="C255" s="312" t="s">
        <v>690</v>
      </c>
      <c r="D255" s="351">
        <f>SUM(D243:D254)</f>
        <v>0</v>
      </c>
      <c r="E255" s="312" t="s">
        <v>690</v>
      </c>
      <c r="F255" s="629">
        <f>SUM(F243:G254)</f>
        <v>0</v>
      </c>
      <c r="G255" s="630"/>
      <c r="I255" s="312" t="s">
        <v>690</v>
      </c>
      <c r="J255" s="117">
        <f>SUM(J243:J254)</f>
        <v>0</v>
      </c>
    </row>
  </sheetData>
  <sheetProtection algorithmName="SHA-512" hashValue="hajSxJ+2ioQRoRMOPdQOL2Y71XKo0ADN9jTaNdvPB5HVcFOA7xJCVR+ddBnOPLXcvpVv/kH7Xt7YtFggKPUTPA==" saltValue="vlj+FZUja74zI0FEFCewDg==" spinCount="100000" sheet="1" objects="1" scenarios="1" formatCells="0" formatColumns="0" formatRows="0" sort="0" autoFilter="0" pivotTables="0"/>
  <mergeCells count="314">
    <mergeCell ref="F255:G255"/>
    <mergeCell ref="C249:C251"/>
    <mergeCell ref="D249:D251"/>
    <mergeCell ref="E249:E254"/>
    <mergeCell ref="F249:G254"/>
    <mergeCell ref="C252:C254"/>
    <mergeCell ref="D252:D254"/>
    <mergeCell ref="C243:C245"/>
    <mergeCell ref="D243:D245"/>
    <mergeCell ref="E243:E248"/>
    <mergeCell ref="F243:G248"/>
    <mergeCell ref="C246:C248"/>
    <mergeCell ref="D246:D248"/>
    <mergeCell ref="F239:G239"/>
    <mergeCell ref="E241:G241"/>
    <mergeCell ref="I241:J241"/>
    <mergeCell ref="A242:B242"/>
    <mergeCell ref="C242:D242"/>
    <mergeCell ref="E242:G242"/>
    <mergeCell ref="I242:J242"/>
    <mergeCell ref="C233:C235"/>
    <mergeCell ref="D233:D235"/>
    <mergeCell ref="E233:E238"/>
    <mergeCell ref="F233:G238"/>
    <mergeCell ref="C236:C238"/>
    <mergeCell ref="D236:D238"/>
    <mergeCell ref="C227:C229"/>
    <mergeCell ref="D227:D229"/>
    <mergeCell ref="E227:E232"/>
    <mergeCell ref="F227:G232"/>
    <mergeCell ref="C230:C232"/>
    <mergeCell ref="D230:D232"/>
    <mergeCell ref="F223:G223"/>
    <mergeCell ref="E225:G225"/>
    <mergeCell ref="I225:J225"/>
    <mergeCell ref="A226:B226"/>
    <mergeCell ref="C226:D226"/>
    <mergeCell ref="E226:G226"/>
    <mergeCell ref="I226:J226"/>
    <mergeCell ref="C217:C219"/>
    <mergeCell ref="D217:D219"/>
    <mergeCell ref="E217:E222"/>
    <mergeCell ref="F217:G222"/>
    <mergeCell ref="C220:C222"/>
    <mergeCell ref="D220:D222"/>
    <mergeCell ref="C211:C213"/>
    <mergeCell ref="D211:D213"/>
    <mergeCell ref="E211:E216"/>
    <mergeCell ref="F211:G216"/>
    <mergeCell ref="C214:C216"/>
    <mergeCell ref="D214:D216"/>
    <mergeCell ref="F207:G207"/>
    <mergeCell ref="E209:G209"/>
    <mergeCell ref="I209:J209"/>
    <mergeCell ref="A210:B210"/>
    <mergeCell ref="C210:D210"/>
    <mergeCell ref="E210:G210"/>
    <mergeCell ref="I210:J210"/>
    <mergeCell ref="C201:C203"/>
    <mergeCell ref="D201:D203"/>
    <mergeCell ref="E201:E206"/>
    <mergeCell ref="F201:G206"/>
    <mergeCell ref="C204:C206"/>
    <mergeCell ref="D204:D206"/>
    <mergeCell ref="C195:C197"/>
    <mergeCell ref="D195:D197"/>
    <mergeCell ref="E195:E200"/>
    <mergeCell ref="F195:G200"/>
    <mergeCell ref="C198:C200"/>
    <mergeCell ref="D198:D200"/>
    <mergeCell ref="F191:G191"/>
    <mergeCell ref="E193:G193"/>
    <mergeCell ref="I193:J193"/>
    <mergeCell ref="A194:B194"/>
    <mergeCell ref="C194:D194"/>
    <mergeCell ref="E194:G194"/>
    <mergeCell ref="I194:J194"/>
    <mergeCell ref="C185:C187"/>
    <mergeCell ref="D185:D187"/>
    <mergeCell ref="E185:E190"/>
    <mergeCell ref="F185:G190"/>
    <mergeCell ref="C188:C190"/>
    <mergeCell ref="D188:D190"/>
    <mergeCell ref="C179:C181"/>
    <mergeCell ref="D179:D181"/>
    <mergeCell ref="E179:E184"/>
    <mergeCell ref="F179:G184"/>
    <mergeCell ref="C182:C184"/>
    <mergeCell ref="D182:D184"/>
    <mergeCell ref="F175:G175"/>
    <mergeCell ref="E177:G177"/>
    <mergeCell ref="I177:J177"/>
    <mergeCell ref="A178:B178"/>
    <mergeCell ref="C178:D178"/>
    <mergeCell ref="E178:G178"/>
    <mergeCell ref="I178:J178"/>
    <mergeCell ref="C169:C171"/>
    <mergeCell ref="D169:D171"/>
    <mergeCell ref="E169:E174"/>
    <mergeCell ref="F169:G174"/>
    <mergeCell ref="C172:C174"/>
    <mergeCell ref="D172:D174"/>
    <mergeCell ref="C163:C165"/>
    <mergeCell ref="D163:D165"/>
    <mergeCell ref="E163:E168"/>
    <mergeCell ref="F163:G168"/>
    <mergeCell ref="C166:C168"/>
    <mergeCell ref="D166:D168"/>
    <mergeCell ref="F159:G159"/>
    <mergeCell ref="E161:G161"/>
    <mergeCell ref="I161:J161"/>
    <mergeCell ref="A162:B162"/>
    <mergeCell ref="C162:D162"/>
    <mergeCell ref="E162:G162"/>
    <mergeCell ref="I162:J162"/>
    <mergeCell ref="C153:C155"/>
    <mergeCell ref="D153:D155"/>
    <mergeCell ref="E153:E158"/>
    <mergeCell ref="F153:G158"/>
    <mergeCell ref="C156:C158"/>
    <mergeCell ref="D156:D158"/>
    <mergeCell ref="C147:C149"/>
    <mergeCell ref="D147:D149"/>
    <mergeCell ref="E147:E152"/>
    <mergeCell ref="F147:G152"/>
    <mergeCell ref="C150:C152"/>
    <mergeCell ref="D150:D152"/>
    <mergeCell ref="F143:G143"/>
    <mergeCell ref="E145:G145"/>
    <mergeCell ref="I145:J145"/>
    <mergeCell ref="A146:B146"/>
    <mergeCell ref="C146:D146"/>
    <mergeCell ref="E146:G146"/>
    <mergeCell ref="I146:J146"/>
    <mergeCell ref="C137:C139"/>
    <mergeCell ref="D137:D139"/>
    <mergeCell ref="E137:E142"/>
    <mergeCell ref="F137:G142"/>
    <mergeCell ref="C140:C142"/>
    <mergeCell ref="D140:D142"/>
    <mergeCell ref="C131:C133"/>
    <mergeCell ref="D131:D133"/>
    <mergeCell ref="E131:E136"/>
    <mergeCell ref="F131:G136"/>
    <mergeCell ref="C134:C136"/>
    <mergeCell ref="D134:D136"/>
    <mergeCell ref="F127:G127"/>
    <mergeCell ref="E129:G129"/>
    <mergeCell ref="I129:J129"/>
    <mergeCell ref="A130:B130"/>
    <mergeCell ref="C130:D130"/>
    <mergeCell ref="E130:G130"/>
    <mergeCell ref="I130:J130"/>
    <mergeCell ref="C121:C123"/>
    <mergeCell ref="D121:D123"/>
    <mergeCell ref="E121:E126"/>
    <mergeCell ref="F121:G126"/>
    <mergeCell ref="C124:C126"/>
    <mergeCell ref="D124:D126"/>
    <mergeCell ref="C115:C117"/>
    <mergeCell ref="D115:D117"/>
    <mergeCell ref="E115:E120"/>
    <mergeCell ref="F115:G120"/>
    <mergeCell ref="C118:C120"/>
    <mergeCell ref="D118:D120"/>
    <mergeCell ref="F111:G111"/>
    <mergeCell ref="E113:G113"/>
    <mergeCell ref="I113:J113"/>
    <mergeCell ref="A114:B114"/>
    <mergeCell ref="C114:D114"/>
    <mergeCell ref="E114:G114"/>
    <mergeCell ref="I114:J114"/>
    <mergeCell ref="C105:C107"/>
    <mergeCell ref="D105:D107"/>
    <mergeCell ref="E105:E110"/>
    <mergeCell ref="F105:G110"/>
    <mergeCell ref="C108:C110"/>
    <mergeCell ref="D108:D110"/>
    <mergeCell ref="C99:C101"/>
    <mergeCell ref="D99:D101"/>
    <mergeCell ref="E99:E104"/>
    <mergeCell ref="F99:G104"/>
    <mergeCell ref="C102:C104"/>
    <mergeCell ref="D102:D104"/>
    <mergeCell ref="F95:G95"/>
    <mergeCell ref="E97:G97"/>
    <mergeCell ref="I97:J97"/>
    <mergeCell ref="A98:B98"/>
    <mergeCell ref="C98:D98"/>
    <mergeCell ref="E98:G98"/>
    <mergeCell ref="I98:J98"/>
    <mergeCell ref="C89:C91"/>
    <mergeCell ref="D89:D91"/>
    <mergeCell ref="E89:E94"/>
    <mergeCell ref="F89:G94"/>
    <mergeCell ref="C92:C94"/>
    <mergeCell ref="D92:D94"/>
    <mergeCell ref="C83:C85"/>
    <mergeCell ref="D83:D85"/>
    <mergeCell ref="E83:E88"/>
    <mergeCell ref="F83:G88"/>
    <mergeCell ref="C86:C88"/>
    <mergeCell ref="D86:D88"/>
    <mergeCell ref="F79:G79"/>
    <mergeCell ref="E81:G81"/>
    <mergeCell ref="I81:J81"/>
    <mergeCell ref="A82:B82"/>
    <mergeCell ref="C82:D82"/>
    <mergeCell ref="E82:G82"/>
    <mergeCell ref="I82:J82"/>
    <mergeCell ref="C73:C75"/>
    <mergeCell ref="D73:D75"/>
    <mergeCell ref="E73:E78"/>
    <mergeCell ref="F73:G78"/>
    <mergeCell ref="C76:C78"/>
    <mergeCell ref="D76:D78"/>
    <mergeCell ref="C67:C69"/>
    <mergeCell ref="D67:D69"/>
    <mergeCell ref="E67:E72"/>
    <mergeCell ref="F67:G72"/>
    <mergeCell ref="C70:C72"/>
    <mergeCell ref="D70:D72"/>
    <mergeCell ref="F63:G63"/>
    <mergeCell ref="E65:G65"/>
    <mergeCell ref="I65:J65"/>
    <mergeCell ref="A66:B66"/>
    <mergeCell ref="C66:D66"/>
    <mergeCell ref="E66:G66"/>
    <mergeCell ref="I66:J66"/>
    <mergeCell ref="C57:C59"/>
    <mergeCell ref="D57:D59"/>
    <mergeCell ref="E57:E62"/>
    <mergeCell ref="F57:G62"/>
    <mergeCell ref="C60:C62"/>
    <mergeCell ref="D60:D62"/>
    <mergeCell ref="C51:C53"/>
    <mergeCell ref="D51:D53"/>
    <mergeCell ref="E51:E56"/>
    <mergeCell ref="F51:G56"/>
    <mergeCell ref="C54:C56"/>
    <mergeCell ref="D54:D56"/>
    <mergeCell ref="F47:G47"/>
    <mergeCell ref="E49:G49"/>
    <mergeCell ref="I49:J49"/>
    <mergeCell ref="A50:B50"/>
    <mergeCell ref="C50:D50"/>
    <mergeCell ref="E50:G50"/>
    <mergeCell ref="I50:J50"/>
    <mergeCell ref="C41:C43"/>
    <mergeCell ref="D41:D43"/>
    <mergeCell ref="E41:E46"/>
    <mergeCell ref="F41:G46"/>
    <mergeCell ref="C44:C46"/>
    <mergeCell ref="D44:D46"/>
    <mergeCell ref="C35:C37"/>
    <mergeCell ref="D35:D37"/>
    <mergeCell ref="E35:E40"/>
    <mergeCell ref="F35:G40"/>
    <mergeCell ref="C38:C40"/>
    <mergeCell ref="D38:D40"/>
    <mergeCell ref="F31:G31"/>
    <mergeCell ref="E33:G33"/>
    <mergeCell ref="I33:J33"/>
    <mergeCell ref="A18:B18"/>
    <mergeCell ref="C18:D18"/>
    <mergeCell ref="E18:G18"/>
    <mergeCell ref="I18:J18"/>
    <mergeCell ref="A34:B34"/>
    <mergeCell ref="C34:D34"/>
    <mergeCell ref="E34:G34"/>
    <mergeCell ref="I34:J34"/>
    <mergeCell ref="C25:C27"/>
    <mergeCell ref="D25:D27"/>
    <mergeCell ref="E25:E30"/>
    <mergeCell ref="F25:G30"/>
    <mergeCell ref="C28:C30"/>
    <mergeCell ref="D28:D30"/>
    <mergeCell ref="M10:O10"/>
    <mergeCell ref="L11:O15"/>
    <mergeCell ref="C12:C14"/>
    <mergeCell ref="D12:D14"/>
    <mergeCell ref="F15:G15"/>
    <mergeCell ref="C19:C21"/>
    <mergeCell ref="D19:D21"/>
    <mergeCell ref="E19:E24"/>
    <mergeCell ref="F19:G24"/>
    <mergeCell ref="C22:C24"/>
    <mergeCell ref="D22:D24"/>
    <mergeCell ref="E17:G17"/>
    <mergeCell ref="I17:J17"/>
    <mergeCell ref="A1:D1"/>
    <mergeCell ref="F1:G1"/>
    <mergeCell ref="I1:J1"/>
    <mergeCell ref="K1:K15"/>
    <mergeCell ref="L1:O1"/>
    <mergeCell ref="A2:B2"/>
    <mergeCell ref="C2:D2"/>
    <mergeCell ref="E2:G2"/>
    <mergeCell ref="I2:J2"/>
    <mergeCell ref="C3:C5"/>
    <mergeCell ref="D3:D5"/>
    <mergeCell ref="E3:E8"/>
    <mergeCell ref="F3:G8"/>
    <mergeCell ref="L5:O5"/>
    <mergeCell ref="C6:C8"/>
    <mergeCell ref="D6:D8"/>
    <mergeCell ref="M6:O6"/>
    <mergeCell ref="M7:O7"/>
    <mergeCell ref="L8:O8"/>
    <mergeCell ref="C9:C11"/>
    <mergeCell ref="D9:D11"/>
    <mergeCell ref="E9:E14"/>
    <mergeCell ref="F9:G14"/>
    <mergeCell ref="M9:O9"/>
  </mergeCells>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dimension ref="A1:U166"/>
  <sheetViews>
    <sheetView workbookViewId="0">
      <selection sqref="A1:F1"/>
    </sheetView>
  </sheetViews>
  <sheetFormatPr defaultColWidth="0" defaultRowHeight="15" customHeight="1" zeroHeight="1" x14ac:dyDescent="0.2"/>
  <cols>
    <col min="1" max="1" width="50.140625" style="18" bestFit="1" customWidth="1"/>
    <col min="2" max="2" width="12" style="18" bestFit="1" customWidth="1"/>
    <col min="3" max="3" width="9.140625" style="18" bestFit="1" customWidth="1"/>
    <col min="4" max="6" width="26.28515625" style="18" customWidth="1"/>
    <col min="7" max="7" width="1.42578125" style="18" customWidth="1"/>
    <col min="8" max="10" width="4.28515625" style="18" hidden="1" customWidth="1"/>
    <col min="11" max="16" width="9.140625" style="18" hidden="1" customWidth="1"/>
    <col min="17" max="17" width="11.7109375" style="18" hidden="1" customWidth="1"/>
    <col min="18" max="18" width="9.140625" style="18" hidden="1" customWidth="1"/>
    <col min="19" max="19" width="10.28515625" style="18" hidden="1" customWidth="1"/>
    <col min="20" max="16384" width="9.140625" style="18" hidden="1"/>
  </cols>
  <sheetData>
    <row r="1" spans="1:21" ht="20.25" x14ac:dyDescent="0.3">
      <c r="A1" s="481" t="s">
        <v>476</v>
      </c>
      <c r="B1" s="481"/>
      <c r="C1" s="481"/>
      <c r="D1" s="481"/>
      <c r="E1" s="481"/>
      <c r="F1" s="481"/>
      <c r="K1" s="2" t="s">
        <v>19</v>
      </c>
      <c r="L1" s="2" t="s">
        <v>20</v>
      </c>
      <c r="M1" s="2"/>
      <c r="N1" s="2" t="s">
        <v>15</v>
      </c>
      <c r="O1" s="2" t="s">
        <v>21</v>
      </c>
      <c r="P1" s="2" t="s">
        <v>22</v>
      </c>
      <c r="R1" s="1"/>
      <c r="S1" s="1"/>
      <c r="U1" s="21"/>
    </row>
    <row r="2" spans="1:21" ht="15" customHeight="1" x14ac:dyDescent="0.2">
      <c r="A2" s="126" t="s">
        <v>0</v>
      </c>
      <c r="B2" s="379">
        <f>'Loan Details'!B3</f>
        <v>0</v>
      </c>
      <c r="C2" s="379"/>
      <c r="D2" s="379"/>
      <c r="E2" s="379"/>
      <c r="F2" s="379"/>
      <c r="K2" s="2" t="s">
        <v>23</v>
      </c>
      <c r="L2" s="2" t="s">
        <v>23</v>
      </c>
      <c r="M2" s="2" t="str">
        <f t="shared" ref="M2:M61" si="0">K2&amp;" "&amp;L2</f>
        <v>Agriculture Products Agriculture Products</v>
      </c>
      <c r="N2" s="2">
        <v>6.64</v>
      </c>
      <c r="O2" s="2">
        <v>3.95</v>
      </c>
      <c r="P2" s="2"/>
      <c r="R2" s="1"/>
      <c r="S2" s="1"/>
      <c r="U2" s="21"/>
    </row>
    <row r="3" spans="1:21" ht="15" customHeight="1" x14ac:dyDescent="0.2">
      <c r="A3" s="126" t="s">
        <v>2</v>
      </c>
      <c r="B3" s="380">
        <f>'Loan Details'!B4</f>
        <v>0.19</v>
      </c>
      <c r="C3" s="380"/>
      <c r="D3" s="380"/>
      <c r="E3" s="380"/>
      <c r="F3" s="380"/>
      <c r="K3" s="2" t="s">
        <v>23</v>
      </c>
      <c r="L3" s="2" t="s">
        <v>24</v>
      </c>
      <c r="M3" s="2" t="str">
        <f t="shared" si="0"/>
        <v>Agriculture Products Animal Products (Including animal and bird feed)</v>
      </c>
      <c r="N3" s="2">
        <v>5.8</v>
      </c>
      <c r="O3" s="2">
        <v>3.95</v>
      </c>
      <c r="P3" s="2"/>
      <c r="R3" s="1"/>
      <c r="S3" s="1"/>
    </row>
    <row r="4" spans="1:21" ht="15" customHeight="1" x14ac:dyDescent="0.2">
      <c r="A4" s="126" t="s">
        <v>3</v>
      </c>
      <c r="B4" s="381">
        <f>'Loan Details'!B5</f>
        <v>36</v>
      </c>
      <c r="C4" s="381"/>
      <c r="D4" s="381"/>
      <c r="E4" s="381"/>
      <c r="F4" s="381"/>
      <c r="K4" s="2" t="s">
        <v>23</v>
      </c>
      <c r="L4" s="2" t="s">
        <v>25</v>
      </c>
      <c r="M4" s="2" t="str">
        <f t="shared" si="0"/>
        <v>Agriculture Products Edible Oils</v>
      </c>
      <c r="N4" s="2">
        <v>3.57</v>
      </c>
      <c r="O4" s="2">
        <v>3.57</v>
      </c>
      <c r="P4" s="2"/>
      <c r="R4" s="1"/>
      <c r="S4" s="1"/>
    </row>
    <row r="5" spans="1:21" ht="15" customHeight="1" x14ac:dyDescent="0.2">
      <c r="A5" s="126" t="s">
        <v>14</v>
      </c>
      <c r="B5" s="381">
        <f>'Loan Details'!C9</f>
        <v>0</v>
      </c>
      <c r="C5" s="381"/>
      <c r="D5" s="381"/>
      <c r="E5" s="381"/>
      <c r="F5" s="381"/>
      <c r="K5" s="2" t="s">
        <v>23</v>
      </c>
      <c r="L5" s="2" t="s">
        <v>26</v>
      </c>
      <c r="M5" s="2" t="str">
        <f t="shared" si="0"/>
        <v>Agriculture Products Floricultural</v>
      </c>
      <c r="N5" s="2">
        <v>9.69</v>
      </c>
      <c r="O5" s="2">
        <v>3.95</v>
      </c>
      <c r="P5" s="2"/>
    </row>
    <row r="6" spans="1:21" ht="15" customHeight="1" x14ac:dyDescent="0.2">
      <c r="A6" s="126" t="s">
        <v>16</v>
      </c>
      <c r="B6" s="381">
        <f>'Loan Details'!C10</f>
        <v>0</v>
      </c>
      <c r="C6" s="381"/>
      <c r="D6" s="381"/>
      <c r="E6" s="381"/>
      <c r="F6" s="381"/>
      <c r="K6" s="2" t="s">
        <v>23</v>
      </c>
      <c r="L6" s="2" t="s">
        <v>27</v>
      </c>
      <c r="M6" s="2" t="str">
        <f t="shared" si="0"/>
        <v>Agriculture Products Fruit and nuts</v>
      </c>
      <c r="N6" s="2">
        <v>6.64</v>
      </c>
      <c r="O6" s="2">
        <v>3.95</v>
      </c>
      <c r="P6" s="2"/>
      <c r="R6" s="1"/>
      <c r="S6" s="1"/>
    </row>
    <row r="7" spans="1:21" ht="15" customHeight="1" x14ac:dyDescent="0.2">
      <c r="A7" s="126" t="s">
        <v>18</v>
      </c>
      <c r="B7" s="495" t="e">
        <f ca="1">INDIRECT(ADDRESS(MATCH(B6,M:M,0),MATCH(B5,1:1,0),,,))</f>
        <v>#N/A</v>
      </c>
      <c r="C7" s="495"/>
      <c r="D7" s="495"/>
      <c r="E7" s="495"/>
      <c r="F7" s="495"/>
      <c r="K7" s="2" t="s">
        <v>23</v>
      </c>
      <c r="L7" s="2" t="s">
        <v>28</v>
      </c>
      <c r="M7" s="2" t="str">
        <f t="shared" si="0"/>
        <v>Agriculture Products Poultry &amp; Meal Products</v>
      </c>
      <c r="N7" s="2">
        <v>9.42</v>
      </c>
      <c r="O7" s="2">
        <v>3.95</v>
      </c>
      <c r="P7" s="2"/>
    </row>
    <row r="8" spans="1:21" ht="15" customHeight="1" x14ac:dyDescent="0.3">
      <c r="A8" s="675" t="s">
        <v>4</v>
      </c>
      <c r="B8" s="676"/>
      <c r="C8" s="676"/>
      <c r="D8" s="676"/>
      <c r="E8" s="676"/>
      <c r="F8" s="676"/>
      <c r="K8" s="2" t="s">
        <v>23</v>
      </c>
      <c r="L8" s="2" t="s">
        <v>29</v>
      </c>
      <c r="M8" s="2" t="str">
        <f t="shared" si="0"/>
        <v>Agriculture Products Agri-seed</v>
      </c>
      <c r="N8" s="2">
        <v>15.98</v>
      </c>
      <c r="O8" s="2">
        <v>3.95</v>
      </c>
      <c r="P8" s="2"/>
      <c r="Q8" s="688"/>
      <c r="R8" s="688"/>
      <c r="S8" s="3"/>
    </row>
    <row r="9" spans="1:21" ht="15" customHeight="1" x14ac:dyDescent="0.2">
      <c r="A9" s="120" t="s">
        <v>5</v>
      </c>
      <c r="B9" s="545">
        <f>'Loan Details'!C12</f>
        <v>0</v>
      </c>
      <c r="C9" s="546"/>
      <c r="D9" s="546"/>
      <c r="E9" s="546"/>
      <c r="F9" s="546"/>
      <c r="K9" s="2" t="s">
        <v>23</v>
      </c>
      <c r="L9" s="2" t="s">
        <v>30</v>
      </c>
      <c r="M9" s="2" t="str">
        <f t="shared" si="0"/>
        <v>Agriculture Products Spices</v>
      </c>
      <c r="N9" s="2">
        <v>6.64</v>
      </c>
      <c r="O9" s="2">
        <v>3.95</v>
      </c>
      <c r="P9" s="2"/>
      <c r="Q9" s="688"/>
      <c r="R9" s="688"/>
      <c r="S9" s="22"/>
    </row>
    <row r="10" spans="1:21" ht="15" customHeight="1" x14ac:dyDescent="0.3">
      <c r="A10" s="675" t="s">
        <v>562</v>
      </c>
      <c r="B10" s="676"/>
      <c r="C10" s="676"/>
      <c r="D10" s="676"/>
      <c r="E10" s="676"/>
      <c r="F10" s="676"/>
      <c r="K10" s="2" t="s">
        <v>23</v>
      </c>
      <c r="L10" s="2" t="s">
        <v>31</v>
      </c>
      <c r="M10" s="2" t="str">
        <f t="shared" si="0"/>
        <v>Agriculture Products Starches</v>
      </c>
      <c r="N10" s="2">
        <v>8.61</v>
      </c>
      <c r="O10" s="2">
        <v>3.95</v>
      </c>
      <c r="P10" s="2"/>
    </row>
    <row r="11" spans="1:21" ht="15" customHeight="1" x14ac:dyDescent="0.2">
      <c r="A11" s="502" t="s">
        <v>234</v>
      </c>
      <c r="B11" s="679" t="s">
        <v>7</v>
      </c>
      <c r="C11" s="680"/>
      <c r="D11" s="121" t="s">
        <v>231</v>
      </c>
      <c r="E11" s="122" t="s">
        <v>232</v>
      </c>
      <c r="F11" s="121" t="s">
        <v>233</v>
      </c>
      <c r="K11" s="2" t="s">
        <v>23</v>
      </c>
      <c r="L11" s="2" t="s">
        <v>32</v>
      </c>
      <c r="M11" s="2" t="str">
        <f t="shared" si="0"/>
        <v>Agriculture Products Sugar</v>
      </c>
      <c r="N11" s="2">
        <v>9.69</v>
      </c>
      <c r="O11" s="2">
        <v>3.95</v>
      </c>
      <c r="P11" s="2"/>
      <c r="Q11" s="688"/>
      <c r="R11" s="688"/>
      <c r="S11" s="3"/>
    </row>
    <row r="12" spans="1:21" ht="15" customHeight="1" x14ac:dyDescent="0.2">
      <c r="A12" s="503"/>
      <c r="B12" s="683">
        <v>1</v>
      </c>
      <c r="C12" s="684"/>
      <c r="D12" s="105">
        <f>'Loan Details'!C14</f>
        <v>0</v>
      </c>
      <c r="E12" s="105">
        <f>'Loan Details'!E14</f>
        <v>0</v>
      </c>
      <c r="F12" s="119" t="e">
        <f>IF(((E12-D12)/D12)&lt;=20%,E12*B12,IF(((E12-D12)/D12)&lt;=50%,B12*MAX(AVERAGE(E12,D12),1.2*D12),B12*AVERAGE(E12,D12)))</f>
        <v>#DIV/0!</v>
      </c>
      <c r="K12" s="2" t="s">
        <v>23</v>
      </c>
      <c r="L12" s="2" t="s">
        <v>33</v>
      </c>
      <c r="M12" s="2" t="str">
        <f t="shared" si="0"/>
        <v>Agriculture Products Tea &amp; Coffee</v>
      </c>
      <c r="N12" s="2">
        <v>12.26</v>
      </c>
      <c r="O12" s="2">
        <v>3.95</v>
      </c>
      <c r="P12" s="2"/>
      <c r="Q12" s="688"/>
      <c r="R12" s="688"/>
      <c r="S12" s="22"/>
    </row>
    <row r="13" spans="1:21" ht="15" customHeight="1" x14ac:dyDescent="0.2">
      <c r="A13" s="120" t="s">
        <v>18</v>
      </c>
      <c r="B13" s="540" t="e">
        <f ca="1">B7/100</f>
        <v>#N/A</v>
      </c>
      <c r="C13" s="541"/>
      <c r="D13" s="541"/>
      <c r="E13" s="541"/>
      <c r="F13" s="541"/>
      <c r="K13" s="2" t="s">
        <v>23</v>
      </c>
      <c r="L13" s="2" t="s">
        <v>34</v>
      </c>
      <c r="M13" s="2" t="str">
        <f t="shared" si="0"/>
        <v>Agriculture Products Tobacco Products</v>
      </c>
      <c r="N13" s="2">
        <v>6.09</v>
      </c>
      <c r="O13" s="2">
        <v>3.95</v>
      </c>
      <c r="P13" s="2"/>
    </row>
    <row r="14" spans="1:21" ht="15" customHeight="1" x14ac:dyDescent="0.2">
      <c r="A14" s="120" t="s">
        <v>235</v>
      </c>
      <c r="B14" s="496" t="e">
        <f ca="1">B13*F12</f>
        <v>#N/A</v>
      </c>
      <c r="C14" s="497"/>
      <c r="D14" s="497"/>
      <c r="E14" s="497"/>
      <c r="F14" s="497"/>
      <c r="K14" s="2" t="s">
        <v>23</v>
      </c>
      <c r="L14" s="2" t="s">
        <v>35</v>
      </c>
      <c r="M14" s="2" t="str">
        <f t="shared" si="0"/>
        <v>Agriculture Products Vegetables, roots and tubers</v>
      </c>
      <c r="N14" s="2">
        <v>6.64</v>
      </c>
      <c r="O14" s="2">
        <v>3.95</v>
      </c>
      <c r="P14" s="2"/>
      <c r="Q14" s="688"/>
      <c r="R14" s="688"/>
    </row>
    <row r="15" spans="1:21" ht="15" customHeight="1" x14ac:dyDescent="0.3">
      <c r="A15" s="675" t="s">
        <v>564</v>
      </c>
      <c r="B15" s="676"/>
      <c r="C15" s="676"/>
      <c r="D15" s="676"/>
      <c r="E15" s="676"/>
      <c r="F15" s="676"/>
      <c r="K15" s="2" t="s">
        <v>36</v>
      </c>
      <c r="L15" s="2" t="s">
        <v>36</v>
      </c>
      <c r="M15" s="2" t="str">
        <f t="shared" si="0"/>
        <v>Air-conditioners &amp; refrigerators Air-conditioners &amp; refrigerators</v>
      </c>
      <c r="N15" s="2">
        <v>7.43</v>
      </c>
      <c r="O15" s="2">
        <v>7.43</v>
      </c>
      <c r="P15" s="2"/>
    </row>
    <row r="16" spans="1:21" ht="15" customHeight="1" x14ac:dyDescent="0.2">
      <c r="A16" s="111" t="s">
        <v>565</v>
      </c>
      <c r="B16" s="679" t="s">
        <v>7</v>
      </c>
      <c r="C16" s="680"/>
      <c r="D16" s="121" t="s">
        <v>231</v>
      </c>
      <c r="E16" s="121" t="s">
        <v>232</v>
      </c>
      <c r="F16" s="121" t="s">
        <v>233</v>
      </c>
      <c r="K16" s="2" t="s">
        <v>37</v>
      </c>
      <c r="L16" s="2" t="s">
        <v>38</v>
      </c>
      <c r="M16" s="2" t="str">
        <f t="shared" si="0"/>
        <v>Automobiles 2 &amp; 3 Wheelers</v>
      </c>
      <c r="N16" s="2"/>
      <c r="O16" s="2">
        <v>5.43</v>
      </c>
      <c r="P16" s="2"/>
    </row>
    <row r="17" spans="1:16" ht="15" customHeight="1" x14ac:dyDescent="0.2">
      <c r="A17" s="120" t="s">
        <v>236</v>
      </c>
      <c r="B17" s="681">
        <v>1</v>
      </c>
      <c r="C17" s="682"/>
      <c r="D17" s="105">
        <f>'Loan Details'!C16</f>
        <v>0</v>
      </c>
      <c r="E17" s="105">
        <f>'Loan Details'!E16</f>
        <v>0</v>
      </c>
      <c r="F17" s="685">
        <f>(E17*B17)+(E18*B18)+(E19*B19)+(E20*B20)</f>
        <v>0</v>
      </c>
      <c r="K17" s="2" t="s">
        <v>37</v>
      </c>
      <c r="L17" s="2" t="s">
        <v>39</v>
      </c>
      <c r="M17" s="2" t="str">
        <f t="shared" si="0"/>
        <v>Automobiles Automobiles ancillaries</v>
      </c>
      <c r="N17" s="2">
        <v>10.17</v>
      </c>
      <c r="O17" s="2">
        <v>5.43</v>
      </c>
      <c r="P17" s="2"/>
    </row>
    <row r="18" spans="1:16" ht="15" customHeight="1" x14ac:dyDescent="0.2">
      <c r="A18" s="120" t="s">
        <v>237</v>
      </c>
      <c r="B18" s="681">
        <v>1</v>
      </c>
      <c r="C18" s="682"/>
      <c r="D18" s="105">
        <f>'Loan Details'!C19</f>
        <v>0</v>
      </c>
      <c r="E18" s="105">
        <f>'Loan Details'!E19</f>
        <v>0</v>
      </c>
      <c r="F18" s="686"/>
      <c r="K18" s="2" t="s">
        <v>37</v>
      </c>
      <c r="L18" s="2" t="s">
        <v>40</v>
      </c>
      <c r="M18" s="2" t="str">
        <f t="shared" si="0"/>
        <v>Automobiles Cycle &amp; accessories</v>
      </c>
      <c r="N18" s="2">
        <v>10.17</v>
      </c>
      <c r="O18" s="2">
        <v>5.43</v>
      </c>
      <c r="P18" s="2"/>
    </row>
    <row r="19" spans="1:16" ht="15" customHeight="1" x14ac:dyDescent="0.2">
      <c r="A19" s="120" t="s">
        <v>238</v>
      </c>
      <c r="B19" s="681">
        <v>1</v>
      </c>
      <c r="C19" s="682"/>
      <c r="D19" s="105">
        <f>'Loan Details'!C20</f>
        <v>0</v>
      </c>
      <c r="E19" s="105">
        <f>'Loan Details'!E20</f>
        <v>0</v>
      </c>
      <c r="F19" s="686"/>
      <c r="K19" s="2" t="s">
        <v>37</v>
      </c>
      <c r="L19" s="2" t="s">
        <v>41</v>
      </c>
      <c r="M19" s="2" t="str">
        <f t="shared" si="0"/>
        <v>Automobiles Passenger &amp; commercial vehicles</v>
      </c>
      <c r="N19" s="2">
        <v>2.7</v>
      </c>
      <c r="O19" s="2">
        <v>5.43</v>
      </c>
      <c r="P19" s="2"/>
    </row>
    <row r="20" spans="1:16" ht="15" customHeight="1" x14ac:dyDescent="0.2">
      <c r="A20" s="120" t="s">
        <v>239</v>
      </c>
      <c r="B20" s="681">
        <v>1</v>
      </c>
      <c r="C20" s="682"/>
      <c r="D20" s="105">
        <f>'Loan Details'!C21</f>
        <v>0</v>
      </c>
      <c r="E20" s="105">
        <f>'Loan Details'!E21</f>
        <v>0</v>
      </c>
      <c r="F20" s="687"/>
      <c r="K20" s="2" t="s">
        <v>37</v>
      </c>
      <c r="L20" s="2" t="s">
        <v>42</v>
      </c>
      <c r="M20" s="2" t="str">
        <f t="shared" si="0"/>
        <v>Automobiles Tyres&amp; Tubes</v>
      </c>
      <c r="N20" s="2">
        <v>8.5</v>
      </c>
      <c r="O20" s="2">
        <v>5.43</v>
      </c>
      <c r="P20" s="2"/>
    </row>
    <row r="21" spans="1:16" ht="15" customHeight="1" x14ac:dyDescent="0.3">
      <c r="A21" s="675" t="s">
        <v>244</v>
      </c>
      <c r="B21" s="676"/>
      <c r="C21" s="676"/>
      <c r="D21" s="676"/>
      <c r="E21" s="676"/>
      <c r="F21" s="676"/>
      <c r="K21" s="2" t="s">
        <v>43</v>
      </c>
      <c r="L21" s="2" t="s">
        <v>44</v>
      </c>
      <c r="M21" s="2" t="str">
        <f t="shared" si="0"/>
        <v>Professional Services Architectural services &amp; interior designing service</v>
      </c>
      <c r="N21" s="2"/>
      <c r="O21" s="2"/>
      <c r="P21" s="2">
        <v>12.36</v>
      </c>
    </row>
    <row r="22" spans="1:16" ht="15" customHeight="1" x14ac:dyDescent="0.2">
      <c r="A22" s="111" t="s">
        <v>565</v>
      </c>
      <c r="B22" s="121" t="s">
        <v>7</v>
      </c>
      <c r="C22" s="121" t="s">
        <v>8</v>
      </c>
      <c r="D22" s="121" t="s">
        <v>231</v>
      </c>
      <c r="E22" s="121" t="s">
        <v>232</v>
      </c>
      <c r="F22" s="121" t="s">
        <v>233</v>
      </c>
      <c r="K22" s="2" t="s">
        <v>45</v>
      </c>
      <c r="L22" s="2" t="s">
        <v>46</v>
      </c>
      <c r="M22" s="2" t="str">
        <f t="shared" si="0"/>
        <v>Board line/ Multiline General Merchandise Stores</v>
      </c>
      <c r="N22" s="2"/>
      <c r="O22" s="2">
        <v>5.04</v>
      </c>
      <c r="P22" s="2"/>
    </row>
    <row r="23" spans="1:16" ht="15" customHeight="1" x14ac:dyDescent="0.2">
      <c r="A23" s="126" t="s">
        <v>431</v>
      </c>
      <c r="B23" s="139">
        <v>1</v>
      </c>
      <c r="C23" s="490" t="s">
        <v>561</v>
      </c>
      <c r="D23" s="105">
        <v>0</v>
      </c>
      <c r="E23" s="105">
        <v>0</v>
      </c>
      <c r="F23" s="123">
        <f>IF(C23="Annualy",E23*B23,E23*B23*12)</f>
        <v>0</v>
      </c>
      <c r="K23" s="2" t="s">
        <v>47</v>
      </c>
      <c r="L23" s="2" t="s">
        <v>48</v>
      </c>
      <c r="M23" s="2" t="str">
        <f t="shared" si="0"/>
        <v>Cement Cement Products &amp; asbestos products</v>
      </c>
      <c r="N23" s="2">
        <v>10.99</v>
      </c>
      <c r="O23" s="2">
        <v>5.04</v>
      </c>
      <c r="P23" s="2"/>
    </row>
    <row r="24" spans="1:16" ht="15" customHeight="1" x14ac:dyDescent="0.2">
      <c r="A24" s="126" t="s">
        <v>433</v>
      </c>
      <c r="B24" s="139">
        <v>1</v>
      </c>
      <c r="C24" s="490"/>
      <c r="D24" s="105">
        <v>0</v>
      </c>
      <c r="E24" s="105">
        <v>0</v>
      </c>
      <c r="F24" s="123">
        <f>IF(C23="Monthly",AVERAGE(B24*D24*12,B24*E24*12),AVERAGE(B24*D24,B24*E24))</f>
        <v>0</v>
      </c>
      <c r="K24" s="2" t="s">
        <v>49</v>
      </c>
      <c r="L24" s="2" t="s">
        <v>50</v>
      </c>
      <c r="M24" s="2" t="str">
        <f t="shared" si="0"/>
        <v>Chemicals Acids &amp; Salts</v>
      </c>
      <c r="N24" s="2">
        <v>9.48</v>
      </c>
      <c r="O24" s="2">
        <v>5.31</v>
      </c>
      <c r="P24" s="2"/>
    </row>
    <row r="25" spans="1:16" ht="15" customHeight="1" x14ac:dyDescent="0.2">
      <c r="A25" s="126" t="s">
        <v>432</v>
      </c>
      <c r="B25" s="139">
        <v>1</v>
      </c>
      <c r="C25" s="490"/>
      <c r="D25" s="105">
        <v>0</v>
      </c>
      <c r="E25" s="105">
        <v>0</v>
      </c>
      <c r="F25" s="123">
        <f>IF(C23="Monthly",AVERAGE(B25*D25*12,B25*E25*12),AVERAGE(B25*D25,B25*E25))</f>
        <v>0</v>
      </c>
      <c r="K25" s="2" t="s">
        <v>49</v>
      </c>
      <c r="L25" s="2" t="s">
        <v>52</v>
      </c>
      <c r="M25" s="2" t="str">
        <f t="shared" si="0"/>
        <v>Chemicals Chemicals including inorganic</v>
      </c>
      <c r="N25" s="2">
        <v>9.48</v>
      </c>
      <c r="O25" s="2">
        <v>5.31</v>
      </c>
      <c r="P25" s="2"/>
    </row>
    <row r="26" spans="1:16" ht="15" customHeight="1" x14ac:dyDescent="0.2">
      <c r="A26" s="111" t="s">
        <v>248</v>
      </c>
      <c r="B26" s="496">
        <f>MIN(SUM(F23:F25),1.5*F17)</f>
        <v>0</v>
      </c>
      <c r="C26" s="497"/>
      <c r="D26" s="497"/>
      <c r="E26" s="497"/>
      <c r="F26" s="497"/>
      <c r="K26" s="2" t="s">
        <v>49</v>
      </c>
      <c r="L26" s="2" t="s">
        <v>53</v>
      </c>
      <c r="M26" s="2" t="str">
        <f t="shared" si="0"/>
        <v>Chemicals Dyes &amp; pigments</v>
      </c>
      <c r="N26" s="2">
        <v>8.11</v>
      </c>
      <c r="O26" s="2">
        <v>5.31</v>
      </c>
      <c r="P26" s="2"/>
    </row>
    <row r="27" spans="1:16" ht="15" customHeight="1" x14ac:dyDescent="0.3">
      <c r="A27" s="675" t="s">
        <v>9</v>
      </c>
      <c r="B27" s="676"/>
      <c r="C27" s="676"/>
      <c r="D27" s="676"/>
      <c r="E27" s="676"/>
      <c r="F27" s="676"/>
      <c r="K27" s="2" t="s">
        <v>49</v>
      </c>
      <c r="L27" s="2" t="s">
        <v>54</v>
      </c>
      <c r="M27" s="2" t="str">
        <f t="shared" si="0"/>
        <v>Chemicals Fertilizers</v>
      </c>
      <c r="N27" s="2">
        <v>8.81</v>
      </c>
      <c r="O27" s="2">
        <v>5.31</v>
      </c>
      <c r="P27" s="2"/>
    </row>
    <row r="28" spans="1:16" ht="15" customHeight="1" x14ac:dyDescent="0.2">
      <c r="A28" s="120" t="s">
        <v>245</v>
      </c>
      <c r="B28" s="496" t="e">
        <f ca="1">B26+B14</f>
        <v>#N/A</v>
      </c>
      <c r="C28" s="497"/>
      <c r="D28" s="497"/>
      <c r="E28" s="497"/>
      <c r="F28" s="497"/>
      <c r="K28" s="2" t="s">
        <v>49</v>
      </c>
      <c r="L28" s="2" t="s">
        <v>55</v>
      </c>
      <c r="M28" s="2" t="str">
        <f t="shared" si="0"/>
        <v>Chemicals Industrial Gases</v>
      </c>
      <c r="N28" s="2">
        <v>9.48</v>
      </c>
      <c r="O28" s="2">
        <v>5.31</v>
      </c>
      <c r="P28" s="2"/>
    </row>
    <row r="29" spans="1:16" ht="15" customHeight="1" x14ac:dyDescent="0.2">
      <c r="A29" s="120" t="s">
        <v>246</v>
      </c>
      <c r="B29" s="496" t="e">
        <f ca="1">B28/12</f>
        <v>#N/A</v>
      </c>
      <c r="C29" s="497"/>
      <c r="D29" s="497"/>
      <c r="E29" s="497"/>
      <c r="F29" s="497"/>
      <c r="K29" s="2" t="s">
        <v>49</v>
      </c>
      <c r="L29" s="2" t="s">
        <v>56</v>
      </c>
      <c r="M29" s="2" t="str">
        <f t="shared" si="0"/>
        <v>Chemicals Pesticides</v>
      </c>
      <c r="N29" s="2">
        <v>7.45</v>
      </c>
      <c r="O29" s="2">
        <v>5.31</v>
      </c>
      <c r="P29" s="2"/>
    </row>
    <row r="30" spans="1:16" ht="15" customHeight="1" x14ac:dyDescent="0.2">
      <c r="A30" s="120" t="s">
        <v>10</v>
      </c>
      <c r="B30" s="496">
        <f>B9</f>
        <v>0</v>
      </c>
      <c r="C30" s="497"/>
      <c r="D30" s="497"/>
      <c r="E30" s="497"/>
      <c r="F30" s="497"/>
      <c r="K30" s="2" t="s">
        <v>49</v>
      </c>
      <c r="L30" s="2" t="s">
        <v>57</v>
      </c>
      <c r="M30" s="2" t="str">
        <f t="shared" si="0"/>
        <v>Chemicals Petrochemicals including organic</v>
      </c>
      <c r="N30" s="2">
        <v>7.15</v>
      </c>
      <c r="O30" s="2">
        <v>5.31</v>
      </c>
      <c r="P30" s="2"/>
    </row>
    <row r="31" spans="1:16" ht="15" customHeight="1" x14ac:dyDescent="0.2">
      <c r="A31" s="120" t="s">
        <v>779</v>
      </c>
      <c r="B31" s="496">
        <f>-PMT(B3/12,B4,B2)</f>
        <v>0</v>
      </c>
      <c r="C31" s="497"/>
      <c r="D31" s="497"/>
      <c r="E31" s="497"/>
      <c r="F31" s="497"/>
      <c r="K31" s="2" t="s">
        <v>49</v>
      </c>
      <c r="L31" s="2" t="s">
        <v>58</v>
      </c>
      <c r="M31" s="2" t="str">
        <f t="shared" si="0"/>
        <v>Chemicals Polymers</v>
      </c>
      <c r="N31" s="2">
        <v>6.29</v>
      </c>
      <c r="O31" s="2">
        <v>5.31</v>
      </c>
      <c r="P31" s="2"/>
    </row>
    <row r="32" spans="1:16" ht="15" customHeight="1" x14ac:dyDescent="0.2">
      <c r="A32" s="120" t="s">
        <v>778</v>
      </c>
      <c r="B32" s="677" t="e">
        <f ca="1">(B30+B31)/B29</f>
        <v>#N/A</v>
      </c>
      <c r="C32" s="678"/>
      <c r="D32" s="678"/>
      <c r="E32" s="678"/>
      <c r="F32" s="678"/>
      <c r="K32" s="2" t="s">
        <v>49</v>
      </c>
      <c r="L32" s="2" t="s">
        <v>59</v>
      </c>
      <c r="M32" s="2" t="str">
        <f t="shared" si="0"/>
        <v>Chemicals Refractories</v>
      </c>
      <c r="N32" s="2">
        <v>10.11</v>
      </c>
      <c r="O32" s="2">
        <v>5.31</v>
      </c>
      <c r="P32" s="2"/>
    </row>
    <row r="33" spans="1:17" ht="15" customHeight="1" x14ac:dyDescent="0.2">
      <c r="A33" s="120" t="s">
        <v>777</v>
      </c>
      <c r="B33" s="496" t="e">
        <f ca="1">IF(B32&gt;75%,"Not Eligible for applied Loan Amount","Eligible for applied Loan Amount")</f>
        <v>#N/A</v>
      </c>
      <c r="C33" s="497"/>
      <c r="D33" s="497"/>
      <c r="E33" s="497"/>
      <c r="F33" s="497"/>
      <c r="K33" s="2" t="s">
        <v>60</v>
      </c>
      <c r="L33" s="2" t="s">
        <v>61</v>
      </c>
      <c r="M33" s="2" t="str">
        <f t="shared" si="0"/>
        <v>Computers Computer – Education</v>
      </c>
      <c r="N33" s="2"/>
      <c r="O33" s="2"/>
      <c r="P33" s="2">
        <v>10.73</v>
      </c>
    </row>
    <row r="34" spans="1:17" ht="7.5" customHeight="1" x14ac:dyDescent="0.2">
      <c r="K34" s="2" t="s">
        <v>60</v>
      </c>
      <c r="L34" s="2" t="s">
        <v>62</v>
      </c>
      <c r="M34" s="2" t="str">
        <f t="shared" si="0"/>
        <v>Computers Computer – Software</v>
      </c>
      <c r="N34" s="2"/>
      <c r="O34" s="2"/>
      <c r="P34" s="2">
        <v>12.9</v>
      </c>
    </row>
    <row r="35" spans="1:17" ht="15" hidden="1" customHeight="1" x14ac:dyDescent="0.2">
      <c r="K35" s="2" t="s">
        <v>60</v>
      </c>
      <c r="L35" s="2" t="s">
        <v>63</v>
      </c>
      <c r="M35" s="2" t="str">
        <f t="shared" si="0"/>
        <v>Computers Computer – Electronics</v>
      </c>
      <c r="N35" s="2">
        <v>7.98</v>
      </c>
      <c r="O35" s="2">
        <v>7.98</v>
      </c>
      <c r="P35" s="2"/>
    </row>
    <row r="36" spans="1:17" ht="9" hidden="1" customHeight="1" x14ac:dyDescent="0.2">
      <c r="K36" s="2" t="s">
        <v>64</v>
      </c>
      <c r="L36" s="2" t="s">
        <v>65</v>
      </c>
      <c r="M36" s="2" t="str">
        <f t="shared" si="0"/>
        <v>Construction Ceramic Tiles &amp; Sanitary ware</v>
      </c>
      <c r="N36" s="2">
        <v>9.64</v>
      </c>
      <c r="O36" s="2">
        <v>5.04</v>
      </c>
      <c r="P36" s="2"/>
    </row>
    <row r="37" spans="1:17" ht="15" hidden="1" customHeight="1" x14ac:dyDescent="0.2">
      <c r="K37" s="2" t="s">
        <v>64</v>
      </c>
      <c r="L37" s="2" t="s">
        <v>66</v>
      </c>
      <c r="M37" s="2" t="str">
        <f t="shared" si="0"/>
        <v>Construction Commercial Complex</v>
      </c>
      <c r="N37" s="2"/>
      <c r="O37" s="2"/>
      <c r="P37" s="2">
        <v>9.65</v>
      </c>
    </row>
    <row r="38" spans="1:17" ht="15" hidden="1" customHeight="1" x14ac:dyDescent="0.2">
      <c r="K38" s="2" t="s">
        <v>64</v>
      </c>
      <c r="L38" s="2" t="s">
        <v>67</v>
      </c>
      <c r="M38" s="2" t="str">
        <f t="shared" si="0"/>
        <v>Construction Construction (Residential)</v>
      </c>
      <c r="N38" s="2"/>
      <c r="O38" s="2"/>
      <c r="P38" s="2">
        <v>13.94</v>
      </c>
    </row>
    <row r="39" spans="1:17" ht="15" hidden="1" customHeight="1" x14ac:dyDescent="0.2">
      <c r="K39" s="2" t="s">
        <v>64</v>
      </c>
      <c r="L39" s="2" t="s">
        <v>70</v>
      </c>
      <c r="M39" s="2" t="str">
        <f t="shared" si="0"/>
        <v>Construction Construction (Roads)</v>
      </c>
      <c r="N39" s="2"/>
      <c r="O39" s="2"/>
      <c r="P39" s="2">
        <v>13.01</v>
      </c>
    </row>
    <row r="40" spans="1:17" ht="15" hidden="1" customHeight="1" x14ac:dyDescent="0.2">
      <c r="K40" s="2" t="s">
        <v>71</v>
      </c>
      <c r="L40" s="2" t="s">
        <v>71</v>
      </c>
      <c r="M40" s="2" t="str">
        <f t="shared" si="0"/>
        <v>Consumer Electronics Consumer Electronics</v>
      </c>
      <c r="N40" s="2">
        <v>7.98</v>
      </c>
      <c r="O40" s="2">
        <v>7.98</v>
      </c>
      <c r="P40" s="2"/>
    </row>
    <row r="41" spans="1:17" ht="15" hidden="1" customHeight="1" x14ac:dyDescent="0.2">
      <c r="K41" s="2" t="s">
        <v>72</v>
      </c>
      <c r="L41" s="2" t="s">
        <v>73</v>
      </c>
      <c r="M41" s="2" t="str">
        <f t="shared" si="0"/>
        <v>Containers &amp; Packaging Packaging</v>
      </c>
      <c r="N41" s="2">
        <v>9.4499999999999993</v>
      </c>
      <c r="O41" s="2">
        <v>9.4499999999999993</v>
      </c>
      <c r="P41" s="2">
        <v>9.4499999999999993</v>
      </c>
      <c r="Q41" s="3" t="e">
        <f>PMT(#REF!/12,#REF!,-#REF!)</f>
        <v>#REF!</v>
      </c>
    </row>
    <row r="42" spans="1:17" ht="15" hidden="1" customHeight="1" x14ac:dyDescent="0.2">
      <c r="K42" s="2" t="s">
        <v>74</v>
      </c>
      <c r="L42" s="2" t="s">
        <v>75</v>
      </c>
      <c r="M42" s="2" t="str">
        <f t="shared" si="0"/>
        <v>Durables Hardware, Plumbing &amp; Heating Equipment</v>
      </c>
      <c r="N42" s="2">
        <v>6.94</v>
      </c>
      <c r="O42" s="2">
        <v>6.94</v>
      </c>
      <c r="P42" s="2">
        <v>6.94</v>
      </c>
    </row>
    <row r="43" spans="1:17" ht="15" hidden="1" customHeight="1" x14ac:dyDescent="0.2">
      <c r="K43" s="2" t="s">
        <v>76</v>
      </c>
      <c r="L43" s="2" t="s">
        <v>77</v>
      </c>
      <c r="M43" s="2" t="str">
        <f t="shared" si="0"/>
        <v>Electronics Domestic Appliances &amp; Machinery</v>
      </c>
      <c r="N43" s="2">
        <v>8.58</v>
      </c>
      <c r="O43" s="2">
        <v>8.58</v>
      </c>
      <c r="P43" s="2"/>
    </row>
    <row r="44" spans="1:17" ht="15" hidden="1" customHeight="1" x14ac:dyDescent="0.2">
      <c r="K44" s="2" t="s">
        <v>78</v>
      </c>
      <c r="L44" s="2" t="s">
        <v>79</v>
      </c>
      <c r="M44" s="2" t="str">
        <f t="shared" si="0"/>
        <v>Entertainments &amp; Leisure Hotels &amp; Restaurants</v>
      </c>
      <c r="N44" s="2"/>
      <c r="O44" s="2"/>
      <c r="P44" s="2">
        <v>18.14</v>
      </c>
    </row>
    <row r="45" spans="1:17" ht="15" hidden="1" customHeight="1" x14ac:dyDescent="0.2">
      <c r="K45" s="2" t="s">
        <v>78</v>
      </c>
      <c r="L45" s="2" t="s">
        <v>80</v>
      </c>
      <c r="M45" s="2" t="str">
        <f t="shared" si="0"/>
        <v>Entertainments &amp; Leisure Recreation &amp; Amusement Parks</v>
      </c>
      <c r="N45" s="2"/>
      <c r="O45" s="2"/>
      <c r="P45" s="2">
        <v>10.38</v>
      </c>
    </row>
    <row r="46" spans="1:17" ht="15" hidden="1" customHeight="1" x14ac:dyDescent="0.2">
      <c r="K46" s="2" t="s">
        <v>78</v>
      </c>
      <c r="L46" s="2" t="s">
        <v>81</v>
      </c>
      <c r="M46" s="2" t="str">
        <f t="shared" si="0"/>
        <v>Entertainments &amp; Leisure Travel Services</v>
      </c>
      <c r="N46" s="2"/>
      <c r="O46" s="2"/>
      <c r="P46" s="2">
        <v>5.4</v>
      </c>
    </row>
    <row r="47" spans="1:17" ht="15" hidden="1" customHeight="1" x14ac:dyDescent="0.2">
      <c r="K47" s="2" t="s">
        <v>82</v>
      </c>
      <c r="L47" s="2" t="s">
        <v>82</v>
      </c>
      <c r="M47" s="2" t="str">
        <f t="shared" si="0"/>
        <v>FMCG FMCG</v>
      </c>
      <c r="N47" s="2">
        <v>7.6</v>
      </c>
      <c r="O47" s="2">
        <v>5.04</v>
      </c>
      <c r="P47" s="2"/>
    </row>
    <row r="48" spans="1:17" ht="15" hidden="1" customHeight="1" x14ac:dyDescent="0.2">
      <c r="K48" s="2" t="s">
        <v>83</v>
      </c>
      <c r="L48" s="2" t="s">
        <v>84</v>
      </c>
      <c r="M48" s="2" t="str">
        <f t="shared" si="0"/>
        <v>Food and Beverages Beer, Wine &amp;Distilled Alcoholic Beverages</v>
      </c>
      <c r="N48" s="2">
        <v>7.17</v>
      </c>
      <c r="O48" s="2">
        <v>3.95</v>
      </c>
      <c r="P48" s="2"/>
    </row>
    <row r="49" spans="11:16" ht="15" hidden="1" customHeight="1" x14ac:dyDescent="0.2">
      <c r="K49" s="2" t="s">
        <v>83</v>
      </c>
      <c r="L49" s="2" t="s">
        <v>85</v>
      </c>
      <c r="M49" s="2" t="str">
        <f t="shared" si="0"/>
        <v>Food and Beverages Processed/Packaged, foods/foods &amp; beverages products (other than poultry meat)</v>
      </c>
      <c r="N49" s="2">
        <v>6.49</v>
      </c>
      <c r="O49" s="2">
        <v>3.95</v>
      </c>
      <c r="P49" s="2"/>
    </row>
    <row r="50" spans="11:16" ht="15" hidden="1" customHeight="1" x14ac:dyDescent="0.2">
      <c r="K50" s="2" t="s">
        <v>83</v>
      </c>
      <c r="L50" s="2" t="s">
        <v>86</v>
      </c>
      <c r="M50" s="2" t="str">
        <f t="shared" si="0"/>
        <v>Food and Beverages Soft Drinks</v>
      </c>
      <c r="N50" s="2">
        <v>7.17</v>
      </c>
      <c r="O50" s="2">
        <v>3.95</v>
      </c>
      <c r="P50" s="2"/>
    </row>
    <row r="51" spans="11:16" ht="15" hidden="1" customHeight="1" x14ac:dyDescent="0.2">
      <c r="K51" s="2" t="s">
        <v>87</v>
      </c>
      <c r="L51" s="2" t="s">
        <v>88</v>
      </c>
      <c r="M51" s="2" t="str">
        <f t="shared" si="0"/>
        <v>Food Processing Bakery products</v>
      </c>
      <c r="N51" s="2">
        <v>4.34</v>
      </c>
      <c r="O51" s="2">
        <v>3.95</v>
      </c>
      <c r="P51" s="2"/>
    </row>
    <row r="52" spans="11:16" ht="15" hidden="1" customHeight="1" x14ac:dyDescent="0.2">
      <c r="K52" s="2" t="s">
        <v>89</v>
      </c>
      <c r="L52" s="2" t="s">
        <v>90</v>
      </c>
      <c r="M52" s="2" t="str">
        <f t="shared" si="0"/>
        <v>Food Products Dairy products</v>
      </c>
      <c r="N52" s="2">
        <v>5.33</v>
      </c>
      <c r="O52" s="2">
        <v>3.95</v>
      </c>
      <c r="P52" s="2"/>
    </row>
    <row r="53" spans="11:16" ht="15" hidden="1" customHeight="1" x14ac:dyDescent="0.2">
      <c r="K53" s="2" t="s">
        <v>89</v>
      </c>
      <c r="L53" s="2" t="s">
        <v>91</v>
      </c>
      <c r="M53" s="2" t="str">
        <f t="shared" si="0"/>
        <v>Food Products Marine foods</v>
      </c>
      <c r="N53" s="2">
        <v>9.42</v>
      </c>
      <c r="O53" s="2">
        <v>3.95</v>
      </c>
      <c r="P53" s="2"/>
    </row>
    <row r="54" spans="11:16" ht="15" hidden="1" customHeight="1" x14ac:dyDescent="0.2">
      <c r="K54" s="2" t="s">
        <v>89</v>
      </c>
      <c r="L54" s="2" t="s">
        <v>92</v>
      </c>
      <c r="M54" s="2" t="str">
        <f t="shared" si="0"/>
        <v>Food Products Milling products</v>
      </c>
      <c r="N54" s="2">
        <v>3.4</v>
      </c>
      <c r="O54" s="2">
        <v>3.95</v>
      </c>
      <c r="P54" s="2"/>
    </row>
    <row r="55" spans="11:16" ht="15" hidden="1" customHeight="1" x14ac:dyDescent="0.2">
      <c r="K55" s="2" t="s">
        <v>89</v>
      </c>
      <c r="L55" s="2" t="s">
        <v>93</v>
      </c>
      <c r="M55" s="2" t="str">
        <f t="shared" si="0"/>
        <v>Food Products Rice</v>
      </c>
      <c r="N55" s="2">
        <v>4.8899999999999997</v>
      </c>
      <c r="O55" s="2">
        <v>3.95</v>
      </c>
      <c r="P55" s="2"/>
    </row>
    <row r="56" spans="11:16" ht="15" hidden="1" customHeight="1" x14ac:dyDescent="0.2">
      <c r="K56" s="2" t="s">
        <v>89</v>
      </c>
      <c r="L56" s="2" t="s">
        <v>94</v>
      </c>
      <c r="M56" s="2" t="str">
        <f t="shared" si="0"/>
        <v>Food Products Soya bean products</v>
      </c>
      <c r="N56" s="2">
        <v>6.64</v>
      </c>
      <c r="O56" s="2">
        <v>3.95</v>
      </c>
      <c r="P56" s="2"/>
    </row>
    <row r="57" spans="11:16" ht="15" hidden="1" customHeight="1" x14ac:dyDescent="0.2">
      <c r="K57" s="2" t="s">
        <v>95</v>
      </c>
      <c r="L57" s="2" t="s">
        <v>96</v>
      </c>
      <c r="M57" s="2" t="str">
        <f t="shared" si="0"/>
        <v>Granite / Marbles Granite</v>
      </c>
      <c r="N57" s="2">
        <v>11.15</v>
      </c>
      <c r="O57" s="2">
        <v>5.8</v>
      </c>
      <c r="P57" s="2"/>
    </row>
    <row r="58" spans="11:16" ht="15" hidden="1" customHeight="1" x14ac:dyDescent="0.2">
      <c r="K58" s="2" t="s">
        <v>97</v>
      </c>
      <c r="L58" s="2" t="s">
        <v>98</v>
      </c>
      <c r="M58" s="2" t="str">
        <f t="shared" si="0"/>
        <v>Hardware Equipment Office Equipment</v>
      </c>
      <c r="N58" s="2">
        <v>7.98</v>
      </c>
      <c r="O58" s="2">
        <v>7.98</v>
      </c>
      <c r="P58" s="2"/>
    </row>
    <row r="59" spans="11:16" ht="15" hidden="1" customHeight="1" x14ac:dyDescent="0.2">
      <c r="K59" s="2" t="s">
        <v>99</v>
      </c>
      <c r="L59" s="2" t="s">
        <v>100</v>
      </c>
      <c r="M59" s="2" t="str">
        <f t="shared" si="0"/>
        <v>Healthcare Medical &amp; Health Services/Diagnostic center</v>
      </c>
      <c r="N59" s="2"/>
      <c r="O59" s="2"/>
      <c r="P59" s="2">
        <v>18.5</v>
      </c>
    </row>
    <row r="60" spans="11:16" ht="15" hidden="1" customHeight="1" x14ac:dyDescent="0.2">
      <c r="K60" s="2" t="s">
        <v>99</v>
      </c>
      <c r="L60" s="2" t="s">
        <v>101</v>
      </c>
      <c r="M60" s="2" t="str">
        <f t="shared" si="0"/>
        <v>Healthcare Medical Equipment &amp; medical supplies</v>
      </c>
      <c r="N60" s="2">
        <v>8.8000000000000007</v>
      </c>
      <c r="O60" s="2">
        <v>8.8000000000000007</v>
      </c>
      <c r="P60" s="2"/>
    </row>
    <row r="61" spans="11:16" ht="15" hidden="1" customHeight="1" x14ac:dyDescent="0.2">
      <c r="K61" s="2" t="s">
        <v>102</v>
      </c>
      <c r="L61" s="2" t="s">
        <v>103</v>
      </c>
      <c r="M61" s="2" t="str">
        <f t="shared" si="0"/>
        <v>Healthcare Providers Diagnostic centers</v>
      </c>
      <c r="N61" s="2"/>
      <c r="O61" s="2"/>
      <c r="P61" s="2">
        <v>18.5</v>
      </c>
    </row>
    <row r="62" spans="11:16" ht="15" hidden="1" customHeight="1" x14ac:dyDescent="0.2">
      <c r="K62" s="2" t="s">
        <v>102</v>
      </c>
      <c r="L62" s="2" t="s">
        <v>104</v>
      </c>
      <c r="M62" s="2" t="str">
        <f t="shared" ref="M62:M125" si="1">K62&amp;" "&amp;L62</f>
        <v>Healthcare Providers Drugs&amp;Pharmaceuticals</v>
      </c>
      <c r="N62" s="2">
        <v>11.15</v>
      </c>
      <c r="O62" s="2">
        <v>5.65</v>
      </c>
      <c r="P62" s="2"/>
    </row>
    <row r="63" spans="11:16" ht="15" hidden="1" customHeight="1" x14ac:dyDescent="0.2">
      <c r="K63" s="2" t="s">
        <v>102</v>
      </c>
      <c r="L63" s="2" t="s">
        <v>105</v>
      </c>
      <c r="M63" s="2" t="str">
        <f t="shared" si="1"/>
        <v>Healthcare Providers Hospitals</v>
      </c>
      <c r="N63" s="2"/>
      <c r="O63" s="2"/>
      <c r="P63" s="2">
        <v>13.41</v>
      </c>
    </row>
    <row r="64" spans="11:16" ht="15" hidden="1" customHeight="1" x14ac:dyDescent="0.2">
      <c r="K64" s="2" t="s">
        <v>106</v>
      </c>
      <c r="L64" s="2" t="s">
        <v>107</v>
      </c>
      <c r="M64" s="2" t="str">
        <f t="shared" si="1"/>
        <v>Household Products Detergents &amp; intermediates</v>
      </c>
      <c r="N64" s="2">
        <v>7.6</v>
      </c>
      <c r="O64" s="2">
        <v>5.04</v>
      </c>
      <c r="P64" s="2"/>
    </row>
    <row r="65" spans="11:16" ht="15" hidden="1" customHeight="1" x14ac:dyDescent="0.2">
      <c r="K65" s="2" t="s">
        <v>106</v>
      </c>
      <c r="L65" s="2" t="s">
        <v>108</v>
      </c>
      <c r="M65" s="2" t="str">
        <f t="shared" si="1"/>
        <v>Household Products Electronics Equipment</v>
      </c>
      <c r="N65" s="2">
        <v>8.58</v>
      </c>
      <c r="O65" s="2">
        <v>8.58</v>
      </c>
      <c r="P65" s="2"/>
    </row>
    <row r="66" spans="11:16" ht="15" hidden="1" customHeight="1" x14ac:dyDescent="0.2">
      <c r="K66" s="2" t="s">
        <v>106</v>
      </c>
      <c r="L66" s="2" t="s">
        <v>109</v>
      </c>
      <c r="M66" s="2" t="str">
        <f t="shared" si="1"/>
        <v>Household Products non - electrical machinery</v>
      </c>
      <c r="N66" s="2"/>
      <c r="O66" s="2"/>
      <c r="P66" s="2"/>
    </row>
    <row r="67" spans="11:16" ht="15" hidden="1" customHeight="1" x14ac:dyDescent="0.2">
      <c r="K67" s="2" t="s">
        <v>106</v>
      </c>
      <c r="L67" s="2" t="s">
        <v>110</v>
      </c>
      <c r="M67" s="2" t="str">
        <f t="shared" si="1"/>
        <v>Household Products Personal Care</v>
      </c>
      <c r="N67" s="2">
        <v>7.6</v>
      </c>
      <c r="O67" s="2">
        <v>5.04</v>
      </c>
      <c r="P67" s="2"/>
    </row>
    <row r="68" spans="11:16" ht="15" hidden="1" customHeight="1" x14ac:dyDescent="0.2">
      <c r="K68" s="2" t="s">
        <v>111</v>
      </c>
      <c r="L68" s="2" t="s">
        <v>112</v>
      </c>
      <c r="M68" s="2" t="str">
        <f t="shared" si="1"/>
        <v>Industrial Equipment Abrasives &amp; Grinding</v>
      </c>
      <c r="N68" s="2">
        <v>8.2200000000000006</v>
      </c>
      <c r="O68" s="2">
        <v>8.2200000000000006</v>
      </c>
      <c r="P68" s="2"/>
    </row>
    <row r="69" spans="11:16" ht="15" hidden="1" customHeight="1" x14ac:dyDescent="0.2">
      <c r="K69" s="2" t="s">
        <v>111</v>
      </c>
      <c r="L69" s="2" t="s">
        <v>113</v>
      </c>
      <c r="M69" s="2" t="str">
        <f t="shared" si="1"/>
        <v>Industrial Equipment Bearings</v>
      </c>
      <c r="N69" s="2">
        <v>11.78</v>
      </c>
      <c r="O69" s="2">
        <v>11.78</v>
      </c>
      <c r="P69" s="2"/>
    </row>
    <row r="70" spans="11:16" ht="15" hidden="1" customHeight="1" x14ac:dyDescent="0.2">
      <c r="K70" s="2" t="s">
        <v>111</v>
      </c>
      <c r="L70" s="2" t="s">
        <v>114</v>
      </c>
      <c r="M70" s="2" t="str">
        <f t="shared" si="1"/>
        <v>Industrial Equipment Compressors</v>
      </c>
      <c r="N70" s="2">
        <v>11.94</v>
      </c>
      <c r="O70" s="2">
        <v>11.94</v>
      </c>
      <c r="P70" s="2"/>
    </row>
    <row r="71" spans="11:16" ht="15" hidden="1" customHeight="1" x14ac:dyDescent="0.2">
      <c r="K71" s="2" t="s">
        <v>111</v>
      </c>
      <c r="L71" s="2" t="s">
        <v>115</v>
      </c>
      <c r="M71" s="2" t="str">
        <f t="shared" si="1"/>
        <v>Industrial Equipment Electrical Equipment’s/Railway equipment</v>
      </c>
      <c r="N71" s="2">
        <v>10.36</v>
      </c>
      <c r="O71" s="2">
        <v>5.1100000000000003</v>
      </c>
      <c r="P71" s="2"/>
    </row>
    <row r="72" spans="11:16" ht="15" hidden="1" customHeight="1" x14ac:dyDescent="0.2">
      <c r="K72" s="2" t="s">
        <v>111</v>
      </c>
      <c r="L72" s="2" t="s">
        <v>116</v>
      </c>
      <c r="M72" s="2" t="str">
        <f t="shared" si="1"/>
        <v>Industrial Equipment Welding electrodes / sticks / wires / fluxes welding related only</v>
      </c>
      <c r="N72" s="2">
        <v>10.62</v>
      </c>
      <c r="O72" s="2">
        <v>10.62</v>
      </c>
      <c r="P72" s="2"/>
    </row>
    <row r="73" spans="11:16" ht="15" hidden="1" customHeight="1" x14ac:dyDescent="0.2">
      <c r="K73" s="2" t="s">
        <v>111</v>
      </c>
      <c r="L73" s="2" t="s">
        <v>117</v>
      </c>
      <c r="M73" s="2" t="str">
        <f t="shared" si="1"/>
        <v>Industrial Equipment Engines</v>
      </c>
      <c r="N73" s="2">
        <v>8.2799999999999994</v>
      </c>
      <c r="O73" s="2">
        <v>8.2799999999999994</v>
      </c>
      <c r="P73" s="2"/>
    </row>
    <row r="74" spans="11:16" ht="15" hidden="1" customHeight="1" x14ac:dyDescent="0.2">
      <c r="K74" s="2" t="s">
        <v>111</v>
      </c>
      <c r="L74" s="2" t="s">
        <v>118</v>
      </c>
      <c r="M74" s="2" t="str">
        <f t="shared" si="1"/>
        <v>Industrial Equipment Fasteners</v>
      </c>
      <c r="N74" s="2">
        <v>11.57</v>
      </c>
      <c r="O74" s="2">
        <v>11.57</v>
      </c>
      <c r="P74" s="2"/>
    </row>
    <row r="75" spans="11:16" ht="15" hidden="1" customHeight="1" x14ac:dyDescent="0.2">
      <c r="K75" s="2" t="s">
        <v>111</v>
      </c>
      <c r="L75" s="2" t="s">
        <v>119</v>
      </c>
      <c r="M75" s="2" t="str">
        <f t="shared" si="1"/>
        <v>Industrial Equipment Industrial furnaces</v>
      </c>
      <c r="N75" s="2">
        <v>2.12</v>
      </c>
      <c r="O75" s="2">
        <v>2.12</v>
      </c>
      <c r="P75" s="2"/>
    </row>
    <row r="76" spans="11:16" ht="15" hidden="1" customHeight="1" x14ac:dyDescent="0.2">
      <c r="K76" s="2" t="s">
        <v>111</v>
      </c>
      <c r="L76" s="2" t="s">
        <v>120</v>
      </c>
      <c r="M76" s="2" t="str">
        <f t="shared" si="1"/>
        <v>Industrial Equipment Industrial machinery (All Types)</v>
      </c>
      <c r="N76" s="2">
        <v>10.36</v>
      </c>
      <c r="O76" s="2">
        <v>5.1100000000000003</v>
      </c>
      <c r="P76" s="2"/>
    </row>
    <row r="77" spans="11:16" ht="15" hidden="1" customHeight="1" x14ac:dyDescent="0.2">
      <c r="K77" s="2" t="s">
        <v>111</v>
      </c>
      <c r="L77" s="2" t="s">
        <v>121</v>
      </c>
      <c r="M77" s="2" t="str">
        <f t="shared" si="1"/>
        <v>Industrial Equipment Machine Tools</v>
      </c>
      <c r="N77" s="2">
        <v>9.2100000000000009</v>
      </c>
      <c r="O77" s="2">
        <v>9.2100000000000009</v>
      </c>
      <c r="P77" s="2"/>
    </row>
    <row r="78" spans="11:16" ht="15" hidden="1" customHeight="1" x14ac:dyDescent="0.2">
      <c r="K78" s="2" t="s">
        <v>111</v>
      </c>
      <c r="L78" s="2" t="s">
        <v>122</v>
      </c>
      <c r="M78" s="2" t="str">
        <f t="shared" si="1"/>
        <v>Industrial Equipment Motors &amp; generators</v>
      </c>
      <c r="N78" s="2">
        <v>10.36</v>
      </c>
      <c r="O78" s="2">
        <v>5.1100000000000003</v>
      </c>
      <c r="P78" s="2"/>
    </row>
    <row r="79" spans="11:16" ht="15" hidden="1" customHeight="1" x14ac:dyDescent="0.2">
      <c r="K79" s="2" t="s">
        <v>111</v>
      </c>
      <c r="L79" s="2" t="s">
        <v>123</v>
      </c>
      <c r="M79" s="2" t="str">
        <f t="shared" si="1"/>
        <v>Industrial Equipment Power transmission line services</v>
      </c>
      <c r="N79" s="2"/>
      <c r="O79" s="2"/>
      <c r="P79" s="2">
        <v>12.91</v>
      </c>
    </row>
    <row r="80" spans="11:16" ht="15" hidden="1" customHeight="1" x14ac:dyDescent="0.2">
      <c r="K80" s="2" t="s">
        <v>111</v>
      </c>
      <c r="L80" s="2" t="s">
        <v>124</v>
      </c>
      <c r="M80" s="2" t="str">
        <f t="shared" si="1"/>
        <v>Industrial Equipment Pumps</v>
      </c>
      <c r="N80" s="2">
        <v>12.81</v>
      </c>
      <c r="O80" s="2">
        <v>12.81</v>
      </c>
      <c r="P80" s="2"/>
    </row>
    <row r="81" spans="11:16" ht="15" hidden="1" customHeight="1" x14ac:dyDescent="0.2">
      <c r="K81" s="2" t="s">
        <v>111</v>
      </c>
      <c r="L81" s="2" t="s">
        <v>125</v>
      </c>
      <c r="M81" s="2" t="str">
        <f t="shared" si="1"/>
        <v>Industrial Equipment Storage batteries</v>
      </c>
      <c r="N81" s="2">
        <v>7.75</v>
      </c>
      <c r="O81" s="2">
        <v>7.75</v>
      </c>
      <c r="P81" s="2"/>
    </row>
    <row r="82" spans="11:16" ht="15" hidden="1" customHeight="1" x14ac:dyDescent="0.2">
      <c r="K82" s="2" t="s">
        <v>111</v>
      </c>
      <c r="L82" s="2" t="s">
        <v>126</v>
      </c>
      <c r="M82" s="2" t="str">
        <f t="shared" si="1"/>
        <v>Industrial Equipment Structure’s</v>
      </c>
      <c r="N82" s="2">
        <v>6.6</v>
      </c>
      <c r="O82" s="2">
        <v>6.6</v>
      </c>
      <c r="P82" s="2"/>
    </row>
    <row r="83" spans="11:16" ht="15" hidden="1" customHeight="1" x14ac:dyDescent="0.2">
      <c r="K83" s="2" t="s">
        <v>111</v>
      </c>
      <c r="L83" s="2" t="s">
        <v>127</v>
      </c>
      <c r="M83" s="2" t="str">
        <f t="shared" si="1"/>
        <v>Industrial Equipment Switching apparatus</v>
      </c>
      <c r="N83" s="2">
        <v>9.91</v>
      </c>
      <c r="O83" s="2">
        <v>9.91</v>
      </c>
      <c r="P83" s="2"/>
    </row>
    <row r="84" spans="11:16" ht="15" hidden="1" customHeight="1" x14ac:dyDescent="0.2">
      <c r="K84" s="2" t="s">
        <v>111</v>
      </c>
      <c r="L84" s="2" t="s">
        <v>128</v>
      </c>
      <c r="M84" s="2" t="str">
        <f t="shared" si="1"/>
        <v>Industrial Equipment Transformers</v>
      </c>
      <c r="N84" s="2">
        <v>7.13</v>
      </c>
      <c r="O84" s="2">
        <v>7.13</v>
      </c>
      <c r="P84" s="2"/>
    </row>
    <row r="85" spans="11:16" ht="15" hidden="1" customHeight="1" x14ac:dyDescent="0.2">
      <c r="K85" s="2" t="s">
        <v>129</v>
      </c>
      <c r="L85" s="2" t="s">
        <v>130</v>
      </c>
      <c r="M85" s="2" t="str">
        <f t="shared" si="1"/>
        <v>Jewelry Gems &amp;Jewelry</v>
      </c>
      <c r="N85" s="2">
        <v>6.61</v>
      </c>
      <c r="O85" s="2">
        <v>6.61</v>
      </c>
      <c r="P85" s="2"/>
    </row>
    <row r="86" spans="11:16" ht="15" hidden="1" customHeight="1" x14ac:dyDescent="0.2">
      <c r="K86" s="2" t="s">
        <v>131</v>
      </c>
      <c r="L86" s="2" t="s">
        <v>132</v>
      </c>
      <c r="M86" s="2" t="str">
        <f t="shared" si="1"/>
        <v>Media Advertising</v>
      </c>
      <c r="N86" s="2"/>
      <c r="O86" s="2"/>
      <c r="P86" s="2">
        <v>12.47</v>
      </c>
    </row>
    <row r="87" spans="11:16" ht="15" hidden="1" customHeight="1" x14ac:dyDescent="0.2">
      <c r="K87" s="2" t="s">
        <v>131</v>
      </c>
      <c r="L87" s="2" t="s">
        <v>133</v>
      </c>
      <c r="M87" s="2" t="str">
        <f t="shared" si="1"/>
        <v>Media Animation Content Provider</v>
      </c>
      <c r="N87" s="2"/>
      <c r="O87" s="2"/>
      <c r="P87" s="2">
        <v>12.9</v>
      </c>
    </row>
    <row r="88" spans="11:16" ht="15" hidden="1" customHeight="1" x14ac:dyDescent="0.2">
      <c r="K88" s="2" t="s">
        <v>131</v>
      </c>
      <c r="L88" s="2" t="s">
        <v>134</v>
      </c>
      <c r="M88" s="2" t="str">
        <f t="shared" si="1"/>
        <v>Media Cable and other pay television services</v>
      </c>
      <c r="N88" s="2"/>
      <c r="O88" s="2"/>
      <c r="P88" s="2">
        <v>9.06</v>
      </c>
    </row>
    <row r="89" spans="11:16" ht="15" hidden="1" customHeight="1" x14ac:dyDescent="0.2">
      <c r="K89" s="2" t="s">
        <v>131</v>
      </c>
      <c r="L89" s="2" t="s">
        <v>135</v>
      </c>
      <c r="M89" s="2" t="str">
        <f t="shared" si="1"/>
        <v>Media Printing</v>
      </c>
      <c r="N89" s="2"/>
      <c r="O89" s="2"/>
      <c r="P89" s="2">
        <v>11.95</v>
      </c>
    </row>
    <row r="90" spans="11:16" ht="15" hidden="1" customHeight="1" x14ac:dyDescent="0.2">
      <c r="K90" s="2" t="s">
        <v>131</v>
      </c>
      <c r="L90" s="2" t="s">
        <v>136</v>
      </c>
      <c r="M90" s="2" t="str">
        <f t="shared" si="1"/>
        <v>Media Publishing</v>
      </c>
      <c r="N90" s="2"/>
      <c r="O90" s="2"/>
      <c r="P90" s="2">
        <v>11.95</v>
      </c>
    </row>
    <row r="91" spans="11:16" ht="15" hidden="1" customHeight="1" x14ac:dyDescent="0.2">
      <c r="K91" s="2" t="s">
        <v>137</v>
      </c>
      <c r="L91" s="2" t="s">
        <v>138</v>
      </c>
      <c r="M91" s="2" t="str">
        <f t="shared" si="1"/>
        <v>Metals Aluminum&amp;Aluminum Products (Manufacturer)</v>
      </c>
      <c r="N91" s="2">
        <v>7.6</v>
      </c>
      <c r="O91" s="2">
        <v>3</v>
      </c>
      <c r="P91" s="2"/>
    </row>
    <row r="92" spans="11:16" ht="15" hidden="1" customHeight="1" x14ac:dyDescent="0.2">
      <c r="K92" s="2" t="s">
        <v>137</v>
      </c>
      <c r="L92" s="2" t="s">
        <v>139</v>
      </c>
      <c r="M92" s="2" t="str">
        <f t="shared" si="1"/>
        <v>Metals Castings &amp; forgings</v>
      </c>
      <c r="N92" s="2">
        <v>10.64</v>
      </c>
      <c r="O92" s="2">
        <v>3</v>
      </c>
      <c r="P92" s="2"/>
    </row>
    <row r="93" spans="11:16" ht="15" hidden="1" customHeight="1" x14ac:dyDescent="0.2">
      <c r="K93" s="2" t="s">
        <v>137</v>
      </c>
      <c r="L93" s="2" t="s">
        <v>140</v>
      </c>
      <c r="M93" s="2" t="str">
        <f t="shared" si="1"/>
        <v>Metals Copper &amp; copper products (other than wire)</v>
      </c>
      <c r="N93" s="2">
        <v>7.13</v>
      </c>
      <c r="O93" s="2">
        <v>3</v>
      </c>
      <c r="P93" s="2"/>
    </row>
    <row r="94" spans="11:16" ht="15" hidden="1" customHeight="1" x14ac:dyDescent="0.2">
      <c r="K94" s="2" t="s">
        <v>137</v>
      </c>
      <c r="L94" s="2" t="s">
        <v>141</v>
      </c>
      <c r="M94" s="2" t="str">
        <f t="shared" si="1"/>
        <v>Metals Ferro alloys, ferrous metals &amp; Pig iron</v>
      </c>
      <c r="N94" s="2">
        <v>7.51</v>
      </c>
      <c r="O94" s="2">
        <v>3</v>
      </c>
      <c r="P94" s="2"/>
    </row>
    <row r="95" spans="11:16" ht="15" hidden="1" customHeight="1" x14ac:dyDescent="0.2">
      <c r="K95" s="2" t="s">
        <v>137</v>
      </c>
      <c r="L95" s="2" t="s">
        <v>142</v>
      </c>
      <c r="M95" s="2" t="str">
        <f t="shared" si="1"/>
        <v>Metals Other non-metallic mineral products</v>
      </c>
      <c r="N95" s="2">
        <v>7.57</v>
      </c>
      <c r="O95" s="2">
        <v>3</v>
      </c>
      <c r="P95" s="2"/>
    </row>
    <row r="96" spans="11:16" ht="15" hidden="1" customHeight="1" x14ac:dyDescent="0.2">
      <c r="K96" s="2" t="s">
        <v>137</v>
      </c>
      <c r="L96" s="2" t="s">
        <v>143</v>
      </c>
      <c r="M96" s="2" t="str">
        <f t="shared" si="1"/>
        <v>Metals Metal Products (other than Steel, Aluminum and Copper) finished metal product only</v>
      </c>
      <c r="N96" s="2">
        <v>9.17</v>
      </c>
      <c r="O96" s="2">
        <v>3</v>
      </c>
      <c r="P96" s="2"/>
    </row>
    <row r="97" spans="11:16" ht="15" hidden="1" customHeight="1" x14ac:dyDescent="0.2">
      <c r="K97" s="2" t="s">
        <v>137</v>
      </c>
      <c r="L97" s="2" t="s">
        <v>144</v>
      </c>
      <c r="M97" s="2" t="str">
        <f t="shared" si="1"/>
        <v>Metals Metallic ores</v>
      </c>
      <c r="N97" s="2">
        <v>9.25</v>
      </c>
      <c r="O97" s="2">
        <v>3</v>
      </c>
      <c r="P97" s="2"/>
    </row>
    <row r="98" spans="11:16" ht="15" hidden="1" customHeight="1" x14ac:dyDescent="0.2">
      <c r="K98" s="2" t="s">
        <v>137</v>
      </c>
      <c r="L98" s="2" t="s">
        <v>145</v>
      </c>
      <c r="M98" s="2" t="str">
        <f t="shared" si="1"/>
        <v>Metals Other non-ferrous metals/Other non-metallic</v>
      </c>
      <c r="N98" s="2"/>
      <c r="O98" s="2">
        <v>3</v>
      </c>
      <c r="P98" s="2"/>
    </row>
    <row r="99" spans="11:16" ht="15" hidden="1" customHeight="1" x14ac:dyDescent="0.2">
      <c r="K99" s="2" t="s">
        <v>137</v>
      </c>
      <c r="L99" s="2" t="s">
        <v>146</v>
      </c>
      <c r="M99" s="2" t="str">
        <f t="shared" si="1"/>
        <v>Metals Rolled coils and rolled products</v>
      </c>
      <c r="N99" s="2">
        <v>6.67</v>
      </c>
      <c r="O99" s="2">
        <v>3</v>
      </c>
      <c r="P99" s="2"/>
    </row>
    <row r="100" spans="11:16" ht="15" hidden="1" customHeight="1" x14ac:dyDescent="0.2">
      <c r="K100" s="2" t="s">
        <v>137</v>
      </c>
      <c r="L100" s="2" t="s">
        <v>147</v>
      </c>
      <c r="M100" s="2" t="str">
        <f t="shared" si="1"/>
        <v>Metals Tubes and pipes</v>
      </c>
      <c r="N100" s="2">
        <v>6.67</v>
      </c>
      <c r="O100" s="2">
        <v>3</v>
      </c>
      <c r="P100" s="2"/>
    </row>
    <row r="101" spans="11:16" ht="15" hidden="1" customHeight="1" x14ac:dyDescent="0.2">
      <c r="K101" s="2" t="s">
        <v>137</v>
      </c>
      <c r="L101" s="2" t="s">
        <v>148</v>
      </c>
      <c r="M101" s="2" t="str">
        <f t="shared" si="1"/>
        <v>Metals Wires and cables</v>
      </c>
      <c r="N101" s="2">
        <v>5</v>
      </c>
      <c r="O101" s="2">
        <v>3</v>
      </c>
      <c r="P101" s="2"/>
    </row>
    <row r="102" spans="11:16" ht="15" hidden="1" customHeight="1" x14ac:dyDescent="0.2">
      <c r="K102" s="2" t="s">
        <v>149</v>
      </c>
      <c r="L102" s="2" t="s">
        <v>150</v>
      </c>
      <c r="M102" s="2" t="str">
        <f t="shared" si="1"/>
        <v>Mining Coal and Lignite</v>
      </c>
      <c r="N102" s="2">
        <v>8.06</v>
      </c>
      <c r="O102" s="2">
        <v>3.84</v>
      </c>
      <c r="P102" s="2"/>
    </row>
    <row r="103" spans="11:16" ht="15" hidden="1" customHeight="1" x14ac:dyDescent="0.2">
      <c r="K103" s="2" t="s">
        <v>149</v>
      </c>
      <c r="L103" s="2" t="s">
        <v>151</v>
      </c>
      <c r="M103" s="2" t="str">
        <f t="shared" si="1"/>
        <v>Mining Minerals</v>
      </c>
      <c r="N103" s="2">
        <v>11.25</v>
      </c>
      <c r="O103" s="2">
        <v>3.84</v>
      </c>
      <c r="P103" s="2"/>
    </row>
    <row r="104" spans="11:16" ht="15" hidden="1" customHeight="1" x14ac:dyDescent="0.2">
      <c r="K104" s="2" t="s">
        <v>149</v>
      </c>
      <c r="L104" s="2" t="s">
        <v>152</v>
      </c>
      <c r="M104" s="2" t="str">
        <f t="shared" si="1"/>
        <v>Mining Minerals &amp; energy Sources</v>
      </c>
      <c r="N104" s="2">
        <v>11.25</v>
      </c>
      <c r="O104" s="2">
        <v>3.84</v>
      </c>
      <c r="P104" s="2"/>
    </row>
    <row r="105" spans="11:16" ht="15" hidden="1" customHeight="1" x14ac:dyDescent="0.2">
      <c r="K105" s="2" t="s">
        <v>153</v>
      </c>
      <c r="L105" s="2" t="s">
        <v>154</v>
      </c>
      <c r="M105" s="2" t="str">
        <f t="shared" si="1"/>
        <v>Other Construction &amp; allied activities Maintenance of buildings (Facility Management)</v>
      </c>
      <c r="N105" s="2"/>
      <c r="O105" s="2"/>
      <c r="P105" s="2">
        <v>12.45</v>
      </c>
    </row>
    <row r="106" spans="11:16" ht="15" hidden="1" customHeight="1" x14ac:dyDescent="0.2">
      <c r="K106" s="2" t="s">
        <v>155</v>
      </c>
      <c r="L106" s="2" t="s">
        <v>156</v>
      </c>
      <c r="M106" s="2" t="str">
        <f t="shared" si="1"/>
        <v>Other Fund based Financial Services Commission agents services (Only those booking commission income)</v>
      </c>
      <c r="N106" s="2"/>
      <c r="O106" s="2"/>
      <c r="P106" s="2">
        <v>15.8</v>
      </c>
    </row>
    <row r="107" spans="11:16" ht="15" hidden="1" customHeight="1" x14ac:dyDescent="0.2">
      <c r="K107" s="2" t="s">
        <v>157</v>
      </c>
      <c r="L107" s="2" t="s">
        <v>158</v>
      </c>
      <c r="M107" s="2" t="str">
        <f t="shared" si="1"/>
        <v>Others R &amp; D</v>
      </c>
      <c r="N107" s="2"/>
      <c r="O107" s="2"/>
      <c r="P107" s="2">
        <v>11</v>
      </c>
    </row>
    <row r="108" spans="11:16" ht="15" hidden="1" customHeight="1" x14ac:dyDescent="0.2">
      <c r="K108" s="2" t="s">
        <v>157</v>
      </c>
      <c r="L108" s="2" t="s">
        <v>159</v>
      </c>
      <c r="M108" s="2" t="str">
        <f t="shared" si="1"/>
        <v>Others Glass &amp; Glass Products</v>
      </c>
      <c r="N108" s="2">
        <v>11.58</v>
      </c>
      <c r="O108" s="2">
        <v>11.58</v>
      </c>
      <c r="P108" s="2"/>
    </row>
    <row r="109" spans="11:16" ht="15" hidden="1" customHeight="1" x14ac:dyDescent="0.2">
      <c r="K109" s="2" t="s">
        <v>157</v>
      </c>
      <c r="L109" s="2" t="s">
        <v>160</v>
      </c>
      <c r="M109" s="2" t="str">
        <f t="shared" si="1"/>
        <v>Others Industries not classified elsewhere (Manufacturing)</v>
      </c>
      <c r="N109" s="2">
        <v>7.74</v>
      </c>
      <c r="O109" s="2"/>
      <c r="P109" s="2"/>
    </row>
    <row r="110" spans="11:16" ht="15" hidden="1" customHeight="1" x14ac:dyDescent="0.2">
      <c r="K110" s="2" t="s">
        <v>157</v>
      </c>
      <c r="L110" s="2" t="s">
        <v>161</v>
      </c>
      <c r="M110" s="2" t="str">
        <f t="shared" si="1"/>
        <v>Others Industries not classified elsewhere (Services)</v>
      </c>
      <c r="N110" s="2"/>
      <c r="O110" s="2"/>
      <c r="P110" s="2">
        <v>6.5</v>
      </c>
    </row>
    <row r="111" spans="11:16" ht="15" hidden="1" customHeight="1" x14ac:dyDescent="0.2">
      <c r="K111" s="2" t="s">
        <v>157</v>
      </c>
      <c r="L111" s="2" t="s">
        <v>162</v>
      </c>
      <c r="M111" s="2" t="str">
        <f t="shared" si="1"/>
        <v>Others Industries not classified elsewhere (Trading)</v>
      </c>
      <c r="N111" s="2"/>
      <c r="O111" s="2">
        <v>5.04</v>
      </c>
      <c r="P111" s="2"/>
    </row>
    <row r="112" spans="11:16" ht="15" hidden="1" customHeight="1" x14ac:dyDescent="0.2">
      <c r="K112" s="2" t="s">
        <v>163</v>
      </c>
      <c r="L112" s="2" t="s">
        <v>164</v>
      </c>
      <c r="M112" s="2" t="str">
        <f t="shared" si="1"/>
        <v>Paints Paints &amp; Varnishes</v>
      </c>
      <c r="N112" s="2">
        <v>6.7</v>
      </c>
      <c r="O112" s="2">
        <v>6.7</v>
      </c>
      <c r="P112" s="2"/>
    </row>
    <row r="113" spans="11:16" ht="15" hidden="1" customHeight="1" x14ac:dyDescent="0.2">
      <c r="K113" s="2" t="s">
        <v>165</v>
      </c>
      <c r="L113" s="2" t="s">
        <v>166</v>
      </c>
      <c r="M113" s="2" t="str">
        <f t="shared" si="1"/>
        <v>Paper Paper &amp; Paper Products</v>
      </c>
      <c r="N113" s="2">
        <v>7.61</v>
      </c>
      <c r="O113" s="2">
        <v>7.61</v>
      </c>
      <c r="P113" s="2"/>
    </row>
    <row r="114" spans="11:16" ht="15" hidden="1" customHeight="1" x14ac:dyDescent="0.2">
      <c r="K114" s="2" t="s">
        <v>167</v>
      </c>
      <c r="L114" s="2" t="s">
        <v>168</v>
      </c>
      <c r="M114" s="2" t="str">
        <f t="shared" si="1"/>
        <v>Petroleum Products LRG Cylinders</v>
      </c>
      <c r="N114" s="2">
        <v>12.07</v>
      </c>
      <c r="O114" s="2"/>
      <c r="P114" s="2"/>
    </row>
    <row r="115" spans="11:16" ht="15" hidden="1" customHeight="1" x14ac:dyDescent="0.2">
      <c r="K115" s="2" t="s">
        <v>167</v>
      </c>
      <c r="L115" s="2" t="s">
        <v>169</v>
      </c>
      <c r="M115" s="2" t="str">
        <f t="shared" si="1"/>
        <v>Petroleum Products Lubricants</v>
      </c>
      <c r="N115" s="2">
        <v>7.1</v>
      </c>
      <c r="O115" s="2">
        <v>7.1</v>
      </c>
      <c r="P115" s="2"/>
    </row>
    <row r="116" spans="11:16" ht="15" hidden="1" customHeight="1" x14ac:dyDescent="0.2">
      <c r="K116" s="2" t="s">
        <v>167</v>
      </c>
      <c r="L116" s="2" t="s">
        <v>167</v>
      </c>
      <c r="M116" s="2" t="str">
        <f t="shared" si="1"/>
        <v>Petroleum Products Petroleum Products</v>
      </c>
      <c r="N116" s="2">
        <v>5.0599999999999996</v>
      </c>
      <c r="O116" s="2">
        <v>5.0599999999999996</v>
      </c>
      <c r="P116" s="2"/>
    </row>
    <row r="117" spans="11:16" ht="15" hidden="1" customHeight="1" x14ac:dyDescent="0.2">
      <c r="K117" s="2" t="s">
        <v>170</v>
      </c>
      <c r="L117" s="2" t="s">
        <v>170</v>
      </c>
      <c r="M117" s="2" t="str">
        <f t="shared" si="1"/>
        <v>Photographic &amp; Allied Products Photographic &amp; Allied Products</v>
      </c>
      <c r="N117" s="2">
        <v>5.98</v>
      </c>
      <c r="O117" s="2">
        <v>5.98</v>
      </c>
      <c r="P117" s="2"/>
    </row>
    <row r="118" spans="11:16" ht="15" hidden="1" customHeight="1" x14ac:dyDescent="0.2">
      <c r="K118" s="2" t="s">
        <v>171</v>
      </c>
      <c r="L118" s="2" t="s">
        <v>172</v>
      </c>
      <c r="M118" s="2" t="str">
        <f t="shared" si="1"/>
        <v>Plastics Plastics Films</v>
      </c>
      <c r="N118" s="2">
        <v>8.24</v>
      </c>
      <c r="O118" s="2">
        <v>8.24</v>
      </c>
      <c r="P118" s="2"/>
    </row>
    <row r="119" spans="11:16" ht="15" hidden="1" customHeight="1" x14ac:dyDescent="0.2">
      <c r="K119" s="2" t="s">
        <v>171</v>
      </c>
      <c r="L119" s="2" t="s">
        <v>173</v>
      </c>
      <c r="M119" s="2" t="str">
        <f t="shared" si="1"/>
        <v>Plastics Plastics packaging goods</v>
      </c>
      <c r="N119" s="2">
        <v>9.4499999999999993</v>
      </c>
      <c r="O119" s="2">
        <v>9.4499999999999993</v>
      </c>
      <c r="P119" s="2"/>
    </row>
    <row r="120" spans="11:16" ht="15" hidden="1" customHeight="1" x14ac:dyDescent="0.2">
      <c r="K120" s="2" t="s">
        <v>171</v>
      </c>
      <c r="L120" s="2" t="s">
        <v>174</v>
      </c>
      <c r="M120" s="2" t="str">
        <f t="shared" si="1"/>
        <v>Plastics Plastics tubes, Pipes, fittings &amp; sheets</v>
      </c>
      <c r="N120" s="2">
        <v>9.01</v>
      </c>
      <c r="O120" s="2">
        <v>9.01</v>
      </c>
      <c r="P120" s="2"/>
    </row>
    <row r="121" spans="11:16" ht="15" hidden="1" customHeight="1" x14ac:dyDescent="0.2">
      <c r="K121" s="2" t="s">
        <v>43</v>
      </c>
      <c r="L121" s="2" t="s">
        <v>175</v>
      </c>
      <c r="M121" s="2" t="str">
        <f t="shared" si="1"/>
        <v>Professional Services Consultants/Business Consultancy</v>
      </c>
      <c r="N121" s="2"/>
      <c r="O121" s="2"/>
      <c r="P121" s="2">
        <v>8.0399999999999991</v>
      </c>
    </row>
    <row r="122" spans="11:16" ht="15" hidden="1" customHeight="1" x14ac:dyDescent="0.2">
      <c r="K122" s="2" t="s">
        <v>43</v>
      </c>
      <c r="L122" s="2" t="s">
        <v>176</v>
      </c>
      <c r="M122" s="2" t="str">
        <f t="shared" si="1"/>
        <v>Professional Services Education Consultancy</v>
      </c>
      <c r="N122" s="2"/>
      <c r="O122" s="2"/>
      <c r="P122" s="2">
        <v>8.75</v>
      </c>
    </row>
    <row r="123" spans="11:16" ht="15" hidden="1" customHeight="1" x14ac:dyDescent="0.2">
      <c r="K123" s="2" t="s">
        <v>43</v>
      </c>
      <c r="L123" s="2" t="s">
        <v>177</v>
      </c>
      <c r="M123" s="2" t="str">
        <f t="shared" si="1"/>
        <v>Professional Services Entertainment and media content provider</v>
      </c>
      <c r="N123" s="2"/>
      <c r="O123" s="2"/>
      <c r="P123" s="2">
        <v>4.66</v>
      </c>
    </row>
    <row r="124" spans="11:16" ht="15" hidden="1" customHeight="1" x14ac:dyDescent="0.2">
      <c r="K124" s="2" t="s">
        <v>43</v>
      </c>
      <c r="L124" s="2" t="s">
        <v>178</v>
      </c>
      <c r="M124" s="2" t="str">
        <f t="shared" si="1"/>
        <v>Professional Services Event management services</v>
      </c>
      <c r="N124" s="2"/>
      <c r="O124" s="2"/>
      <c r="P124" s="2">
        <v>15.78</v>
      </c>
    </row>
    <row r="125" spans="11:16" ht="15" hidden="1" customHeight="1" x14ac:dyDescent="0.2">
      <c r="K125" s="2" t="s">
        <v>43</v>
      </c>
      <c r="L125" s="2" t="s">
        <v>179</v>
      </c>
      <c r="M125" s="2" t="str">
        <f t="shared" si="1"/>
        <v>Professional Services Motion Picture production, distribution and exhibition</v>
      </c>
      <c r="N125" s="2"/>
      <c r="O125" s="2"/>
      <c r="P125" s="2">
        <v>9.4600000000000009</v>
      </c>
    </row>
    <row r="126" spans="11:16" ht="15" hidden="1" customHeight="1" x14ac:dyDescent="0.2">
      <c r="K126" s="2" t="s">
        <v>43</v>
      </c>
      <c r="L126" s="2" t="s">
        <v>180</v>
      </c>
      <c r="M126" s="2" t="str">
        <f t="shared" ref="M126:M166" si="2">K126&amp;" "&amp;L126</f>
        <v>Professional Services Public Relations</v>
      </c>
      <c r="N126" s="2"/>
      <c r="O126" s="2"/>
      <c r="P126" s="2">
        <v>4.7699999999999996</v>
      </c>
    </row>
    <row r="127" spans="11:16" ht="15" hidden="1" customHeight="1" x14ac:dyDescent="0.2">
      <c r="K127" s="2" t="s">
        <v>43</v>
      </c>
      <c r="L127" s="2" t="s">
        <v>181</v>
      </c>
      <c r="M127" s="2" t="str">
        <f t="shared" si="2"/>
        <v>Professional Services Real estate infrastructure services</v>
      </c>
      <c r="N127" s="2"/>
      <c r="O127" s="2"/>
      <c r="P127" s="2">
        <v>11.22</v>
      </c>
    </row>
    <row r="128" spans="11:16" ht="15" hidden="1" customHeight="1" x14ac:dyDescent="0.2">
      <c r="K128" s="2" t="s">
        <v>43</v>
      </c>
      <c r="L128" s="2" t="s">
        <v>182</v>
      </c>
      <c r="M128" s="2" t="str">
        <f t="shared" si="2"/>
        <v>Professional Services Technical consultancy and engineering services</v>
      </c>
      <c r="N128" s="2"/>
      <c r="O128" s="2"/>
      <c r="P128" s="2">
        <v>10.36</v>
      </c>
    </row>
    <row r="129" spans="11:16" ht="15" hidden="1" customHeight="1" x14ac:dyDescent="0.2">
      <c r="K129" s="2" t="s">
        <v>43</v>
      </c>
      <c r="L129" s="2" t="s">
        <v>183</v>
      </c>
      <c r="M129" s="2" t="str">
        <f t="shared" si="2"/>
        <v>Professional Services Placement &amp; HR consultancy services</v>
      </c>
      <c r="N129" s="2"/>
      <c r="O129" s="2"/>
      <c r="P129" s="2">
        <v>1.95</v>
      </c>
    </row>
    <row r="130" spans="11:16" ht="15" hidden="1" customHeight="1" x14ac:dyDescent="0.2">
      <c r="K130" s="2" t="s">
        <v>184</v>
      </c>
      <c r="L130" s="2" t="s">
        <v>184</v>
      </c>
      <c r="M130" s="2" t="str">
        <f t="shared" si="2"/>
        <v>Radiobroadcasting media Radiobroadcasting media</v>
      </c>
      <c r="N130" s="2"/>
      <c r="O130" s="2"/>
      <c r="P130" s="2">
        <v>15.93</v>
      </c>
    </row>
    <row r="131" spans="11:16" ht="15" hidden="1" customHeight="1" x14ac:dyDescent="0.2">
      <c r="K131" s="2" t="s">
        <v>185</v>
      </c>
      <c r="L131" s="2" t="s">
        <v>186</v>
      </c>
      <c r="M131" s="2" t="str">
        <f t="shared" si="2"/>
        <v>Retail trading Departmental stores</v>
      </c>
      <c r="N131" s="2"/>
      <c r="O131" s="2">
        <v>2.2599999999999998</v>
      </c>
      <c r="P131" s="2"/>
    </row>
    <row r="132" spans="11:16" ht="15" hidden="1" customHeight="1" x14ac:dyDescent="0.2">
      <c r="K132" s="2" t="s">
        <v>187</v>
      </c>
      <c r="L132" s="2" t="s">
        <v>188</v>
      </c>
      <c r="M132" s="2" t="str">
        <f t="shared" si="2"/>
        <v>Road Transport Infrastructure services Toll revenue</v>
      </c>
      <c r="N132" s="2"/>
      <c r="O132" s="2"/>
      <c r="P132" s="2"/>
    </row>
    <row r="133" spans="11:16" ht="15" hidden="1" customHeight="1" x14ac:dyDescent="0.2">
      <c r="K133" s="2" t="s">
        <v>187</v>
      </c>
      <c r="L133" s="2" t="s">
        <v>189</v>
      </c>
      <c r="M133" s="2" t="str">
        <f t="shared" si="2"/>
        <v>Road Transport Infrastructure services Other motor transport services</v>
      </c>
      <c r="N133" s="2"/>
      <c r="O133" s="2"/>
      <c r="P133" s="2">
        <v>6.5</v>
      </c>
    </row>
    <row r="134" spans="11:16" ht="15" hidden="1" customHeight="1" x14ac:dyDescent="0.2">
      <c r="K134" s="2" t="s">
        <v>190</v>
      </c>
      <c r="L134" s="2" t="s">
        <v>191</v>
      </c>
      <c r="M134" s="2" t="str">
        <f t="shared" si="2"/>
        <v>Rubber Rubber &amp; rubber products</v>
      </c>
      <c r="N134" s="2">
        <v>12.03</v>
      </c>
      <c r="O134" s="2">
        <v>12.03</v>
      </c>
      <c r="P134" s="2"/>
    </row>
    <row r="135" spans="11:16" ht="15" hidden="1" customHeight="1" x14ac:dyDescent="0.2">
      <c r="K135" s="2" t="s">
        <v>192</v>
      </c>
      <c r="L135" s="2" t="s">
        <v>193</v>
      </c>
      <c r="M135" s="2" t="str">
        <f t="shared" si="2"/>
        <v>Services Renting Services</v>
      </c>
      <c r="N135" s="2"/>
      <c r="O135" s="2"/>
      <c r="P135" s="2">
        <v>12.7</v>
      </c>
    </row>
    <row r="136" spans="11:16" ht="15" hidden="1" customHeight="1" x14ac:dyDescent="0.2">
      <c r="K136" s="2" t="s">
        <v>194</v>
      </c>
      <c r="L136" s="2" t="s">
        <v>195</v>
      </c>
      <c r="M136" s="2" t="str">
        <f t="shared" si="2"/>
        <v>Services - Communication Communication equipment (other than mobile phone wholesaler, retailer)</v>
      </c>
      <c r="N136" s="2">
        <v>12.8</v>
      </c>
      <c r="O136" s="2"/>
      <c r="P136" s="2">
        <v>12.8</v>
      </c>
    </row>
    <row r="137" spans="11:16" ht="15" hidden="1" customHeight="1" x14ac:dyDescent="0.2">
      <c r="K137" s="2" t="s">
        <v>194</v>
      </c>
      <c r="L137" s="2" t="s">
        <v>196</v>
      </c>
      <c r="M137" s="2" t="str">
        <f t="shared" si="2"/>
        <v>Services - Communication Internet Services</v>
      </c>
      <c r="N137" s="2"/>
      <c r="O137" s="2"/>
      <c r="P137" s="2">
        <v>10.88</v>
      </c>
    </row>
    <row r="138" spans="11:16" ht="15" hidden="1" customHeight="1" x14ac:dyDescent="0.2">
      <c r="K138" s="2" t="s">
        <v>194</v>
      </c>
      <c r="L138" s="2" t="s">
        <v>197</v>
      </c>
      <c r="M138" s="2" t="str">
        <f t="shared" si="2"/>
        <v>Services - Communication Other communication services (wireless services, fax services, paper services, other telephone services, other communication services)</v>
      </c>
      <c r="N138" s="2"/>
      <c r="O138" s="2"/>
      <c r="P138" s="2">
        <v>6.5</v>
      </c>
    </row>
    <row r="139" spans="11:16" ht="15" hidden="1" customHeight="1" x14ac:dyDescent="0.2">
      <c r="K139" s="2" t="s">
        <v>198</v>
      </c>
      <c r="L139" s="2" t="s">
        <v>199</v>
      </c>
      <c r="M139" s="2" t="str">
        <f t="shared" si="2"/>
        <v>Software ITES/ Call Centers</v>
      </c>
      <c r="N139" s="2"/>
      <c r="O139" s="2"/>
      <c r="P139" s="2">
        <v>7.36</v>
      </c>
    </row>
    <row r="140" spans="11:16" ht="15" hidden="1" customHeight="1" x14ac:dyDescent="0.2">
      <c r="K140" s="2" t="s">
        <v>200</v>
      </c>
      <c r="L140" s="2" t="s">
        <v>201</v>
      </c>
      <c r="M140" s="2" t="str">
        <f t="shared" si="2"/>
        <v>Specially Footwear</v>
      </c>
      <c r="N140" s="2">
        <v>8.6999999999999993</v>
      </c>
      <c r="O140" s="2">
        <v>8.6999999999999993</v>
      </c>
      <c r="P140" s="2"/>
    </row>
    <row r="141" spans="11:16" ht="15" hidden="1" customHeight="1" x14ac:dyDescent="0.2">
      <c r="K141" s="2" t="s">
        <v>200</v>
      </c>
      <c r="L141" s="2" t="s">
        <v>202</v>
      </c>
      <c r="M141" s="2" t="str">
        <f t="shared" si="2"/>
        <v>Specially Books, Office Suppliers &amp; Stationery</v>
      </c>
      <c r="N141" s="2">
        <v>5.26</v>
      </c>
      <c r="O141" s="2">
        <v>5.26</v>
      </c>
      <c r="P141" s="2"/>
    </row>
    <row r="142" spans="11:16" ht="15" hidden="1" customHeight="1" x14ac:dyDescent="0.2">
      <c r="K142" s="2" t="s">
        <v>200</v>
      </c>
      <c r="L142" s="2" t="s">
        <v>203</v>
      </c>
      <c r="M142" s="2" t="str">
        <f t="shared" si="2"/>
        <v>Specially Clock &amp; watches</v>
      </c>
      <c r="N142" s="2">
        <v>12.67</v>
      </c>
      <c r="O142" s="2">
        <v>12.67</v>
      </c>
      <c r="P142" s="2"/>
    </row>
    <row r="143" spans="11:16" ht="15" hidden="1" customHeight="1" x14ac:dyDescent="0.2">
      <c r="K143" s="2" t="s">
        <v>200</v>
      </c>
      <c r="L143" s="2" t="s">
        <v>204</v>
      </c>
      <c r="M143" s="2" t="str">
        <f t="shared" si="2"/>
        <v>Specially Hobby, Toys &amp; Games</v>
      </c>
      <c r="N143" s="2">
        <v>15.87</v>
      </c>
      <c r="O143" s="2">
        <v>15.87</v>
      </c>
      <c r="P143" s="2"/>
    </row>
    <row r="144" spans="11:16" ht="15" hidden="1" customHeight="1" x14ac:dyDescent="0.2">
      <c r="K144" s="2" t="s">
        <v>200</v>
      </c>
      <c r="L144" s="2" t="s">
        <v>205</v>
      </c>
      <c r="M144" s="2" t="str">
        <f t="shared" si="2"/>
        <v>Specially Home Furniture &amp; Finishing</v>
      </c>
      <c r="N144" s="2">
        <v>4.63</v>
      </c>
      <c r="O144" s="2">
        <v>4.63</v>
      </c>
      <c r="P144" s="2"/>
    </row>
    <row r="145" spans="11:16" ht="15" hidden="1" customHeight="1" x14ac:dyDescent="0.2">
      <c r="K145" s="2" t="s">
        <v>200</v>
      </c>
      <c r="L145" s="2" t="s">
        <v>206</v>
      </c>
      <c r="M145" s="2" t="str">
        <f t="shared" si="2"/>
        <v>Specially Luggage &amp; Leather Goods</v>
      </c>
      <c r="N145" s="2">
        <v>8.6999999999999993</v>
      </c>
      <c r="O145" s="2">
        <v>8.6999999999999993</v>
      </c>
      <c r="P145" s="2"/>
    </row>
    <row r="146" spans="11:16" ht="15" hidden="1" customHeight="1" x14ac:dyDescent="0.2">
      <c r="K146" s="2" t="s">
        <v>200</v>
      </c>
      <c r="L146" s="2" t="s">
        <v>207</v>
      </c>
      <c r="M146" s="2" t="str">
        <f t="shared" si="2"/>
        <v>Specially Opticians &amp; Optical instruments</v>
      </c>
      <c r="N146" s="2">
        <v>9.26</v>
      </c>
      <c r="O146" s="2">
        <v>9.26</v>
      </c>
      <c r="P146" s="2"/>
    </row>
    <row r="147" spans="11:16" ht="15" hidden="1" customHeight="1" x14ac:dyDescent="0.2">
      <c r="K147" s="2" t="s">
        <v>200</v>
      </c>
      <c r="L147" s="2" t="s">
        <v>208</v>
      </c>
      <c r="M147" s="2" t="str">
        <f t="shared" si="2"/>
        <v>Specially Pens and Pencils</v>
      </c>
      <c r="N147" s="2">
        <v>5.72</v>
      </c>
      <c r="O147" s="2">
        <v>5.72</v>
      </c>
      <c r="P147" s="2"/>
    </row>
    <row r="148" spans="11:16" ht="15" hidden="1" customHeight="1" x14ac:dyDescent="0.2">
      <c r="K148" s="2" t="s">
        <v>200</v>
      </c>
      <c r="L148" s="2" t="s">
        <v>209</v>
      </c>
      <c r="M148" s="2" t="str">
        <f t="shared" si="2"/>
        <v>Specially Sports Goods</v>
      </c>
      <c r="N148" s="2">
        <v>6.54</v>
      </c>
      <c r="O148" s="2">
        <v>6.54</v>
      </c>
      <c r="P148" s="2"/>
    </row>
    <row r="149" spans="11:16" ht="15" hidden="1" customHeight="1" x14ac:dyDescent="0.2">
      <c r="K149" s="2" t="s">
        <v>200</v>
      </c>
      <c r="L149" s="2" t="s">
        <v>210</v>
      </c>
      <c r="M149" s="2" t="str">
        <f t="shared" si="2"/>
        <v>Specially Wood and wood products / Sports goods</v>
      </c>
      <c r="N149" s="2">
        <v>6.54</v>
      </c>
      <c r="O149" s="2">
        <v>6.54</v>
      </c>
      <c r="P149" s="2"/>
    </row>
    <row r="150" spans="11:16" ht="15" hidden="1" customHeight="1" x14ac:dyDescent="0.2">
      <c r="K150" s="2" t="s">
        <v>211</v>
      </c>
      <c r="L150" s="2" t="s">
        <v>212</v>
      </c>
      <c r="M150" s="2" t="str">
        <f t="shared" si="2"/>
        <v>Telecommunication services Cellular phone infrastructure</v>
      </c>
      <c r="N150" s="2"/>
      <c r="O150" s="2"/>
      <c r="P150" s="2">
        <v>12.96</v>
      </c>
    </row>
    <row r="151" spans="11:16" ht="15" hidden="1" customHeight="1" x14ac:dyDescent="0.2">
      <c r="K151" s="2" t="s">
        <v>213</v>
      </c>
      <c r="L151" s="2" t="s">
        <v>213</v>
      </c>
      <c r="M151" s="2" t="str">
        <f t="shared" si="2"/>
        <v>Television broadcasting media Television broadcasting media</v>
      </c>
      <c r="N151" s="2"/>
      <c r="O151" s="2"/>
      <c r="P151" s="2">
        <v>11.09</v>
      </c>
    </row>
    <row r="152" spans="11:16" ht="15" hidden="1" customHeight="1" x14ac:dyDescent="0.2">
      <c r="K152" s="2" t="s">
        <v>214</v>
      </c>
      <c r="L152" s="2" t="s">
        <v>215</v>
      </c>
      <c r="M152" s="2" t="str">
        <f t="shared" si="2"/>
        <v>Textiles Blankets &amp; Carpets</v>
      </c>
      <c r="N152" s="2">
        <v>9.51</v>
      </c>
      <c r="O152" s="2">
        <v>4.9000000000000004</v>
      </c>
      <c r="P152" s="2"/>
    </row>
    <row r="153" spans="11:16" ht="15" hidden="1" customHeight="1" x14ac:dyDescent="0.2">
      <c r="K153" s="2" t="s">
        <v>214</v>
      </c>
      <c r="L153" s="2" t="s">
        <v>216</v>
      </c>
      <c r="M153" s="2" t="str">
        <f t="shared" si="2"/>
        <v>Textiles Blended yarn</v>
      </c>
      <c r="N153" s="2">
        <v>8.99</v>
      </c>
      <c r="O153" s="2">
        <v>4.9000000000000004</v>
      </c>
      <c r="P153" s="2"/>
    </row>
    <row r="154" spans="11:16" ht="15" hidden="1" customHeight="1" x14ac:dyDescent="0.2">
      <c r="K154" s="2" t="s">
        <v>214</v>
      </c>
      <c r="L154" s="2" t="s">
        <v>217</v>
      </c>
      <c r="M154" s="2" t="str">
        <f t="shared" si="2"/>
        <v>Textiles Jute</v>
      </c>
      <c r="N154" s="2">
        <v>4.2300000000000004</v>
      </c>
      <c r="O154" s="2">
        <v>4.9000000000000004</v>
      </c>
      <c r="P154" s="2"/>
    </row>
    <row r="155" spans="11:16" ht="15" hidden="1" customHeight="1" x14ac:dyDescent="0.2">
      <c r="K155" s="2" t="s">
        <v>214</v>
      </c>
      <c r="L155" s="2" t="s">
        <v>218</v>
      </c>
      <c r="M155" s="2" t="str">
        <f t="shared" si="2"/>
        <v>Textiles Readymade Garments</v>
      </c>
      <c r="N155" s="2">
        <v>8.43</v>
      </c>
      <c r="O155" s="2">
        <v>4.9000000000000004</v>
      </c>
      <c r="P155" s="2"/>
    </row>
    <row r="156" spans="11:16" ht="15" hidden="1" customHeight="1" x14ac:dyDescent="0.2">
      <c r="K156" s="2" t="s">
        <v>214</v>
      </c>
      <c r="L156" s="2" t="s">
        <v>219</v>
      </c>
      <c r="M156" s="2" t="str">
        <f t="shared" si="2"/>
        <v>Textiles Textiles - Cotton</v>
      </c>
      <c r="N156" s="2">
        <v>9.66</v>
      </c>
      <c r="O156" s="2">
        <v>4.9000000000000004</v>
      </c>
      <c r="P156" s="2"/>
    </row>
    <row r="157" spans="11:16" ht="15" hidden="1" customHeight="1" x14ac:dyDescent="0.2">
      <c r="K157" s="2" t="s">
        <v>214</v>
      </c>
      <c r="L157" s="2" t="s">
        <v>220</v>
      </c>
      <c r="M157" s="2" t="str">
        <f t="shared" si="2"/>
        <v>Textiles Textiles - Silk</v>
      </c>
      <c r="N157" s="2">
        <v>7</v>
      </c>
      <c r="O157" s="2">
        <v>4.9000000000000004</v>
      </c>
      <c r="P157" s="2"/>
    </row>
    <row r="158" spans="11:16" ht="15" hidden="1" customHeight="1" x14ac:dyDescent="0.2">
      <c r="K158" s="2" t="s">
        <v>214</v>
      </c>
      <c r="L158" s="2" t="s">
        <v>221</v>
      </c>
      <c r="M158" s="2" t="str">
        <f t="shared" si="2"/>
        <v>Textiles Textiles - Synthetic</v>
      </c>
      <c r="N158" s="2">
        <v>8.0399999999999991</v>
      </c>
      <c r="O158" s="2">
        <v>4.9000000000000004</v>
      </c>
      <c r="P158" s="2"/>
    </row>
    <row r="159" spans="11:16" ht="15" hidden="1" customHeight="1" x14ac:dyDescent="0.2">
      <c r="K159" s="2" t="s">
        <v>214</v>
      </c>
      <c r="L159" s="2" t="s">
        <v>222</v>
      </c>
      <c r="M159" s="2" t="str">
        <f t="shared" si="2"/>
        <v>Textiles Textiles - Specialized (Other than Cotton, Jute &amp; Yarn, Silk and Synthetic)</v>
      </c>
      <c r="N159" s="2">
        <v>12.36</v>
      </c>
      <c r="O159" s="2">
        <v>4.9000000000000004</v>
      </c>
      <c r="P159" s="2"/>
    </row>
    <row r="160" spans="11:16" ht="15" hidden="1" customHeight="1" x14ac:dyDescent="0.2">
      <c r="K160" s="2" t="s">
        <v>214</v>
      </c>
      <c r="L160" s="2" t="s">
        <v>223</v>
      </c>
      <c r="M160" s="2" t="str">
        <f t="shared" si="2"/>
        <v>Textiles Woolen Textiles</v>
      </c>
      <c r="N160" s="2">
        <v>9.51</v>
      </c>
      <c r="O160" s="2">
        <v>4.9000000000000004</v>
      </c>
      <c r="P160" s="2"/>
    </row>
    <row r="161" spans="11:16" ht="15" hidden="1" customHeight="1" x14ac:dyDescent="0.2">
      <c r="K161" s="2" t="s">
        <v>224</v>
      </c>
      <c r="L161" s="2" t="s">
        <v>225</v>
      </c>
      <c r="M161" s="2" t="str">
        <f t="shared" si="2"/>
        <v>Transportation Logistics Cargo (Cargo Handling air &amp; water)</v>
      </c>
      <c r="N161" s="2"/>
      <c r="O161" s="2"/>
      <c r="P161" s="2">
        <v>9.64</v>
      </c>
    </row>
    <row r="162" spans="11:16" ht="15" hidden="1" customHeight="1" x14ac:dyDescent="0.2">
      <c r="K162" s="2" t="s">
        <v>224</v>
      </c>
      <c r="L162" s="2" t="s">
        <v>226</v>
      </c>
      <c r="M162" s="2" t="str">
        <f t="shared" si="2"/>
        <v>Transportation Logistics Courier</v>
      </c>
      <c r="N162" s="2"/>
      <c r="O162" s="2"/>
      <c r="P162" s="2">
        <v>6.48</v>
      </c>
    </row>
    <row r="163" spans="11:16" ht="15" hidden="1" customHeight="1" x14ac:dyDescent="0.2">
      <c r="K163" s="2" t="s">
        <v>224</v>
      </c>
      <c r="L163" s="2" t="s">
        <v>227</v>
      </c>
      <c r="M163" s="2" t="str">
        <f t="shared" si="2"/>
        <v>Transportation Logistics Goods Transport Services (Road)</v>
      </c>
      <c r="N163" s="2"/>
      <c r="O163" s="2"/>
      <c r="P163" s="2">
        <v>8.3800000000000008</v>
      </c>
    </row>
    <row r="164" spans="11:16" ht="15" hidden="1" customHeight="1" x14ac:dyDescent="0.2">
      <c r="K164" s="2" t="s">
        <v>224</v>
      </c>
      <c r="L164" s="2" t="s">
        <v>228</v>
      </c>
      <c r="M164" s="2" t="str">
        <f t="shared" si="2"/>
        <v>Transportation Logistics Passenger Transport Services (Road)</v>
      </c>
      <c r="N164" s="2"/>
      <c r="O164" s="2"/>
      <c r="P164" s="2">
        <v>8.3800000000000008</v>
      </c>
    </row>
    <row r="165" spans="11:16" ht="15" hidden="1" customHeight="1" x14ac:dyDescent="0.2">
      <c r="K165" s="2" t="s">
        <v>224</v>
      </c>
      <c r="L165" s="2" t="s">
        <v>229</v>
      </c>
      <c r="M165" s="2" t="str">
        <f t="shared" si="2"/>
        <v>Transportation Logistics Storage &amp; Warehousing</v>
      </c>
      <c r="N165" s="2"/>
      <c r="O165" s="2"/>
      <c r="P165" s="2">
        <v>13.17</v>
      </c>
    </row>
    <row r="166" spans="11:16" ht="15" hidden="1" customHeight="1" x14ac:dyDescent="0.2">
      <c r="K166" s="2" t="s">
        <v>224</v>
      </c>
      <c r="L166" s="2" t="s">
        <v>230</v>
      </c>
      <c r="M166" s="2" t="str">
        <f t="shared" si="2"/>
        <v>Transportation Logistics Portal</v>
      </c>
      <c r="N166" s="2"/>
      <c r="O166" s="2"/>
      <c r="P166" s="2">
        <v>18.86</v>
      </c>
    </row>
  </sheetData>
  <dataConsolidate/>
  <mergeCells count="37">
    <mergeCell ref="A15:F15"/>
    <mergeCell ref="F17:F20"/>
    <mergeCell ref="B19:C19"/>
    <mergeCell ref="B20:C20"/>
    <mergeCell ref="Q8:R8"/>
    <mergeCell ref="Q9:R9"/>
    <mergeCell ref="Q11:R11"/>
    <mergeCell ref="Q12:R12"/>
    <mergeCell ref="Q14:R14"/>
    <mergeCell ref="B4:F4"/>
    <mergeCell ref="B5:F5"/>
    <mergeCell ref="B6:F6"/>
    <mergeCell ref="A1:F1"/>
    <mergeCell ref="B2:F2"/>
    <mergeCell ref="B3:F3"/>
    <mergeCell ref="B7:F7"/>
    <mergeCell ref="A8:F8"/>
    <mergeCell ref="B13:F13"/>
    <mergeCell ref="B14:F14"/>
    <mergeCell ref="B11:C11"/>
    <mergeCell ref="B12:C12"/>
    <mergeCell ref="B9:F9"/>
    <mergeCell ref="A10:F10"/>
    <mergeCell ref="A11:A12"/>
    <mergeCell ref="A21:F21"/>
    <mergeCell ref="B16:C16"/>
    <mergeCell ref="B17:C17"/>
    <mergeCell ref="B18:C18"/>
    <mergeCell ref="B26:F26"/>
    <mergeCell ref="C23:C25"/>
    <mergeCell ref="A27:F27"/>
    <mergeCell ref="B28:F28"/>
    <mergeCell ref="B29:F29"/>
    <mergeCell ref="B33:F33"/>
    <mergeCell ref="B30:F30"/>
    <mergeCell ref="B31:F31"/>
    <mergeCell ref="B32:F32"/>
  </mergeCells>
  <dataValidations count="5">
    <dataValidation type="whole" allowBlank="1" showInputMessage="1" showErrorMessage="1" sqref="B4" xr:uid="{00000000-0002-0000-1400-000000000000}">
      <formula1>12</formula1>
      <formula2>60</formula2>
    </dataValidation>
    <dataValidation type="list" allowBlank="1" showInputMessage="1" showErrorMessage="1" sqref="C23" xr:uid="{00000000-0002-0000-1400-000001000000}">
      <formula1>"Monthly,Annualy"</formula1>
    </dataValidation>
    <dataValidation type="list" allowBlank="1" showInputMessage="1" showErrorMessage="1" sqref="B5:F5" xr:uid="{00000000-0002-0000-1400-000002000000}">
      <formula1>"Manufacturer,Trader, Service"</formula1>
    </dataValidation>
    <dataValidation operator="greaterThanOrEqual" showInputMessage="1" showErrorMessage="1" sqref="B3:F3" xr:uid="{00000000-0002-0000-1400-000003000000}"/>
    <dataValidation type="list" allowBlank="1" showInputMessage="1" showErrorMessage="1" sqref="B6:F6" xr:uid="{00000000-0002-0000-1400-000004000000}">
      <formula1>$M$2:$M$166</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6"/>
  <dimension ref="A1:P27"/>
  <sheetViews>
    <sheetView workbookViewId="0">
      <selection sqref="A1:F1"/>
    </sheetView>
  </sheetViews>
  <sheetFormatPr defaultColWidth="0" defaultRowHeight="15" customHeight="1" zeroHeight="1" x14ac:dyDescent="0.2"/>
  <cols>
    <col min="1" max="1" width="50.140625" style="23" bestFit="1" customWidth="1"/>
    <col min="2" max="2" width="12" style="23" bestFit="1" customWidth="1"/>
    <col min="3" max="3" width="9.140625" style="23" bestFit="1" customWidth="1"/>
    <col min="4" max="6" width="29.140625" style="23" customWidth="1"/>
    <col min="7" max="7" width="2" style="23" customWidth="1"/>
    <col min="8" max="16" width="0" style="23" hidden="1" customWidth="1"/>
    <col min="17" max="16384" width="9.140625" style="23" hidden="1"/>
  </cols>
  <sheetData>
    <row r="1" spans="1:6" ht="20.25" x14ac:dyDescent="0.3">
      <c r="A1" s="481" t="s">
        <v>260</v>
      </c>
      <c r="B1" s="481"/>
      <c r="C1" s="481"/>
      <c r="D1" s="481"/>
      <c r="E1" s="481"/>
      <c r="F1" s="481"/>
    </row>
    <row r="2" spans="1:6" ht="14.25" customHeight="1" x14ac:dyDescent="0.2">
      <c r="A2" s="126" t="s">
        <v>0</v>
      </c>
      <c r="B2" s="379">
        <f>'Loan Details'!B3</f>
        <v>0</v>
      </c>
      <c r="C2" s="379"/>
      <c r="D2" s="379"/>
      <c r="E2" s="379"/>
      <c r="F2" s="379"/>
    </row>
    <row r="3" spans="1:6" ht="14.25" x14ac:dyDescent="0.2">
      <c r="A3" s="126" t="s">
        <v>2</v>
      </c>
      <c r="B3" s="380">
        <f>'Loan Details'!B4</f>
        <v>0.19</v>
      </c>
      <c r="C3" s="380"/>
      <c r="D3" s="380"/>
      <c r="E3" s="380"/>
      <c r="F3" s="380"/>
    </row>
    <row r="4" spans="1:6" ht="14.25" x14ac:dyDescent="0.2">
      <c r="A4" s="126" t="s">
        <v>3</v>
      </c>
      <c r="B4" s="381">
        <f>'Loan Details'!B5</f>
        <v>36</v>
      </c>
      <c r="C4" s="381"/>
      <c r="D4" s="381"/>
      <c r="E4" s="381"/>
      <c r="F4" s="381"/>
    </row>
    <row r="5" spans="1:6" ht="15" customHeight="1" x14ac:dyDescent="0.3">
      <c r="A5" s="492" t="s">
        <v>4</v>
      </c>
      <c r="B5" s="492"/>
      <c r="C5" s="492"/>
      <c r="D5" s="492"/>
      <c r="E5" s="492"/>
      <c r="F5" s="492"/>
    </row>
    <row r="6" spans="1:6" ht="14.25" customHeight="1" x14ac:dyDescent="0.2">
      <c r="A6" s="126" t="s">
        <v>5</v>
      </c>
      <c r="B6" s="379">
        <f>'Loan Details'!C12</f>
        <v>0</v>
      </c>
      <c r="C6" s="379"/>
      <c r="D6" s="379"/>
      <c r="E6" s="379"/>
      <c r="F6" s="379"/>
    </row>
    <row r="7" spans="1:6" ht="18.75" x14ac:dyDescent="0.3">
      <c r="A7" s="492" t="s">
        <v>684</v>
      </c>
      <c r="B7" s="492"/>
      <c r="C7" s="492"/>
      <c r="D7" s="492"/>
      <c r="E7" s="492"/>
      <c r="F7" s="492"/>
    </row>
    <row r="8" spans="1:6" ht="12.75" customHeight="1" x14ac:dyDescent="0.2">
      <c r="A8" s="502" t="s">
        <v>260</v>
      </c>
      <c r="B8" s="679" t="s">
        <v>7</v>
      </c>
      <c r="C8" s="680"/>
      <c r="D8" s="121" t="s">
        <v>231</v>
      </c>
      <c r="E8" s="122" t="s">
        <v>232</v>
      </c>
      <c r="F8" s="121" t="s">
        <v>233</v>
      </c>
    </row>
    <row r="9" spans="1:6" ht="12.75" customHeight="1" x14ac:dyDescent="0.2">
      <c r="A9" s="503"/>
      <c r="B9" s="683">
        <v>1</v>
      </c>
      <c r="C9" s="684"/>
      <c r="D9" s="105">
        <f>'Loan Details'!C15</f>
        <v>0</v>
      </c>
      <c r="E9" s="105">
        <f>'Loan Details'!E15</f>
        <v>0</v>
      </c>
      <c r="F9" s="119">
        <f>MIN(AVERAGE(D9,E9),1.3*D9)*B9</f>
        <v>0</v>
      </c>
    </row>
    <row r="10" spans="1:6" ht="18.75" x14ac:dyDescent="0.3">
      <c r="A10" s="492" t="s">
        <v>244</v>
      </c>
      <c r="B10" s="492"/>
      <c r="C10" s="492"/>
      <c r="D10" s="492"/>
      <c r="E10" s="492"/>
      <c r="F10" s="492"/>
    </row>
    <row r="11" spans="1:6" ht="15" customHeight="1" x14ac:dyDescent="0.2">
      <c r="A11" s="113" t="s">
        <v>565</v>
      </c>
      <c r="B11" s="110" t="s">
        <v>7</v>
      </c>
      <c r="C11" s="110" t="s">
        <v>8</v>
      </c>
      <c r="D11" s="110" t="s">
        <v>231</v>
      </c>
      <c r="E11" s="110" t="s">
        <v>232</v>
      </c>
      <c r="F11" s="110" t="s">
        <v>233</v>
      </c>
    </row>
    <row r="12" spans="1:6" ht="15" customHeight="1" x14ac:dyDescent="0.2">
      <c r="A12" s="126" t="s">
        <v>431</v>
      </c>
      <c r="B12" s="139">
        <v>1</v>
      </c>
      <c r="C12" s="490" t="s">
        <v>561</v>
      </c>
      <c r="D12" s="105">
        <v>0</v>
      </c>
      <c r="E12" s="105">
        <v>0</v>
      </c>
      <c r="F12" s="123">
        <f>IF(C12="Annualy",E12*B12,E12*B12*12)</f>
        <v>0</v>
      </c>
    </row>
    <row r="13" spans="1:6" ht="15" customHeight="1" x14ac:dyDescent="0.2">
      <c r="A13" s="126" t="s">
        <v>433</v>
      </c>
      <c r="B13" s="139">
        <v>1</v>
      </c>
      <c r="C13" s="490"/>
      <c r="D13" s="105">
        <v>0</v>
      </c>
      <c r="E13" s="105">
        <v>0</v>
      </c>
      <c r="F13" s="123">
        <f>IF(C12="Monthly",AVERAGE(B13*D13*12,B13*E13*12),AVERAGE(B13*D13,B13*E13))</f>
        <v>0</v>
      </c>
    </row>
    <row r="14" spans="1:6" ht="15" customHeight="1" x14ac:dyDescent="0.2">
      <c r="A14" s="126" t="s">
        <v>432</v>
      </c>
      <c r="B14" s="139">
        <v>1</v>
      </c>
      <c r="C14" s="490"/>
      <c r="D14" s="105">
        <v>0</v>
      </c>
      <c r="E14" s="105">
        <v>0</v>
      </c>
      <c r="F14" s="123">
        <f>IF(C12="Monthly",AVERAGE(B14*D14*12,B14*E14*12),AVERAGE(B14*D14,B14*E14))</f>
        <v>0</v>
      </c>
    </row>
    <row r="15" spans="1:6" ht="15" customHeight="1" x14ac:dyDescent="0.2">
      <c r="A15" s="113" t="s">
        <v>248</v>
      </c>
      <c r="B15" s="489">
        <f>MIN(SUM(F12:F14),1.5*F9)</f>
        <v>0</v>
      </c>
      <c r="C15" s="489"/>
      <c r="D15" s="489"/>
      <c r="E15" s="489"/>
      <c r="F15" s="489"/>
    </row>
    <row r="16" spans="1:6" ht="15" customHeight="1" x14ac:dyDescent="0.2">
      <c r="A16" s="120" t="s">
        <v>261</v>
      </c>
      <c r="B16" s="452"/>
      <c r="C16" s="452"/>
      <c r="D16" s="105">
        <v>0</v>
      </c>
      <c r="E16" s="105">
        <v>0</v>
      </c>
      <c r="F16" s="123">
        <f>IF(E16&gt;(F9*20%),-E16,0)</f>
        <v>0</v>
      </c>
    </row>
    <row r="17" spans="1:6" ht="15" customHeight="1" x14ac:dyDescent="0.3">
      <c r="A17" s="492" t="s">
        <v>9</v>
      </c>
      <c r="B17" s="492"/>
      <c r="C17" s="492"/>
      <c r="D17" s="492"/>
      <c r="E17" s="492"/>
      <c r="F17" s="492"/>
    </row>
    <row r="18" spans="1:6" ht="15" customHeight="1" x14ac:dyDescent="0.2">
      <c r="A18" s="126" t="s">
        <v>245</v>
      </c>
      <c r="B18" s="489">
        <f>SUM(F9,B15,F16)</f>
        <v>0</v>
      </c>
      <c r="C18" s="489"/>
      <c r="D18" s="489"/>
      <c r="E18" s="489"/>
      <c r="F18" s="489"/>
    </row>
    <row r="19" spans="1:6" ht="15" customHeight="1" x14ac:dyDescent="0.2">
      <c r="A19" s="126" t="s">
        <v>246</v>
      </c>
      <c r="B19" s="489">
        <f>B18/12</f>
        <v>0</v>
      </c>
      <c r="C19" s="489"/>
      <c r="D19" s="489"/>
      <c r="E19" s="489"/>
      <c r="F19" s="489"/>
    </row>
    <row r="20" spans="1:6" ht="15" customHeight="1" x14ac:dyDescent="0.2">
      <c r="A20" s="126" t="s">
        <v>10</v>
      </c>
      <c r="B20" s="489">
        <f>B6</f>
        <v>0</v>
      </c>
      <c r="C20" s="489"/>
      <c r="D20" s="489"/>
      <c r="E20" s="489"/>
      <c r="F20" s="489"/>
    </row>
    <row r="21" spans="1:6" ht="15" customHeight="1" x14ac:dyDescent="0.2">
      <c r="A21" s="120" t="s">
        <v>779</v>
      </c>
      <c r="B21" s="496">
        <f>-PMT(B3/12,B4,B2)</f>
        <v>0</v>
      </c>
      <c r="C21" s="497"/>
      <c r="D21" s="497"/>
      <c r="E21" s="497"/>
      <c r="F21" s="497"/>
    </row>
    <row r="22" spans="1:6" ht="15" customHeight="1" x14ac:dyDescent="0.2">
      <c r="A22" s="120" t="s">
        <v>778</v>
      </c>
      <c r="B22" s="677" t="e">
        <f>(B20+B21)/B19</f>
        <v>#DIV/0!</v>
      </c>
      <c r="C22" s="678"/>
      <c r="D22" s="678"/>
      <c r="E22" s="678"/>
      <c r="F22" s="678"/>
    </row>
    <row r="23" spans="1:6" ht="15" customHeight="1" x14ac:dyDescent="0.2">
      <c r="A23" s="120" t="s">
        <v>777</v>
      </c>
      <c r="B23" s="496" t="e">
        <f>IF(B22&gt;75%,"Not Eligible for applied Loan Amount","Eligible for applied Loan Amount")</f>
        <v>#DIV/0!</v>
      </c>
      <c r="C23" s="497"/>
      <c r="D23" s="497"/>
      <c r="E23" s="497"/>
      <c r="F23" s="497"/>
    </row>
    <row r="24" spans="1:6" ht="5.25" customHeight="1" x14ac:dyDescent="0.2"/>
    <row r="25" spans="1:6" ht="9" hidden="1" customHeight="1" x14ac:dyDescent="0.2"/>
    <row r="27" spans="1:6" ht="7.5" hidden="1" customHeight="1" x14ac:dyDescent="0.2"/>
  </sheetData>
  <mergeCells count="21">
    <mergeCell ref="B4:F4"/>
    <mergeCell ref="A1:F1"/>
    <mergeCell ref="B2:F2"/>
    <mergeCell ref="B3:F3"/>
    <mergeCell ref="B9:C9"/>
    <mergeCell ref="A5:F5"/>
    <mergeCell ref="B8:C8"/>
    <mergeCell ref="B6:F6"/>
    <mergeCell ref="A7:F7"/>
    <mergeCell ref="A8:A9"/>
    <mergeCell ref="A10:F10"/>
    <mergeCell ref="C12:C14"/>
    <mergeCell ref="B15:F15"/>
    <mergeCell ref="B16:C16"/>
    <mergeCell ref="A17:F17"/>
    <mergeCell ref="B18:F18"/>
    <mergeCell ref="B19:F19"/>
    <mergeCell ref="B23:F23"/>
    <mergeCell ref="B20:F20"/>
    <mergeCell ref="B21:F21"/>
    <mergeCell ref="B22:F22"/>
  </mergeCells>
  <dataValidations xWindow="994" yWindow="209" count="3">
    <dataValidation type="whole" allowBlank="1" showInputMessage="1" showErrorMessage="1" sqref="B4" xr:uid="{00000000-0002-0000-1500-000000000000}">
      <formula1>12</formula1>
      <formula2>60</formula2>
    </dataValidation>
    <dataValidation type="list" allowBlank="1" showInputMessage="1" showErrorMessage="1" sqref="C12" xr:uid="{00000000-0002-0000-1500-000001000000}">
      <formula1>"Monthly,Annualy"</formula1>
    </dataValidation>
    <dataValidation operator="greaterThanOrEqual" showInputMessage="1" showErrorMessage="1" sqref="B3:F3" xr:uid="{00000000-0002-0000-1500-000002000000}"/>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7"/>
  <dimension ref="A1:V167"/>
  <sheetViews>
    <sheetView showGridLines="0" zoomScaleNormal="100" workbookViewId="0">
      <selection sqref="A1:F1"/>
    </sheetView>
  </sheetViews>
  <sheetFormatPr defaultColWidth="0" defaultRowHeight="15" customHeight="1" zeroHeight="1" x14ac:dyDescent="0.2"/>
  <cols>
    <col min="1" max="1" width="54.28515625" style="18" bestFit="1" customWidth="1"/>
    <col min="2" max="2" width="12" style="18" bestFit="1" customWidth="1"/>
    <col min="3" max="3" width="9.140625" style="18" bestFit="1" customWidth="1"/>
    <col min="4" max="6" width="27.28515625" style="18" customWidth="1"/>
    <col min="7" max="7" width="1" style="18" customWidth="1"/>
    <col min="8" max="11" width="2.5703125" style="18" hidden="1" customWidth="1"/>
    <col min="12" max="13" width="9.140625" style="18" hidden="1" customWidth="1"/>
    <col min="14" max="14" width="58.140625" style="18" hidden="1" customWidth="1"/>
    <col min="15" max="15" width="12.85546875" style="18" hidden="1" customWidth="1"/>
    <col min="16" max="16" width="6.85546875" style="18" hidden="1" customWidth="1"/>
    <col min="17" max="17" width="9.140625" style="18" hidden="1" customWidth="1"/>
    <col min="18" max="18" width="11.7109375" style="18" hidden="1" customWidth="1"/>
    <col min="19" max="19" width="9.140625" style="18" hidden="1" customWidth="1"/>
    <col min="20" max="20" width="10.28515625" style="18" hidden="1" customWidth="1"/>
    <col min="21" max="16384" width="9.140625" style="18" hidden="1"/>
  </cols>
  <sheetData>
    <row r="1" spans="1:17" ht="20.25" x14ac:dyDescent="0.3">
      <c r="A1" s="481" t="s">
        <v>563</v>
      </c>
      <c r="B1" s="481"/>
      <c r="C1" s="481"/>
      <c r="D1" s="481"/>
      <c r="E1" s="481"/>
      <c r="F1" s="481"/>
      <c r="L1" s="2" t="s">
        <v>19</v>
      </c>
      <c r="M1" s="2" t="s">
        <v>20</v>
      </c>
      <c r="N1" s="2"/>
      <c r="O1" s="2" t="s">
        <v>15</v>
      </c>
      <c r="P1" s="2" t="s">
        <v>21</v>
      </c>
      <c r="Q1" s="2" t="s">
        <v>22</v>
      </c>
    </row>
    <row r="2" spans="1:17" ht="19.5" customHeight="1" x14ac:dyDescent="0.2">
      <c r="A2" s="126" t="s">
        <v>0</v>
      </c>
      <c r="B2" s="379">
        <f>'Loan Details'!B3</f>
        <v>0</v>
      </c>
      <c r="C2" s="379"/>
      <c r="D2" s="379"/>
      <c r="E2" s="379"/>
      <c r="F2" s="379"/>
      <c r="L2" s="2" t="s">
        <v>23</v>
      </c>
      <c r="M2" s="2" t="s">
        <v>23</v>
      </c>
      <c r="N2" s="2" t="s">
        <v>267</v>
      </c>
      <c r="O2" s="2">
        <v>6.64</v>
      </c>
      <c r="P2" s="2">
        <v>3.95</v>
      </c>
      <c r="Q2" s="2"/>
    </row>
    <row r="3" spans="1:17" ht="15" customHeight="1" x14ac:dyDescent="0.2">
      <c r="A3" s="126" t="s">
        <v>2</v>
      </c>
      <c r="B3" s="380">
        <f>'Loan Details'!B4</f>
        <v>0.19</v>
      </c>
      <c r="C3" s="380"/>
      <c r="D3" s="380"/>
      <c r="E3" s="380"/>
      <c r="F3" s="380"/>
      <c r="L3" s="2" t="s">
        <v>23</v>
      </c>
      <c r="M3" s="2" t="s">
        <v>24</v>
      </c>
      <c r="N3" s="2" t="s">
        <v>268</v>
      </c>
      <c r="O3" s="2">
        <v>5.8</v>
      </c>
      <c r="P3" s="2">
        <v>3.95</v>
      </c>
      <c r="Q3" s="2"/>
    </row>
    <row r="4" spans="1:17" ht="15" customHeight="1" x14ac:dyDescent="0.2">
      <c r="A4" s="126" t="s">
        <v>3</v>
      </c>
      <c r="B4" s="381">
        <f>'Loan Details'!B5</f>
        <v>36</v>
      </c>
      <c r="C4" s="381"/>
      <c r="D4" s="381"/>
      <c r="E4" s="381"/>
      <c r="F4" s="381"/>
      <c r="L4" s="2" t="s">
        <v>23</v>
      </c>
      <c r="M4" s="2" t="s">
        <v>25</v>
      </c>
      <c r="N4" s="2" t="s">
        <v>269</v>
      </c>
      <c r="O4" s="2">
        <v>3.57</v>
      </c>
      <c r="P4" s="2">
        <v>3.57</v>
      </c>
      <c r="Q4" s="2"/>
    </row>
    <row r="5" spans="1:17" ht="15" customHeight="1" x14ac:dyDescent="0.2">
      <c r="A5" s="126" t="s">
        <v>14</v>
      </c>
      <c r="B5" s="381">
        <f>'Loan Details'!C9</f>
        <v>0</v>
      </c>
      <c r="C5" s="381"/>
      <c r="D5" s="381"/>
      <c r="E5" s="381"/>
      <c r="F5" s="381"/>
      <c r="L5" s="2" t="s">
        <v>23</v>
      </c>
      <c r="M5" s="2" t="s">
        <v>26</v>
      </c>
      <c r="N5" s="2" t="s">
        <v>270</v>
      </c>
      <c r="O5" s="2">
        <v>9.69</v>
      </c>
      <c r="P5" s="2">
        <v>3.95</v>
      </c>
      <c r="Q5" s="2"/>
    </row>
    <row r="6" spans="1:17" ht="15" customHeight="1" x14ac:dyDescent="0.2">
      <c r="A6" s="126" t="s">
        <v>16</v>
      </c>
      <c r="B6" s="381">
        <f>'Loan Details'!C10</f>
        <v>0</v>
      </c>
      <c r="C6" s="381"/>
      <c r="D6" s="381"/>
      <c r="E6" s="381"/>
      <c r="F6" s="381"/>
      <c r="L6" s="2" t="s">
        <v>23</v>
      </c>
      <c r="M6" s="2" t="s">
        <v>27</v>
      </c>
      <c r="N6" s="2" t="s">
        <v>271</v>
      </c>
      <c r="O6" s="2">
        <v>6.64</v>
      </c>
      <c r="P6" s="2">
        <v>3.95</v>
      </c>
      <c r="Q6" s="2"/>
    </row>
    <row r="7" spans="1:17" ht="15" customHeight="1" x14ac:dyDescent="0.2">
      <c r="A7" s="126" t="s">
        <v>18</v>
      </c>
      <c r="B7" s="495" t="e">
        <f ca="1">INDIRECT(ADDRESS(MATCH(B6,N:N,0),MATCH(B5,1:1,0),,,))</f>
        <v>#N/A</v>
      </c>
      <c r="C7" s="495"/>
      <c r="D7" s="495"/>
      <c r="E7" s="495"/>
      <c r="F7" s="495"/>
      <c r="L7" s="2" t="s">
        <v>23</v>
      </c>
      <c r="M7" s="2" t="s">
        <v>28</v>
      </c>
      <c r="N7" s="2" t="s">
        <v>272</v>
      </c>
      <c r="O7" s="2">
        <v>9.42</v>
      </c>
      <c r="P7" s="2">
        <v>3.95</v>
      </c>
      <c r="Q7" s="2"/>
    </row>
    <row r="8" spans="1:17" ht="15" customHeight="1" x14ac:dyDescent="0.2">
      <c r="A8" s="126" t="s">
        <v>262</v>
      </c>
      <c r="B8" s="692" t="e">
        <f>MIN(((E13-D13)/D13),20%)</f>
        <v>#DIV/0!</v>
      </c>
      <c r="C8" s="692"/>
      <c r="D8" s="692"/>
      <c r="E8" s="692"/>
      <c r="F8" s="692"/>
      <c r="L8" s="2" t="s">
        <v>23</v>
      </c>
      <c r="M8" s="2" t="s">
        <v>29</v>
      </c>
      <c r="N8" s="2" t="s">
        <v>273</v>
      </c>
      <c r="O8" s="2">
        <v>15.98</v>
      </c>
      <c r="P8" s="2">
        <v>3.95</v>
      </c>
      <c r="Q8" s="2"/>
    </row>
    <row r="9" spans="1:17" ht="18.75" x14ac:dyDescent="0.3">
      <c r="A9" s="492" t="s">
        <v>4</v>
      </c>
      <c r="B9" s="492"/>
      <c r="C9" s="492"/>
      <c r="D9" s="492"/>
      <c r="E9" s="492"/>
      <c r="F9" s="492"/>
      <c r="L9" s="2" t="s">
        <v>23</v>
      </c>
      <c r="M9" s="2" t="s">
        <v>30</v>
      </c>
      <c r="N9" s="2" t="s">
        <v>17</v>
      </c>
      <c r="O9" s="2">
        <v>6.64</v>
      </c>
      <c r="P9" s="2">
        <v>3.95</v>
      </c>
      <c r="Q9" s="2"/>
    </row>
    <row r="10" spans="1:17" ht="15" customHeight="1" x14ac:dyDescent="0.2">
      <c r="A10" s="126" t="s">
        <v>5</v>
      </c>
      <c r="B10" s="379">
        <f>'Loan Details'!C12</f>
        <v>0</v>
      </c>
      <c r="C10" s="379"/>
      <c r="D10" s="379"/>
      <c r="E10" s="379"/>
      <c r="F10" s="379"/>
      <c r="L10" s="2" t="s">
        <v>23</v>
      </c>
      <c r="M10" s="2" t="s">
        <v>31</v>
      </c>
      <c r="N10" s="2" t="s">
        <v>274</v>
      </c>
      <c r="O10" s="2">
        <v>8.61</v>
      </c>
      <c r="P10" s="2">
        <v>3.95</v>
      </c>
      <c r="Q10" s="2"/>
    </row>
    <row r="11" spans="1:17" ht="15" customHeight="1" x14ac:dyDescent="0.3">
      <c r="A11" s="492" t="s">
        <v>562</v>
      </c>
      <c r="B11" s="492"/>
      <c r="C11" s="492"/>
      <c r="D11" s="492"/>
      <c r="E11" s="492"/>
      <c r="F11" s="492"/>
      <c r="L11" s="2" t="s">
        <v>23</v>
      </c>
      <c r="M11" s="2" t="s">
        <v>32</v>
      </c>
      <c r="N11" s="2" t="s">
        <v>275</v>
      </c>
      <c r="O11" s="2">
        <v>9.69</v>
      </c>
      <c r="P11" s="2">
        <v>3.95</v>
      </c>
      <c r="Q11" s="2"/>
    </row>
    <row r="12" spans="1:17" ht="15" customHeight="1" x14ac:dyDescent="0.2">
      <c r="A12" s="691" t="s">
        <v>234</v>
      </c>
      <c r="B12" s="679" t="s">
        <v>7</v>
      </c>
      <c r="C12" s="680"/>
      <c r="D12" s="110" t="s">
        <v>231</v>
      </c>
      <c r="E12" s="110" t="s">
        <v>232</v>
      </c>
      <c r="F12" s="110" t="s">
        <v>233</v>
      </c>
      <c r="L12" s="2" t="s">
        <v>23</v>
      </c>
      <c r="M12" s="2" t="s">
        <v>33</v>
      </c>
      <c r="N12" s="2" t="s">
        <v>276</v>
      </c>
      <c r="O12" s="2">
        <v>12.26</v>
      </c>
      <c r="P12" s="2">
        <v>3.95</v>
      </c>
      <c r="Q12" s="2"/>
    </row>
    <row r="13" spans="1:17" ht="15" customHeight="1" x14ac:dyDescent="0.2">
      <c r="A13" s="691"/>
      <c r="B13" s="689">
        <v>1</v>
      </c>
      <c r="C13" s="690"/>
      <c r="D13" s="106">
        <f>'Loan Details'!C14</f>
        <v>0</v>
      </c>
      <c r="E13" s="106">
        <f>'Loan Details'!E14</f>
        <v>0</v>
      </c>
      <c r="F13" s="123" t="e">
        <f>IF(((E13-D13)/D13)&lt;=20%,B13*E13,IF(((E13-D13)/D13)&lt;=50%,B13*MAX(AVERAGE(E13,D13),1.2*D13),B13*AVERAGE(E13,D13)))</f>
        <v>#DIV/0!</v>
      </c>
      <c r="L13" s="2" t="s">
        <v>23</v>
      </c>
      <c r="M13" s="2" t="s">
        <v>34</v>
      </c>
      <c r="N13" s="2" t="s">
        <v>277</v>
      </c>
      <c r="O13" s="2">
        <v>6.09</v>
      </c>
      <c r="P13" s="2">
        <v>3.95</v>
      </c>
      <c r="Q13" s="2"/>
    </row>
    <row r="14" spans="1:17" ht="15" customHeight="1" x14ac:dyDescent="0.2">
      <c r="A14" s="126" t="s">
        <v>18</v>
      </c>
      <c r="B14" s="570" t="e">
        <f ca="1">B7/100</f>
        <v>#N/A</v>
      </c>
      <c r="C14" s="570"/>
      <c r="D14" s="570"/>
      <c r="E14" s="570"/>
      <c r="F14" s="570"/>
      <c r="L14" s="2" t="s">
        <v>23</v>
      </c>
      <c r="M14" s="2" t="s">
        <v>35</v>
      </c>
      <c r="N14" s="2" t="s">
        <v>278</v>
      </c>
      <c r="O14" s="2">
        <v>6.64</v>
      </c>
      <c r="P14" s="2">
        <v>3.95</v>
      </c>
      <c r="Q14" s="2"/>
    </row>
    <row r="15" spans="1:17" ht="15" customHeight="1" x14ac:dyDescent="0.2">
      <c r="A15" s="126" t="s">
        <v>235</v>
      </c>
      <c r="B15" s="489" t="e">
        <f ca="1">F13*(1+(MIN(((E13-D13)/D13),0.2)))^2*B14</f>
        <v>#DIV/0!</v>
      </c>
      <c r="C15" s="489"/>
      <c r="D15" s="489"/>
      <c r="E15" s="489"/>
      <c r="F15" s="489"/>
      <c r="L15" s="2" t="s">
        <v>36</v>
      </c>
      <c r="M15" s="2" t="s">
        <v>36</v>
      </c>
      <c r="N15" s="2" t="s">
        <v>279</v>
      </c>
      <c r="O15" s="2">
        <v>7.43</v>
      </c>
      <c r="P15" s="2">
        <v>7.43</v>
      </c>
      <c r="Q15" s="2"/>
    </row>
    <row r="16" spans="1:17" ht="15" customHeight="1" x14ac:dyDescent="0.3">
      <c r="A16" s="492" t="s">
        <v>564</v>
      </c>
      <c r="B16" s="492"/>
      <c r="C16" s="492"/>
      <c r="D16" s="492"/>
      <c r="E16" s="492"/>
      <c r="F16" s="492"/>
      <c r="L16" s="2" t="s">
        <v>37</v>
      </c>
      <c r="M16" s="2" t="s">
        <v>38</v>
      </c>
      <c r="N16" s="2" t="s">
        <v>280</v>
      </c>
      <c r="O16" s="2"/>
      <c r="P16" s="2">
        <v>5.43</v>
      </c>
      <c r="Q16" s="2"/>
    </row>
    <row r="17" spans="1:17" ht="17.25" customHeight="1" x14ac:dyDescent="0.2">
      <c r="A17" s="113" t="s">
        <v>565</v>
      </c>
      <c r="B17" s="679" t="s">
        <v>7</v>
      </c>
      <c r="C17" s="680"/>
      <c r="D17" s="110" t="s">
        <v>231</v>
      </c>
      <c r="E17" s="110" t="s">
        <v>232</v>
      </c>
      <c r="F17" s="110" t="s">
        <v>233</v>
      </c>
      <c r="L17" s="2" t="s">
        <v>37</v>
      </c>
      <c r="M17" s="2" t="s">
        <v>39</v>
      </c>
      <c r="N17" s="2" t="s">
        <v>281</v>
      </c>
      <c r="O17" s="2">
        <v>10.17</v>
      </c>
      <c r="P17" s="2">
        <v>5.43</v>
      </c>
      <c r="Q17" s="2"/>
    </row>
    <row r="18" spans="1:17" ht="15" customHeight="1" x14ac:dyDescent="0.2">
      <c r="A18" s="126" t="s">
        <v>236</v>
      </c>
      <c r="B18" s="689">
        <v>1</v>
      </c>
      <c r="C18" s="690"/>
      <c r="D18" s="106">
        <f>'Loan Details'!C16</f>
        <v>0</v>
      </c>
      <c r="E18" s="106">
        <f>'Loan Details'!E16</f>
        <v>0</v>
      </c>
      <c r="F18" s="491">
        <f>(B18*E18)+(B19*E19)+(B20*E20)+(B21*E21)</f>
        <v>0</v>
      </c>
      <c r="L18" s="2" t="s">
        <v>37</v>
      </c>
      <c r="M18" s="2" t="s">
        <v>40</v>
      </c>
      <c r="N18" s="2" t="s">
        <v>282</v>
      </c>
      <c r="O18" s="2">
        <v>10.17</v>
      </c>
      <c r="P18" s="2">
        <v>5.43</v>
      </c>
      <c r="Q18" s="2"/>
    </row>
    <row r="19" spans="1:17" ht="15" customHeight="1" x14ac:dyDescent="0.2">
      <c r="A19" s="126" t="s">
        <v>237</v>
      </c>
      <c r="B19" s="689">
        <v>1</v>
      </c>
      <c r="C19" s="690"/>
      <c r="D19" s="106">
        <f>'Loan Details'!C19</f>
        <v>0</v>
      </c>
      <c r="E19" s="106">
        <f>'Loan Details'!E19</f>
        <v>0</v>
      </c>
      <c r="F19" s="491"/>
      <c r="L19" s="2" t="s">
        <v>37</v>
      </c>
      <c r="M19" s="2" t="s">
        <v>41</v>
      </c>
      <c r="N19" s="2" t="s">
        <v>283</v>
      </c>
      <c r="O19" s="2">
        <v>2.7</v>
      </c>
      <c r="P19" s="2">
        <v>5.43</v>
      </c>
      <c r="Q19" s="2"/>
    </row>
    <row r="20" spans="1:17" ht="15" customHeight="1" x14ac:dyDescent="0.2">
      <c r="A20" s="126" t="s">
        <v>238</v>
      </c>
      <c r="B20" s="689">
        <v>1</v>
      </c>
      <c r="C20" s="690"/>
      <c r="D20" s="106">
        <f>'Loan Details'!C20</f>
        <v>0</v>
      </c>
      <c r="E20" s="106">
        <f>'Loan Details'!E20</f>
        <v>0</v>
      </c>
      <c r="F20" s="491"/>
      <c r="L20" s="2" t="s">
        <v>37</v>
      </c>
      <c r="M20" s="2" t="s">
        <v>42</v>
      </c>
      <c r="N20" s="2" t="s">
        <v>284</v>
      </c>
      <c r="O20" s="2">
        <v>8.5</v>
      </c>
      <c r="P20" s="2">
        <v>5.43</v>
      </c>
      <c r="Q20" s="2"/>
    </row>
    <row r="21" spans="1:17" ht="15" customHeight="1" x14ac:dyDescent="0.2">
      <c r="A21" s="126" t="s">
        <v>239</v>
      </c>
      <c r="B21" s="689">
        <v>1</v>
      </c>
      <c r="C21" s="690"/>
      <c r="D21" s="106">
        <f>'Loan Details'!C21</f>
        <v>0</v>
      </c>
      <c r="E21" s="106">
        <f>'Loan Details'!E21</f>
        <v>0</v>
      </c>
      <c r="F21" s="491"/>
      <c r="L21" s="2" t="s">
        <v>43</v>
      </c>
      <c r="M21" s="2" t="s">
        <v>44</v>
      </c>
      <c r="N21" s="2" t="s">
        <v>285</v>
      </c>
      <c r="O21" s="2"/>
      <c r="P21" s="2"/>
      <c r="Q21" s="2">
        <v>12.36</v>
      </c>
    </row>
    <row r="22" spans="1:17" ht="15" customHeight="1" x14ac:dyDescent="0.3">
      <c r="A22" s="492" t="s">
        <v>244</v>
      </c>
      <c r="B22" s="492"/>
      <c r="C22" s="492"/>
      <c r="D22" s="492"/>
      <c r="E22" s="492"/>
      <c r="F22" s="492"/>
      <c r="L22" s="2" t="s">
        <v>45</v>
      </c>
      <c r="M22" s="2" t="s">
        <v>46</v>
      </c>
      <c r="N22" s="2" t="s">
        <v>286</v>
      </c>
      <c r="O22" s="2"/>
      <c r="P22" s="2">
        <v>5.04</v>
      </c>
      <c r="Q22" s="2"/>
    </row>
    <row r="23" spans="1:17" ht="15" customHeight="1" x14ac:dyDescent="0.2">
      <c r="A23" s="113" t="s">
        <v>565</v>
      </c>
      <c r="B23" s="110" t="s">
        <v>7</v>
      </c>
      <c r="C23" s="110" t="s">
        <v>8</v>
      </c>
      <c r="D23" s="110" t="s">
        <v>231</v>
      </c>
      <c r="E23" s="110" t="s">
        <v>232</v>
      </c>
      <c r="F23" s="110" t="s">
        <v>233</v>
      </c>
      <c r="L23" s="2" t="s">
        <v>47</v>
      </c>
      <c r="M23" s="2" t="s">
        <v>48</v>
      </c>
      <c r="N23" s="2" t="s">
        <v>266</v>
      </c>
      <c r="O23" s="2">
        <v>10.99</v>
      </c>
      <c r="P23" s="2">
        <v>5.04</v>
      </c>
      <c r="Q23" s="2"/>
    </row>
    <row r="24" spans="1:17" ht="15" customHeight="1" x14ac:dyDescent="0.2">
      <c r="A24" s="126" t="s">
        <v>240</v>
      </c>
      <c r="B24" s="124">
        <v>1</v>
      </c>
      <c r="C24" s="490" t="s">
        <v>561</v>
      </c>
      <c r="D24" s="106">
        <v>0</v>
      </c>
      <c r="E24" s="106">
        <v>0</v>
      </c>
      <c r="F24" s="123">
        <f>IF(C24="Annualy",E24*B24,E24*B24*12)</f>
        <v>0</v>
      </c>
      <c r="L24" s="2" t="s">
        <v>49</v>
      </c>
      <c r="M24" s="2" t="s">
        <v>50</v>
      </c>
      <c r="N24" s="2" t="s">
        <v>287</v>
      </c>
      <c r="O24" s="2">
        <v>9.48</v>
      </c>
      <c r="P24" s="2">
        <v>5.31</v>
      </c>
      <c r="Q24" s="2"/>
    </row>
    <row r="25" spans="1:17" ht="15" customHeight="1" x14ac:dyDescent="0.2">
      <c r="A25" s="126" t="s">
        <v>242</v>
      </c>
      <c r="B25" s="124">
        <v>1</v>
      </c>
      <c r="C25" s="490"/>
      <c r="D25" s="106">
        <v>0</v>
      </c>
      <c r="E25" s="106">
        <v>0</v>
      </c>
      <c r="F25" s="123">
        <f>IF(C24="Monthly",AVERAGE(B25*D25*12,B25*E25*12),AVERAGE(B25*D25,B25*E25))</f>
        <v>0</v>
      </c>
      <c r="L25" s="2" t="s">
        <v>49</v>
      </c>
      <c r="M25" s="2" t="s">
        <v>51</v>
      </c>
      <c r="N25" s="2" t="s">
        <v>288</v>
      </c>
      <c r="O25" s="2"/>
      <c r="P25" s="2">
        <v>5.31</v>
      </c>
      <c r="Q25" s="2"/>
    </row>
    <row r="26" spans="1:17" ht="15" customHeight="1" x14ac:dyDescent="0.2">
      <c r="A26" s="126" t="s">
        <v>243</v>
      </c>
      <c r="B26" s="124">
        <v>1</v>
      </c>
      <c r="C26" s="490"/>
      <c r="D26" s="106">
        <v>0</v>
      </c>
      <c r="E26" s="106">
        <v>0</v>
      </c>
      <c r="F26" s="123">
        <f>IF(C24="Monthly",AVERAGE(B26*D26*12,B26*E26*12),AVERAGE(B26*D26,B26*E26))</f>
        <v>0</v>
      </c>
      <c r="L26" s="2" t="s">
        <v>49</v>
      </c>
      <c r="M26" s="2" t="s">
        <v>52</v>
      </c>
      <c r="N26" s="2" t="s">
        <v>289</v>
      </c>
      <c r="O26" s="2">
        <v>9.48</v>
      </c>
      <c r="P26" s="2">
        <v>5.31</v>
      </c>
      <c r="Q26" s="2"/>
    </row>
    <row r="27" spans="1:17" ht="15" customHeight="1" x14ac:dyDescent="0.2">
      <c r="A27" s="126" t="s">
        <v>244</v>
      </c>
      <c r="B27" s="124">
        <v>1</v>
      </c>
      <c r="C27" s="490"/>
      <c r="D27" s="106">
        <v>0</v>
      </c>
      <c r="E27" s="106">
        <v>0</v>
      </c>
      <c r="F27" s="123">
        <f>IF(C24="Monthly",AVERAGE(B27*D27*12,B27*E27*12),AVERAGE(B27*D27,B27*E27))</f>
        <v>0</v>
      </c>
      <c r="L27" s="2" t="s">
        <v>49</v>
      </c>
      <c r="M27" s="2" t="s">
        <v>53</v>
      </c>
      <c r="N27" s="2" t="s">
        <v>290</v>
      </c>
      <c r="O27" s="2">
        <v>8.11</v>
      </c>
      <c r="P27" s="2">
        <v>5.31</v>
      </c>
      <c r="Q27" s="2"/>
    </row>
    <row r="28" spans="1:17" ht="15" customHeight="1" x14ac:dyDescent="0.2">
      <c r="A28" s="126" t="s">
        <v>780</v>
      </c>
      <c r="B28" s="489">
        <f>MIN(SUM(F24:F27),1.5*F18)</f>
        <v>0</v>
      </c>
      <c r="C28" s="489"/>
      <c r="D28" s="489"/>
      <c r="E28" s="489"/>
      <c r="F28" s="489"/>
      <c r="L28" s="2" t="s">
        <v>49</v>
      </c>
      <c r="M28" s="2" t="s">
        <v>54</v>
      </c>
      <c r="N28" s="2" t="s">
        <v>291</v>
      </c>
      <c r="O28" s="2">
        <v>8.81</v>
      </c>
      <c r="P28" s="2">
        <v>5.31</v>
      </c>
      <c r="Q28" s="2"/>
    </row>
    <row r="29" spans="1:17" ht="15" customHeight="1" x14ac:dyDescent="0.3">
      <c r="A29" s="492" t="s">
        <v>9</v>
      </c>
      <c r="B29" s="492"/>
      <c r="C29" s="492"/>
      <c r="D29" s="492"/>
      <c r="E29" s="492"/>
      <c r="F29" s="492"/>
      <c r="L29" s="2" t="s">
        <v>49</v>
      </c>
      <c r="M29" s="2" t="s">
        <v>55</v>
      </c>
      <c r="N29" s="2" t="s">
        <v>292</v>
      </c>
      <c r="O29" s="2">
        <v>9.48</v>
      </c>
      <c r="P29" s="2">
        <v>5.31</v>
      </c>
      <c r="Q29" s="2"/>
    </row>
    <row r="30" spans="1:17" ht="15" customHeight="1" x14ac:dyDescent="0.2">
      <c r="A30" s="126" t="s">
        <v>245</v>
      </c>
      <c r="B30" s="489" t="e">
        <f ca="1">MIN(F18*5,B15)+B28</f>
        <v>#DIV/0!</v>
      </c>
      <c r="C30" s="489"/>
      <c r="D30" s="489"/>
      <c r="E30" s="489"/>
      <c r="F30" s="489"/>
      <c r="L30" s="2" t="s">
        <v>49</v>
      </c>
      <c r="M30" s="2" t="s">
        <v>56</v>
      </c>
      <c r="N30" s="2" t="s">
        <v>293</v>
      </c>
      <c r="O30" s="2">
        <v>7.45</v>
      </c>
      <c r="P30" s="2">
        <v>5.31</v>
      </c>
      <c r="Q30" s="2"/>
    </row>
    <row r="31" spans="1:17" ht="15" customHeight="1" x14ac:dyDescent="0.2">
      <c r="A31" s="126" t="s">
        <v>246</v>
      </c>
      <c r="B31" s="489" t="e">
        <f ca="1">B30/12</f>
        <v>#DIV/0!</v>
      </c>
      <c r="C31" s="489"/>
      <c r="D31" s="489"/>
      <c r="E31" s="489"/>
      <c r="F31" s="489"/>
      <c r="L31" s="2" t="s">
        <v>49</v>
      </c>
      <c r="M31" s="2" t="s">
        <v>57</v>
      </c>
      <c r="N31" s="2" t="s">
        <v>294</v>
      </c>
      <c r="O31" s="2">
        <v>7.15</v>
      </c>
      <c r="P31" s="2">
        <v>5.31</v>
      </c>
      <c r="Q31" s="2"/>
    </row>
    <row r="32" spans="1:17" ht="15" customHeight="1" x14ac:dyDescent="0.2">
      <c r="A32" s="126" t="s">
        <v>10</v>
      </c>
      <c r="B32" s="489">
        <f>B10</f>
        <v>0</v>
      </c>
      <c r="C32" s="489"/>
      <c r="D32" s="489"/>
      <c r="E32" s="489"/>
      <c r="F32" s="489"/>
      <c r="L32" s="2" t="s">
        <v>49</v>
      </c>
      <c r="M32" s="2" t="s">
        <v>58</v>
      </c>
      <c r="N32" s="2" t="s">
        <v>295</v>
      </c>
      <c r="O32" s="2">
        <v>6.29</v>
      </c>
      <c r="P32" s="2">
        <v>5.31</v>
      </c>
      <c r="Q32" s="2"/>
    </row>
    <row r="33" spans="1:22" ht="15" customHeight="1" x14ac:dyDescent="0.2">
      <c r="A33" s="120" t="s">
        <v>779</v>
      </c>
      <c r="B33" s="496">
        <f>-PMT(B3/12,B4,B2)</f>
        <v>0</v>
      </c>
      <c r="C33" s="497"/>
      <c r="D33" s="497"/>
      <c r="E33" s="497"/>
      <c r="F33" s="497"/>
      <c r="L33" s="2" t="s">
        <v>49</v>
      </c>
      <c r="M33" s="2" t="s">
        <v>59</v>
      </c>
      <c r="N33" s="2" t="s">
        <v>296</v>
      </c>
      <c r="O33" s="2">
        <v>10.11</v>
      </c>
      <c r="P33" s="2">
        <v>5.31</v>
      </c>
      <c r="Q33" s="2"/>
    </row>
    <row r="34" spans="1:22" ht="15" customHeight="1" x14ac:dyDescent="0.2">
      <c r="A34" s="120" t="s">
        <v>778</v>
      </c>
      <c r="B34" s="677" t="e">
        <f ca="1">(B32+B33)/B31</f>
        <v>#DIV/0!</v>
      </c>
      <c r="C34" s="678"/>
      <c r="D34" s="678"/>
      <c r="E34" s="678"/>
      <c r="F34" s="678"/>
      <c r="L34" s="2" t="s">
        <v>60</v>
      </c>
      <c r="M34" s="2" t="s">
        <v>61</v>
      </c>
      <c r="N34" s="2" t="s">
        <v>297</v>
      </c>
      <c r="O34" s="2"/>
      <c r="P34" s="2"/>
      <c r="Q34" s="2">
        <v>10.73</v>
      </c>
    </row>
    <row r="35" spans="1:22" ht="15" customHeight="1" x14ac:dyDescent="0.2">
      <c r="A35" s="120" t="s">
        <v>777</v>
      </c>
      <c r="B35" s="496" t="e">
        <f ca="1">IF(B34&gt;75%,"Not Eligible for applied Loan Amount","Eligible for applied Loan Amount")</f>
        <v>#DIV/0!</v>
      </c>
      <c r="C35" s="497"/>
      <c r="D35" s="497"/>
      <c r="E35" s="497"/>
      <c r="F35" s="497"/>
      <c r="L35" s="2" t="s">
        <v>60</v>
      </c>
      <c r="M35" s="2" t="s">
        <v>62</v>
      </c>
      <c r="N35" s="2" t="s">
        <v>298</v>
      </c>
      <c r="O35" s="2"/>
      <c r="P35" s="2"/>
      <c r="Q35" s="2">
        <v>12.9</v>
      </c>
    </row>
    <row r="36" spans="1:22" ht="4.5" customHeight="1" x14ac:dyDescent="0.2">
      <c r="L36" s="2" t="s">
        <v>60</v>
      </c>
      <c r="M36" s="2" t="s">
        <v>63</v>
      </c>
      <c r="N36" s="2" t="s">
        <v>299</v>
      </c>
      <c r="O36" s="2">
        <v>7.98</v>
      </c>
      <c r="P36" s="2">
        <v>7.98</v>
      </c>
      <c r="Q36" s="2"/>
    </row>
    <row r="37" spans="1:22" ht="9" hidden="1" customHeight="1" x14ac:dyDescent="0.2">
      <c r="L37" s="2" t="s">
        <v>64</v>
      </c>
      <c r="M37" s="2" t="s">
        <v>65</v>
      </c>
      <c r="N37" s="2" t="s">
        <v>300</v>
      </c>
      <c r="O37" s="2">
        <v>9.64</v>
      </c>
      <c r="P37" s="2">
        <v>5.04</v>
      </c>
      <c r="Q37" s="2"/>
    </row>
    <row r="38" spans="1:22" ht="15" hidden="1" customHeight="1" x14ac:dyDescent="0.2">
      <c r="L38" s="2" t="s">
        <v>64</v>
      </c>
      <c r="M38" s="2" t="s">
        <v>66</v>
      </c>
      <c r="N38" s="2" t="s">
        <v>301</v>
      </c>
      <c r="O38" s="2"/>
      <c r="P38" s="2"/>
      <c r="Q38" s="2">
        <v>9.65</v>
      </c>
    </row>
    <row r="39" spans="1:22" ht="15" hidden="1" customHeight="1" x14ac:dyDescent="0.2">
      <c r="L39" s="2" t="s">
        <v>64</v>
      </c>
      <c r="M39" s="2" t="s">
        <v>434</v>
      </c>
      <c r="N39" s="2" t="s">
        <v>435</v>
      </c>
      <c r="O39" s="2"/>
      <c r="P39" s="2"/>
      <c r="Q39" s="2">
        <v>10.18</v>
      </c>
      <c r="R39" s="61"/>
    </row>
    <row r="40" spans="1:22" ht="14.25" hidden="1" customHeight="1" x14ac:dyDescent="0.2">
      <c r="L40" s="2" t="s">
        <v>64</v>
      </c>
      <c r="M40" s="2" t="s">
        <v>67</v>
      </c>
      <c r="N40" s="2" t="s">
        <v>429</v>
      </c>
      <c r="O40" s="2"/>
      <c r="P40" s="2"/>
      <c r="Q40" s="2">
        <v>13.94</v>
      </c>
      <c r="R40" s="61"/>
    </row>
    <row r="41" spans="1:22" ht="7.5" hidden="1" customHeight="1" x14ac:dyDescent="0.2">
      <c r="L41" s="2" t="s">
        <v>64</v>
      </c>
      <c r="M41" s="2" t="s">
        <v>70</v>
      </c>
      <c r="N41" s="2" t="s">
        <v>302</v>
      </c>
      <c r="O41" s="2"/>
      <c r="P41" s="2"/>
      <c r="Q41" s="2">
        <v>13.01</v>
      </c>
    </row>
    <row r="42" spans="1:22" ht="14.25" hidden="1" customHeight="1" x14ac:dyDescent="0.2">
      <c r="L42" s="2" t="s">
        <v>72</v>
      </c>
      <c r="M42" s="2" t="s">
        <v>73</v>
      </c>
      <c r="N42" s="2" t="s">
        <v>303</v>
      </c>
      <c r="O42" s="2">
        <v>9.4499999999999993</v>
      </c>
      <c r="P42" s="2">
        <v>9.4499999999999993</v>
      </c>
      <c r="Q42" s="2">
        <v>9.4499999999999993</v>
      </c>
      <c r="R42" s="61"/>
    </row>
    <row r="43" spans="1:22" ht="14.25" hidden="1" customHeight="1" x14ac:dyDescent="0.2">
      <c r="L43" s="2" t="s">
        <v>74</v>
      </c>
      <c r="M43" s="2" t="s">
        <v>75</v>
      </c>
      <c r="N43" s="2" t="s">
        <v>304</v>
      </c>
      <c r="O43" s="2">
        <v>6.94</v>
      </c>
      <c r="P43" s="2">
        <v>6.94</v>
      </c>
      <c r="Q43" s="2">
        <v>6.94</v>
      </c>
      <c r="R43" s="61"/>
      <c r="S43" s="1"/>
      <c r="T43" s="1"/>
      <c r="V43" s="21"/>
    </row>
    <row r="44" spans="1:22" ht="15" hidden="1" customHeight="1" x14ac:dyDescent="0.2">
      <c r="L44" s="2" t="s">
        <v>76</v>
      </c>
      <c r="M44" s="2" t="s">
        <v>77</v>
      </c>
      <c r="N44" s="2" t="s">
        <v>305</v>
      </c>
      <c r="O44" s="2">
        <v>8.58</v>
      </c>
      <c r="P44" s="2">
        <v>8.58</v>
      </c>
      <c r="Q44" s="2"/>
      <c r="S44" s="1"/>
      <c r="T44" s="1"/>
      <c r="V44" s="21"/>
    </row>
    <row r="45" spans="1:22" ht="15" hidden="1" customHeight="1" x14ac:dyDescent="0.2">
      <c r="L45" s="2" t="s">
        <v>78</v>
      </c>
      <c r="M45" s="2" t="s">
        <v>79</v>
      </c>
      <c r="N45" s="2" t="s">
        <v>306</v>
      </c>
      <c r="O45" s="2"/>
      <c r="P45" s="2"/>
      <c r="Q45" s="2">
        <v>18.14</v>
      </c>
      <c r="R45" s="61"/>
      <c r="S45" s="1"/>
      <c r="T45" s="1"/>
    </row>
    <row r="46" spans="1:22" ht="15" hidden="1" customHeight="1" x14ac:dyDescent="0.2">
      <c r="L46" s="2" t="s">
        <v>78</v>
      </c>
      <c r="M46" s="2" t="s">
        <v>80</v>
      </c>
      <c r="N46" s="2" t="s">
        <v>307</v>
      </c>
      <c r="O46" s="2"/>
      <c r="P46" s="2"/>
      <c r="Q46" s="2">
        <v>10.38</v>
      </c>
      <c r="S46" s="1"/>
      <c r="T46" s="1"/>
    </row>
    <row r="47" spans="1:22" ht="15" hidden="1" customHeight="1" x14ac:dyDescent="0.2">
      <c r="L47" s="2" t="s">
        <v>78</v>
      </c>
      <c r="M47" s="2" t="s">
        <v>81</v>
      </c>
      <c r="N47" s="2" t="s">
        <v>308</v>
      </c>
      <c r="O47" s="2"/>
      <c r="P47" s="2"/>
      <c r="Q47" s="2">
        <v>5.4</v>
      </c>
    </row>
    <row r="48" spans="1:22" ht="15" hidden="1" customHeight="1" x14ac:dyDescent="0.2">
      <c r="L48" s="2" t="s">
        <v>82</v>
      </c>
      <c r="M48" s="2" t="s">
        <v>82</v>
      </c>
      <c r="N48" s="2" t="s">
        <v>309</v>
      </c>
      <c r="O48" s="2">
        <v>7.6</v>
      </c>
      <c r="P48" s="2">
        <v>5.04</v>
      </c>
      <c r="Q48" s="2"/>
      <c r="S48" s="1"/>
      <c r="T48" s="1"/>
    </row>
    <row r="49" spans="7:20" ht="15" hidden="1" customHeight="1" x14ac:dyDescent="0.2">
      <c r="L49" s="2" t="s">
        <v>83</v>
      </c>
      <c r="M49" s="2" t="s">
        <v>84</v>
      </c>
      <c r="N49" s="2" t="s">
        <v>310</v>
      </c>
      <c r="O49" s="2">
        <v>7.17</v>
      </c>
      <c r="P49" s="2">
        <v>3.95</v>
      </c>
      <c r="Q49" s="2"/>
    </row>
    <row r="50" spans="7:20" ht="15" hidden="1" customHeight="1" x14ac:dyDescent="0.2">
      <c r="L50" s="2" t="s">
        <v>83</v>
      </c>
      <c r="M50" s="2" t="s">
        <v>85</v>
      </c>
      <c r="N50" s="2" t="s">
        <v>311</v>
      </c>
      <c r="O50" s="2">
        <v>6.49</v>
      </c>
      <c r="P50" s="2">
        <v>3.95</v>
      </c>
      <c r="Q50" s="2"/>
    </row>
    <row r="51" spans="7:20" ht="15" hidden="1" customHeight="1" x14ac:dyDescent="0.2">
      <c r="L51" s="2" t="s">
        <v>83</v>
      </c>
      <c r="M51" s="2" t="s">
        <v>86</v>
      </c>
      <c r="N51" s="2" t="s">
        <v>312</v>
      </c>
      <c r="O51" s="2">
        <v>7.17</v>
      </c>
      <c r="P51" s="2">
        <v>3.95</v>
      </c>
      <c r="Q51" s="2"/>
      <c r="S51" s="61"/>
      <c r="T51" s="3"/>
    </row>
    <row r="52" spans="7:20" ht="15" hidden="1" customHeight="1" x14ac:dyDescent="0.2">
      <c r="L52" s="2" t="s">
        <v>87</v>
      </c>
      <c r="M52" s="2" t="s">
        <v>88</v>
      </c>
      <c r="N52" s="2" t="s">
        <v>313</v>
      </c>
      <c r="O52" s="2">
        <v>4.34</v>
      </c>
      <c r="P52" s="2">
        <v>3.95</v>
      </c>
      <c r="Q52" s="2"/>
      <c r="S52" s="61"/>
      <c r="T52" s="22"/>
    </row>
    <row r="53" spans="7:20" ht="15" hidden="1" customHeight="1" x14ac:dyDescent="0.2">
      <c r="L53" s="2" t="s">
        <v>89</v>
      </c>
      <c r="M53" s="2" t="s">
        <v>90</v>
      </c>
      <c r="N53" s="2" t="s">
        <v>314</v>
      </c>
      <c r="O53" s="2">
        <v>5.33</v>
      </c>
      <c r="P53" s="2">
        <v>3.95</v>
      </c>
      <c r="Q53" s="2"/>
    </row>
    <row r="54" spans="7:20" ht="15" hidden="1" customHeight="1" x14ac:dyDescent="0.2">
      <c r="L54" s="2" t="s">
        <v>89</v>
      </c>
      <c r="M54" s="2" t="s">
        <v>91</v>
      </c>
      <c r="N54" s="2" t="s">
        <v>315</v>
      </c>
      <c r="O54" s="2">
        <v>9.42</v>
      </c>
      <c r="P54" s="2">
        <v>3.95</v>
      </c>
      <c r="Q54" s="2"/>
      <c r="S54" s="61"/>
      <c r="T54" s="3"/>
    </row>
    <row r="55" spans="7:20" ht="15" hidden="1" customHeight="1" x14ac:dyDescent="0.2">
      <c r="L55" s="2" t="s">
        <v>89</v>
      </c>
      <c r="M55" s="2" t="s">
        <v>92</v>
      </c>
      <c r="N55" s="2" t="s">
        <v>316</v>
      </c>
      <c r="O55" s="2">
        <v>3.4</v>
      </c>
      <c r="P55" s="2">
        <v>3.95</v>
      </c>
      <c r="Q55" s="2"/>
      <c r="S55" s="61"/>
      <c r="T55" s="22"/>
    </row>
    <row r="56" spans="7:20" ht="15" hidden="1" customHeight="1" x14ac:dyDescent="0.2">
      <c r="L56" s="2" t="s">
        <v>89</v>
      </c>
      <c r="M56" s="2" t="s">
        <v>93</v>
      </c>
      <c r="N56" s="2" t="s">
        <v>317</v>
      </c>
      <c r="O56" s="2">
        <v>4.8899999999999997</v>
      </c>
      <c r="P56" s="2">
        <v>3.95</v>
      </c>
      <c r="Q56" s="2"/>
    </row>
    <row r="57" spans="7:20" ht="15" hidden="1" customHeight="1" x14ac:dyDescent="0.2">
      <c r="L57" s="2" t="s">
        <v>89</v>
      </c>
      <c r="M57" s="2" t="s">
        <v>94</v>
      </c>
      <c r="N57" s="2" t="s">
        <v>318</v>
      </c>
      <c r="O57" s="2">
        <v>6.64</v>
      </c>
      <c r="P57" s="2">
        <v>3.95</v>
      </c>
      <c r="Q57" s="2"/>
      <c r="S57" s="61"/>
    </row>
    <row r="58" spans="7:20" ht="15" hidden="1" customHeight="1" x14ac:dyDescent="0.2">
      <c r="G58" s="24"/>
      <c r="H58" s="24"/>
      <c r="I58" s="24"/>
      <c r="J58" s="24"/>
      <c r="K58" s="24"/>
      <c r="L58" s="2" t="s">
        <v>95</v>
      </c>
      <c r="M58" s="2" t="s">
        <v>96</v>
      </c>
      <c r="N58" s="2" t="s">
        <v>319</v>
      </c>
      <c r="O58" s="2">
        <v>11.15</v>
      </c>
      <c r="P58" s="2">
        <v>5.8</v>
      </c>
      <c r="Q58" s="2"/>
    </row>
    <row r="59" spans="7:20" ht="15" hidden="1" customHeight="1" x14ac:dyDescent="0.2">
      <c r="L59" s="2" t="s">
        <v>97</v>
      </c>
      <c r="M59" s="2" t="s">
        <v>98</v>
      </c>
      <c r="N59" s="2" t="s">
        <v>320</v>
      </c>
      <c r="O59" s="2">
        <v>7.98</v>
      </c>
      <c r="P59" s="2">
        <v>7.98</v>
      </c>
      <c r="Q59" s="2"/>
    </row>
    <row r="60" spans="7:20" ht="15" hidden="1" customHeight="1" x14ac:dyDescent="0.2">
      <c r="L60" s="2" t="s">
        <v>99</v>
      </c>
      <c r="M60" s="2" t="s">
        <v>100</v>
      </c>
      <c r="N60" s="2" t="s">
        <v>321</v>
      </c>
      <c r="O60" s="2"/>
      <c r="P60" s="2"/>
      <c r="Q60" s="2">
        <v>18.5</v>
      </c>
    </row>
    <row r="61" spans="7:20" ht="15" hidden="1" customHeight="1" x14ac:dyDescent="0.2">
      <c r="L61" s="2" t="s">
        <v>99</v>
      </c>
      <c r="M61" s="2" t="s">
        <v>101</v>
      </c>
      <c r="N61" s="2" t="s">
        <v>322</v>
      </c>
      <c r="O61" s="2">
        <v>8.8000000000000007</v>
      </c>
      <c r="P61" s="2">
        <v>8.8000000000000007</v>
      </c>
      <c r="Q61" s="2"/>
    </row>
    <row r="62" spans="7:20" ht="15" hidden="1" customHeight="1" x14ac:dyDescent="0.2">
      <c r="L62" s="2" t="s">
        <v>102</v>
      </c>
      <c r="M62" s="2" t="s">
        <v>103</v>
      </c>
      <c r="N62" s="2" t="s">
        <v>323</v>
      </c>
      <c r="O62" s="2"/>
      <c r="P62" s="2"/>
      <c r="Q62" s="2">
        <v>18.5</v>
      </c>
    </row>
    <row r="63" spans="7:20" ht="15" hidden="1" customHeight="1" x14ac:dyDescent="0.2">
      <c r="L63" s="2" t="s">
        <v>102</v>
      </c>
      <c r="M63" s="2" t="s">
        <v>104</v>
      </c>
      <c r="N63" s="2" t="s">
        <v>324</v>
      </c>
      <c r="O63" s="2">
        <v>11.15</v>
      </c>
      <c r="P63" s="2">
        <v>5.65</v>
      </c>
      <c r="Q63" s="2"/>
    </row>
    <row r="64" spans="7:20" ht="15" hidden="1" customHeight="1" x14ac:dyDescent="0.2">
      <c r="L64" s="2" t="s">
        <v>102</v>
      </c>
      <c r="M64" s="2" t="s">
        <v>105</v>
      </c>
      <c r="N64" s="2" t="s">
        <v>325</v>
      </c>
      <c r="O64" s="2"/>
      <c r="P64" s="2"/>
      <c r="Q64" s="2">
        <v>13.41</v>
      </c>
    </row>
    <row r="65" spans="7:18" ht="15" hidden="1" customHeight="1" x14ac:dyDescent="0.2">
      <c r="L65" s="2" t="s">
        <v>106</v>
      </c>
      <c r="M65" s="2" t="s">
        <v>107</v>
      </c>
      <c r="N65" s="2" t="s">
        <v>326</v>
      </c>
      <c r="O65" s="2">
        <v>7.6</v>
      </c>
      <c r="P65" s="2">
        <v>5.04</v>
      </c>
      <c r="Q65" s="2"/>
    </row>
    <row r="66" spans="7:18" ht="15" hidden="1" customHeight="1" x14ac:dyDescent="0.2">
      <c r="L66" s="2" t="s">
        <v>106</v>
      </c>
      <c r="M66" s="2" t="s">
        <v>108</v>
      </c>
      <c r="N66" s="2" t="s">
        <v>327</v>
      </c>
      <c r="O66" s="2">
        <v>8.58</v>
      </c>
      <c r="P66" s="2">
        <v>8.58</v>
      </c>
      <c r="Q66" s="2"/>
    </row>
    <row r="67" spans="7:18" ht="15" hidden="1" customHeight="1" x14ac:dyDescent="0.2">
      <c r="L67" s="2" t="s">
        <v>106</v>
      </c>
      <c r="M67" s="2" t="s">
        <v>109</v>
      </c>
      <c r="N67" s="2" t="s">
        <v>328</v>
      </c>
      <c r="O67" s="2"/>
      <c r="P67" s="2"/>
      <c r="Q67" s="2"/>
    </row>
    <row r="68" spans="7:18" ht="15" hidden="1" customHeight="1" x14ac:dyDescent="0.2">
      <c r="L68" s="2" t="s">
        <v>106</v>
      </c>
      <c r="M68" s="2" t="s">
        <v>110</v>
      </c>
      <c r="N68" s="2" t="s">
        <v>329</v>
      </c>
      <c r="O68" s="2">
        <v>7.6</v>
      </c>
      <c r="P68" s="2">
        <v>5.04</v>
      </c>
      <c r="Q68" s="2"/>
    </row>
    <row r="69" spans="7:18" ht="15" hidden="1" customHeight="1" x14ac:dyDescent="0.2">
      <c r="L69" s="2" t="s">
        <v>111</v>
      </c>
      <c r="M69" s="2" t="s">
        <v>112</v>
      </c>
      <c r="N69" s="2" t="s">
        <v>330</v>
      </c>
      <c r="O69" s="2">
        <v>8.2200000000000006</v>
      </c>
      <c r="P69" s="2">
        <v>8.2200000000000006</v>
      </c>
      <c r="Q69" s="2"/>
    </row>
    <row r="70" spans="7:18" ht="15" hidden="1" customHeight="1" x14ac:dyDescent="0.2">
      <c r="G70" s="25"/>
      <c r="H70" s="25"/>
      <c r="I70" s="25"/>
      <c r="J70" s="25"/>
      <c r="K70" s="25"/>
      <c r="L70" s="2" t="s">
        <v>111</v>
      </c>
      <c r="M70" s="2" t="s">
        <v>113</v>
      </c>
      <c r="N70" s="2" t="s">
        <v>331</v>
      </c>
      <c r="O70" s="2">
        <v>11.78</v>
      </c>
      <c r="P70" s="2">
        <v>11.78</v>
      </c>
      <c r="Q70" s="2"/>
    </row>
    <row r="71" spans="7:18" ht="15" hidden="1" customHeight="1" x14ac:dyDescent="0.2">
      <c r="L71" s="2" t="s">
        <v>111</v>
      </c>
      <c r="M71" s="2" t="s">
        <v>114</v>
      </c>
      <c r="N71" s="2" t="s">
        <v>332</v>
      </c>
      <c r="O71" s="2">
        <v>11.94</v>
      </c>
      <c r="P71" s="2">
        <v>11.94</v>
      </c>
      <c r="Q71" s="2"/>
    </row>
    <row r="72" spans="7:18" ht="15" hidden="1" customHeight="1" x14ac:dyDescent="0.2">
      <c r="L72" s="2" t="s">
        <v>111</v>
      </c>
      <c r="M72" s="2" t="s">
        <v>115</v>
      </c>
      <c r="N72" s="2" t="s">
        <v>333</v>
      </c>
      <c r="O72" s="2">
        <v>10.36</v>
      </c>
      <c r="P72" s="2">
        <v>5.1100000000000003</v>
      </c>
      <c r="Q72" s="2"/>
    </row>
    <row r="73" spans="7:18" ht="15" hidden="1" customHeight="1" x14ac:dyDescent="0.2">
      <c r="L73" s="2" t="s">
        <v>111</v>
      </c>
      <c r="M73" s="2" t="s">
        <v>116</v>
      </c>
      <c r="N73" s="2" t="s">
        <v>334</v>
      </c>
      <c r="O73" s="2">
        <v>10.62</v>
      </c>
      <c r="P73" s="2">
        <v>10.62</v>
      </c>
      <c r="Q73" s="2"/>
      <c r="R73" s="3"/>
    </row>
    <row r="74" spans="7:18" ht="15" hidden="1" customHeight="1" x14ac:dyDescent="0.2">
      <c r="L74" s="2" t="s">
        <v>111</v>
      </c>
      <c r="M74" s="2" t="s">
        <v>117</v>
      </c>
      <c r="N74" s="2" t="s">
        <v>335</v>
      </c>
      <c r="O74" s="2">
        <v>8.2799999999999994</v>
      </c>
      <c r="P74" s="2">
        <v>8.2799999999999994</v>
      </c>
      <c r="Q74" s="2"/>
    </row>
    <row r="75" spans="7:18" ht="15" hidden="1" customHeight="1" x14ac:dyDescent="0.2">
      <c r="L75" s="2" t="s">
        <v>111</v>
      </c>
      <c r="M75" s="2" t="s">
        <v>118</v>
      </c>
      <c r="N75" s="2" t="s">
        <v>336</v>
      </c>
      <c r="O75" s="2">
        <v>11.57</v>
      </c>
      <c r="P75" s="2">
        <v>11.57</v>
      </c>
      <c r="Q75" s="2"/>
    </row>
    <row r="76" spans="7:18" ht="15" hidden="1" customHeight="1" x14ac:dyDescent="0.2">
      <c r="L76" s="2" t="s">
        <v>111</v>
      </c>
      <c r="M76" s="2" t="s">
        <v>119</v>
      </c>
      <c r="N76" s="2" t="s">
        <v>337</v>
      </c>
      <c r="O76" s="2">
        <v>2.12</v>
      </c>
      <c r="P76" s="2">
        <v>2.12</v>
      </c>
      <c r="Q76" s="2"/>
    </row>
    <row r="77" spans="7:18" ht="15" hidden="1" customHeight="1" x14ac:dyDescent="0.2">
      <c r="L77" s="2" t="s">
        <v>111</v>
      </c>
      <c r="M77" s="2" t="s">
        <v>120</v>
      </c>
      <c r="N77" s="2" t="s">
        <v>338</v>
      </c>
      <c r="O77" s="2">
        <v>10.36</v>
      </c>
      <c r="P77" s="2">
        <v>5.1100000000000003</v>
      </c>
      <c r="Q77" s="2"/>
    </row>
    <row r="78" spans="7:18" ht="15" hidden="1" customHeight="1" x14ac:dyDescent="0.2">
      <c r="L78" s="2" t="s">
        <v>111</v>
      </c>
      <c r="M78" s="2" t="s">
        <v>121</v>
      </c>
      <c r="N78" s="2" t="s">
        <v>339</v>
      </c>
      <c r="O78" s="2">
        <v>9.2100000000000009</v>
      </c>
      <c r="P78" s="2">
        <v>9.2100000000000009</v>
      </c>
      <c r="Q78" s="2"/>
    </row>
    <row r="79" spans="7:18" ht="15" hidden="1" customHeight="1" x14ac:dyDescent="0.2">
      <c r="L79" s="2" t="s">
        <v>111</v>
      </c>
      <c r="M79" s="2" t="s">
        <v>122</v>
      </c>
      <c r="N79" s="2" t="s">
        <v>340</v>
      </c>
      <c r="O79" s="2">
        <v>10.36</v>
      </c>
      <c r="P79" s="2">
        <v>5.1100000000000003</v>
      </c>
      <c r="Q79" s="2"/>
    </row>
    <row r="80" spans="7:18" ht="15" hidden="1" customHeight="1" x14ac:dyDescent="0.2">
      <c r="L80" s="2" t="s">
        <v>111</v>
      </c>
      <c r="M80" s="2" t="s">
        <v>123</v>
      </c>
      <c r="N80" s="2" t="s">
        <v>341</v>
      </c>
      <c r="O80" s="2"/>
      <c r="P80" s="2"/>
      <c r="Q80" s="2">
        <v>12.91</v>
      </c>
    </row>
    <row r="81" spans="12:17" ht="15" hidden="1" customHeight="1" x14ac:dyDescent="0.2">
      <c r="L81" s="2" t="s">
        <v>111</v>
      </c>
      <c r="M81" s="2" t="s">
        <v>124</v>
      </c>
      <c r="N81" s="2" t="s">
        <v>342</v>
      </c>
      <c r="O81" s="2">
        <v>12.81</v>
      </c>
      <c r="P81" s="2">
        <v>12.81</v>
      </c>
      <c r="Q81" s="2"/>
    </row>
    <row r="82" spans="12:17" ht="15" hidden="1" customHeight="1" x14ac:dyDescent="0.2">
      <c r="L82" s="2" t="s">
        <v>111</v>
      </c>
      <c r="M82" s="2" t="s">
        <v>125</v>
      </c>
      <c r="N82" s="2" t="s">
        <v>343</v>
      </c>
      <c r="O82" s="2">
        <v>7.75</v>
      </c>
      <c r="P82" s="2">
        <v>7.75</v>
      </c>
      <c r="Q82" s="2"/>
    </row>
    <row r="83" spans="12:17" ht="15" hidden="1" customHeight="1" x14ac:dyDescent="0.2">
      <c r="L83" s="2" t="s">
        <v>111</v>
      </c>
      <c r="M83" s="2" t="s">
        <v>126</v>
      </c>
      <c r="N83" s="2" t="s">
        <v>344</v>
      </c>
      <c r="O83" s="2">
        <v>6.6</v>
      </c>
      <c r="P83" s="2">
        <v>6.6</v>
      </c>
      <c r="Q83" s="2"/>
    </row>
    <row r="84" spans="12:17" ht="15" hidden="1" customHeight="1" x14ac:dyDescent="0.2">
      <c r="L84" s="2" t="s">
        <v>111</v>
      </c>
      <c r="M84" s="2" t="s">
        <v>127</v>
      </c>
      <c r="N84" s="2" t="s">
        <v>345</v>
      </c>
      <c r="O84" s="2">
        <v>9.91</v>
      </c>
      <c r="P84" s="2">
        <v>9.91</v>
      </c>
      <c r="Q84" s="2"/>
    </row>
    <row r="85" spans="12:17" ht="15" hidden="1" customHeight="1" x14ac:dyDescent="0.2">
      <c r="L85" s="2" t="s">
        <v>111</v>
      </c>
      <c r="M85" s="2" t="s">
        <v>128</v>
      </c>
      <c r="N85" s="2" t="s">
        <v>346</v>
      </c>
      <c r="O85" s="2">
        <v>7.13</v>
      </c>
      <c r="P85" s="2">
        <v>7.13</v>
      </c>
      <c r="Q85" s="2"/>
    </row>
    <row r="86" spans="12:17" ht="15" hidden="1" customHeight="1" x14ac:dyDescent="0.2">
      <c r="L86" s="2" t="s">
        <v>129</v>
      </c>
      <c r="M86" s="2" t="s">
        <v>130</v>
      </c>
      <c r="N86" s="2" t="s">
        <v>347</v>
      </c>
      <c r="O86" s="2">
        <v>6.61</v>
      </c>
      <c r="P86" s="2">
        <v>6.61</v>
      </c>
      <c r="Q86" s="2"/>
    </row>
    <row r="87" spans="12:17" ht="15" hidden="1" customHeight="1" x14ac:dyDescent="0.2">
      <c r="L87" s="2" t="s">
        <v>131</v>
      </c>
      <c r="M87" s="2" t="s">
        <v>132</v>
      </c>
      <c r="N87" s="2" t="s">
        <v>348</v>
      </c>
      <c r="O87" s="2"/>
      <c r="P87" s="2"/>
      <c r="Q87" s="2">
        <v>12.47</v>
      </c>
    </row>
    <row r="88" spans="12:17" ht="15" hidden="1" customHeight="1" x14ac:dyDescent="0.2">
      <c r="L88" s="2" t="s">
        <v>131</v>
      </c>
      <c r="M88" s="2" t="s">
        <v>133</v>
      </c>
      <c r="N88" s="2" t="s">
        <v>349</v>
      </c>
      <c r="O88" s="2"/>
      <c r="P88" s="2"/>
      <c r="Q88" s="2">
        <v>12.9</v>
      </c>
    </row>
    <row r="89" spans="12:17" ht="15" hidden="1" customHeight="1" x14ac:dyDescent="0.2">
      <c r="L89" s="2" t="s">
        <v>131</v>
      </c>
      <c r="M89" s="2" t="s">
        <v>134</v>
      </c>
      <c r="N89" s="2" t="s">
        <v>350</v>
      </c>
      <c r="O89" s="2"/>
      <c r="P89" s="2"/>
      <c r="Q89" s="2">
        <v>9.06</v>
      </c>
    </row>
    <row r="90" spans="12:17" ht="15" hidden="1" customHeight="1" x14ac:dyDescent="0.2">
      <c r="L90" s="2" t="s">
        <v>131</v>
      </c>
      <c r="M90" s="2" t="s">
        <v>135</v>
      </c>
      <c r="N90" s="2" t="s">
        <v>351</v>
      </c>
      <c r="O90" s="2"/>
      <c r="P90" s="2"/>
      <c r="Q90" s="2">
        <v>11.95</v>
      </c>
    </row>
    <row r="91" spans="12:17" ht="15" hidden="1" customHeight="1" x14ac:dyDescent="0.2">
      <c r="L91" s="2" t="s">
        <v>131</v>
      </c>
      <c r="M91" s="2" t="s">
        <v>136</v>
      </c>
      <c r="N91" s="2" t="s">
        <v>352</v>
      </c>
      <c r="O91" s="2"/>
      <c r="P91" s="2"/>
      <c r="Q91" s="2">
        <v>11.95</v>
      </c>
    </row>
    <row r="92" spans="12:17" ht="15" hidden="1" customHeight="1" x14ac:dyDescent="0.2">
      <c r="L92" s="2" t="s">
        <v>137</v>
      </c>
      <c r="M92" s="2" t="s">
        <v>138</v>
      </c>
      <c r="N92" s="2" t="s">
        <v>353</v>
      </c>
      <c r="O92" s="2">
        <v>7.6</v>
      </c>
      <c r="P92" s="2">
        <v>3</v>
      </c>
      <c r="Q92" s="2"/>
    </row>
    <row r="93" spans="12:17" ht="15" hidden="1" customHeight="1" x14ac:dyDescent="0.2">
      <c r="L93" s="2" t="s">
        <v>137</v>
      </c>
      <c r="M93" s="2" t="s">
        <v>139</v>
      </c>
      <c r="N93" s="2" t="s">
        <v>354</v>
      </c>
      <c r="O93" s="2">
        <v>10.64</v>
      </c>
      <c r="P93" s="2">
        <v>3</v>
      </c>
      <c r="Q93" s="2"/>
    </row>
    <row r="94" spans="12:17" ht="15" hidden="1" customHeight="1" x14ac:dyDescent="0.2">
      <c r="L94" s="2" t="s">
        <v>137</v>
      </c>
      <c r="M94" s="2" t="s">
        <v>140</v>
      </c>
      <c r="N94" s="2" t="s">
        <v>355</v>
      </c>
      <c r="O94" s="2">
        <v>7.13</v>
      </c>
      <c r="P94" s="2">
        <v>3</v>
      </c>
      <c r="Q94" s="2"/>
    </row>
    <row r="95" spans="12:17" ht="15" hidden="1" customHeight="1" x14ac:dyDescent="0.2">
      <c r="L95" s="2" t="s">
        <v>137</v>
      </c>
      <c r="M95" s="2" t="s">
        <v>141</v>
      </c>
      <c r="N95" s="2" t="s">
        <v>356</v>
      </c>
      <c r="O95" s="2">
        <v>7.51</v>
      </c>
      <c r="P95" s="2">
        <v>3</v>
      </c>
      <c r="Q95" s="2"/>
    </row>
    <row r="96" spans="12:17" ht="15" hidden="1" customHeight="1" x14ac:dyDescent="0.2">
      <c r="L96" s="2" t="s">
        <v>137</v>
      </c>
      <c r="M96" s="2" t="s">
        <v>142</v>
      </c>
      <c r="N96" s="2" t="s">
        <v>357</v>
      </c>
      <c r="O96" s="2">
        <v>7.57</v>
      </c>
      <c r="P96" s="2">
        <v>3</v>
      </c>
      <c r="Q96" s="2"/>
    </row>
    <row r="97" spans="12:17" ht="15" hidden="1" customHeight="1" x14ac:dyDescent="0.2">
      <c r="L97" s="2" t="s">
        <v>137</v>
      </c>
      <c r="M97" s="2" t="s">
        <v>143</v>
      </c>
      <c r="N97" s="2" t="s">
        <v>358</v>
      </c>
      <c r="O97" s="2">
        <v>9.17</v>
      </c>
      <c r="P97" s="2">
        <v>3</v>
      </c>
      <c r="Q97" s="2"/>
    </row>
    <row r="98" spans="12:17" ht="15" hidden="1" customHeight="1" x14ac:dyDescent="0.2">
      <c r="L98" s="2" t="s">
        <v>137</v>
      </c>
      <c r="M98" s="2" t="s">
        <v>144</v>
      </c>
      <c r="N98" s="2" t="s">
        <v>359</v>
      </c>
      <c r="O98" s="2">
        <v>9.25</v>
      </c>
      <c r="P98" s="2">
        <v>3</v>
      </c>
      <c r="Q98" s="2"/>
    </row>
    <row r="99" spans="12:17" ht="15" hidden="1" customHeight="1" x14ac:dyDescent="0.2">
      <c r="L99" s="2" t="s">
        <v>137</v>
      </c>
      <c r="M99" s="2" t="s">
        <v>145</v>
      </c>
      <c r="N99" s="2" t="s">
        <v>360</v>
      </c>
      <c r="O99" s="2"/>
      <c r="P99" s="2">
        <v>3</v>
      </c>
      <c r="Q99" s="2"/>
    </row>
    <row r="100" spans="12:17" ht="15" hidden="1" customHeight="1" x14ac:dyDescent="0.2">
      <c r="L100" s="2" t="s">
        <v>137</v>
      </c>
      <c r="M100" s="2" t="s">
        <v>146</v>
      </c>
      <c r="N100" s="2" t="s">
        <v>361</v>
      </c>
      <c r="O100" s="2">
        <v>6.67</v>
      </c>
      <c r="P100" s="2">
        <v>3</v>
      </c>
      <c r="Q100" s="2"/>
    </row>
    <row r="101" spans="12:17" ht="15" hidden="1" customHeight="1" x14ac:dyDescent="0.2">
      <c r="L101" s="2" t="s">
        <v>137</v>
      </c>
      <c r="M101" s="2" t="s">
        <v>147</v>
      </c>
      <c r="N101" s="2" t="s">
        <v>362</v>
      </c>
      <c r="O101" s="2">
        <v>6.67</v>
      </c>
      <c r="P101" s="2">
        <v>3</v>
      </c>
      <c r="Q101" s="2"/>
    </row>
    <row r="102" spans="12:17" ht="15" hidden="1" customHeight="1" x14ac:dyDescent="0.2">
      <c r="L102" s="2" t="s">
        <v>137</v>
      </c>
      <c r="M102" s="2" t="s">
        <v>148</v>
      </c>
      <c r="N102" s="2" t="s">
        <v>363</v>
      </c>
      <c r="O102" s="2">
        <v>5</v>
      </c>
      <c r="P102" s="2">
        <v>3</v>
      </c>
      <c r="Q102" s="2"/>
    </row>
    <row r="103" spans="12:17" ht="15" hidden="1" customHeight="1" x14ac:dyDescent="0.2">
      <c r="L103" s="2" t="s">
        <v>149</v>
      </c>
      <c r="M103" s="2" t="s">
        <v>150</v>
      </c>
      <c r="N103" s="2" t="s">
        <v>364</v>
      </c>
      <c r="O103" s="2">
        <v>8.06</v>
      </c>
      <c r="P103" s="2">
        <v>3.84</v>
      </c>
      <c r="Q103" s="2"/>
    </row>
    <row r="104" spans="12:17" ht="15" hidden="1" customHeight="1" x14ac:dyDescent="0.2">
      <c r="L104" s="2" t="s">
        <v>149</v>
      </c>
      <c r="M104" s="2" t="s">
        <v>151</v>
      </c>
      <c r="N104" s="2" t="s">
        <v>365</v>
      </c>
      <c r="O104" s="2">
        <v>11.25</v>
      </c>
      <c r="P104" s="2">
        <v>3.84</v>
      </c>
      <c r="Q104" s="2"/>
    </row>
    <row r="105" spans="12:17" ht="15" hidden="1" customHeight="1" x14ac:dyDescent="0.2">
      <c r="L105" s="2" t="s">
        <v>149</v>
      </c>
      <c r="M105" s="2" t="s">
        <v>152</v>
      </c>
      <c r="N105" s="2" t="s">
        <v>366</v>
      </c>
      <c r="O105" s="2">
        <v>11.25</v>
      </c>
      <c r="P105" s="2">
        <v>3.84</v>
      </c>
      <c r="Q105" s="2"/>
    </row>
    <row r="106" spans="12:17" ht="15" hidden="1" customHeight="1" x14ac:dyDescent="0.2">
      <c r="L106" s="2" t="s">
        <v>153</v>
      </c>
      <c r="M106" s="2" t="s">
        <v>154</v>
      </c>
      <c r="N106" s="2" t="s">
        <v>367</v>
      </c>
      <c r="O106" s="2"/>
      <c r="P106" s="2"/>
      <c r="Q106" s="2">
        <v>12.45</v>
      </c>
    </row>
    <row r="107" spans="12:17" ht="15" hidden="1" customHeight="1" x14ac:dyDescent="0.2">
      <c r="L107" s="2" t="s">
        <v>155</v>
      </c>
      <c r="M107" s="2" t="s">
        <v>156</v>
      </c>
      <c r="N107" s="2" t="s">
        <v>368</v>
      </c>
      <c r="O107" s="2"/>
      <c r="P107" s="2"/>
      <c r="Q107" s="2">
        <v>15.8</v>
      </c>
    </row>
    <row r="108" spans="12:17" ht="15" hidden="1" customHeight="1" x14ac:dyDescent="0.2">
      <c r="L108" s="2" t="s">
        <v>157</v>
      </c>
      <c r="M108" s="2" t="s">
        <v>158</v>
      </c>
      <c r="N108" s="2" t="s">
        <v>369</v>
      </c>
      <c r="O108" s="2"/>
      <c r="P108" s="2"/>
      <c r="Q108" s="2">
        <v>11</v>
      </c>
    </row>
    <row r="109" spans="12:17" ht="15" hidden="1" customHeight="1" x14ac:dyDescent="0.2">
      <c r="L109" s="2" t="s">
        <v>157</v>
      </c>
      <c r="M109" s="2" t="s">
        <v>159</v>
      </c>
      <c r="N109" s="2" t="s">
        <v>370</v>
      </c>
      <c r="O109" s="2">
        <v>11.58</v>
      </c>
      <c r="P109" s="2">
        <v>11.58</v>
      </c>
      <c r="Q109" s="2"/>
    </row>
    <row r="110" spans="12:17" ht="15" hidden="1" customHeight="1" x14ac:dyDescent="0.2">
      <c r="L110" s="2" t="s">
        <v>157</v>
      </c>
      <c r="M110" s="2" t="s">
        <v>160</v>
      </c>
      <c r="N110" s="2" t="s">
        <v>371</v>
      </c>
      <c r="O110" s="2">
        <v>7.74</v>
      </c>
      <c r="P110" s="2"/>
      <c r="Q110" s="2"/>
    </row>
    <row r="111" spans="12:17" ht="15" hidden="1" customHeight="1" x14ac:dyDescent="0.2">
      <c r="L111" s="2" t="s">
        <v>157</v>
      </c>
      <c r="M111" s="2" t="s">
        <v>161</v>
      </c>
      <c r="N111" s="2" t="s">
        <v>372</v>
      </c>
      <c r="O111" s="2"/>
      <c r="P111" s="2"/>
      <c r="Q111" s="2">
        <v>6.5</v>
      </c>
    </row>
    <row r="112" spans="12:17" ht="15" hidden="1" customHeight="1" x14ac:dyDescent="0.2">
      <c r="L112" s="2" t="s">
        <v>157</v>
      </c>
      <c r="M112" s="2" t="s">
        <v>162</v>
      </c>
      <c r="N112" s="2" t="s">
        <v>373</v>
      </c>
      <c r="O112" s="2"/>
      <c r="P112" s="2">
        <v>5.04</v>
      </c>
      <c r="Q112" s="2"/>
    </row>
    <row r="113" spans="12:17" ht="15" hidden="1" customHeight="1" x14ac:dyDescent="0.2">
      <c r="L113" s="2" t="s">
        <v>163</v>
      </c>
      <c r="M113" s="2" t="s">
        <v>164</v>
      </c>
      <c r="N113" s="2" t="s">
        <v>374</v>
      </c>
      <c r="O113" s="2">
        <v>6.7</v>
      </c>
      <c r="P113" s="2">
        <v>6.7</v>
      </c>
      <c r="Q113" s="2"/>
    </row>
    <row r="114" spans="12:17" ht="15" hidden="1" customHeight="1" x14ac:dyDescent="0.2">
      <c r="L114" s="2" t="s">
        <v>165</v>
      </c>
      <c r="M114" s="2" t="s">
        <v>166</v>
      </c>
      <c r="N114" s="2" t="s">
        <v>375</v>
      </c>
      <c r="O114" s="2">
        <v>7.61</v>
      </c>
      <c r="P114" s="2">
        <v>7.61</v>
      </c>
      <c r="Q114" s="2"/>
    </row>
    <row r="115" spans="12:17" ht="15" hidden="1" customHeight="1" x14ac:dyDescent="0.2">
      <c r="L115" s="2" t="s">
        <v>167</v>
      </c>
      <c r="M115" s="2" t="s">
        <v>168</v>
      </c>
      <c r="N115" s="2" t="s">
        <v>376</v>
      </c>
      <c r="O115" s="2">
        <v>12.07</v>
      </c>
      <c r="P115" s="2"/>
      <c r="Q115" s="2"/>
    </row>
    <row r="116" spans="12:17" ht="15" hidden="1" customHeight="1" x14ac:dyDescent="0.2">
      <c r="L116" s="2" t="s">
        <v>167</v>
      </c>
      <c r="M116" s="2" t="s">
        <v>169</v>
      </c>
      <c r="N116" s="2" t="s">
        <v>377</v>
      </c>
      <c r="O116" s="2">
        <v>7.1</v>
      </c>
      <c r="P116" s="2">
        <v>7.1</v>
      </c>
      <c r="Q116" s="2"/>
    </row>
    <row r="117" spans="12:17" ht="15" hidden="1" customHeight="1" x14ac:dyDescent="0.2">
      <c r="L117" s="2" t="s">
        <v>167</v>
      </c>
      <c r="M117" s="2" t="s">
        <v>167</v>
      </c>
      <c r="N117" s="2" t="s">
        <v>378</v>
      </c>
      <c r="O117" s="2">
        <v>5.0599999999999996</v>
      </c>
      <c r="P117" s="2">
        <v>5.0599999999999996</v>
      </c>
      <c r="Q117" s="2"/>
    </row>
    <row r="118" spans="12:17" ht="15" hidden="1" customHeight="1" x14ac:dyDescent="0.2">
      <c r="L118" s="2" t="s">
        <v>170</v>
      </c>
      <c r="M118" s="2" t="s">
        <v>170</v>
      </c>
      <c r="N118" s="2" t="s">
        <v>379</v>
      </c>
      <c r="O118" s="2">
        <v>5.98</v>
      </c>
      <c r="P118" s="2">
        <v>5.98</v>
      </c>
      <c r="Q118" s="2"/>
    </row>
    <row r="119" spans="12:17" ht="15" hidden="1" customHeight="1" x14ac:dyDescent="0.2">
      <c r="L119" s="2" t="s">
        <v>171</v>
      </c>
      <c r="M119" s="2" t="s">
        <v>172</v>
      </c>
      <c r="N119" s="2" t="s">
        <v>380</v>
      </c>
      <c r="O119" s="2">
        <v>8.24</v>
      </c>
      <c r="P119" s="2">
        <v>8.24</v>
      </c>
      <c r="Q119" s="2"/>
    </row>
    <row r="120" spans="12:17" ht="15" hidden="1" customHeight="1" x14ac:dyDescent="0.2">
      <c r="L120" s="2" t="s">
        <v>171</v>
      </c>
      <c r="M120" s="2" t="s">
        <v>173</v>
      </c>
      <c r="N120" s="2" t="s">
        <v>381</v>
      </c>
      <c r="O120" s="2">
        <v>9.4499999999999993</v>
      </c>
      <c r="P120" s="2">
        <v>9.4499999999999993</v>
      </c>
      <c r="Q120" s="2"/>
    </row>
    <row r="121" spans="12:17" ht="15" hidden="1" customHeight="1" x14ac:dyDescent="0.2">
      <c r="L121" s="2" t="s">
        <v>171</v>
      </c>
      <c r="M121" s="2" t="s">
        <v>174</v>
      </c>
      <c r="N121" s="2" t="s">
        <v>382</v>
      </c>
      <c r="O121" s="2">
        <v>9.01</v>
      </c>
      <c r="P121" s="2">
        <v>9.01</v>
      </c>
      <c r="Q121" s="2"/>
    </row>
    <row r="122" spans="12:17" ht="15" hidden="1" customHeight="1" x14ac:dyDescent="0.2">
      <c r="L122" s="2" t="s">
        <v>43</v>
      </c>
      <c r="M122" s="2" t="s">
        <v>175</v>
      </c>
      <c r="N122" s="2" t="s">
        <v>383</v>
      </c>
      <c r="O122" s="2"/>
      <c r="P122" s="2"/>
      <c r="Q122" s="2">
        <v>8.0399999999999991</v>
      </c>
    </row>
    <row r="123" spans="12:17" ht="15" hidden="1" customHeight="1" x14ac:dyDescent="0.2">
      <c r="L123" s="2" t="s">
        <v>43</v>
      </c>
      <c r="M123" s="2" t="s">
        <v>176</v>
      </c>
      <c r="N123" s="2" t="s">
        <v>384</v>
      </c>
      <c r="O123" s="2"/>
      <c r="P123" s="2"/>
      <c r="Q123" s="2">
        <v>8.75</v>
      </c>
    </row>
    <row r="124" spans="12:17" ht="15" hidden="1" customHeight="1" x14ac:dyDescent="0.2">
      <c r="L124" s="2" t="s">
        <v>43</v>
      </c>
      <c r="M124" s="2" t="s">
        <v>177</v>
      </c>
      <c r="N124" s="2" t="s">
        <v>385</v>
      </c>
      <c r="O124" s="2"/>
      <c r="P124" s="2"/>
      <c r="Q124" s="2">
        <v>4.66</v>
      </c>
    </row>
    <row r="125" spans="12:17" ht="15" hidden="1" customHeight="1" x14ac:dyDescent="0.2">
      <c r="L125" s="2" t="s">
        <v>43</v>
      </c>
      <c r="M125" s="2" t="s">
        <v>178</v>
      </c>
      <c r="N125" s="2" t="s">
        <v>386</v>
      </c>
      <c r="O125" s="2"/>
      <c r="P125" s="2"/>
      <c r="Q125" s="2">
        <v>15.78</v>
      </c>
    </row>
    <row r="126" spans="12:17" ht="15" hidden="1" customHeight="1" x14ac:dyDescent="0.2">
      <c r="L126" s="2" t="s">
        <v>43</v>
      </c>
      <c r="M126" s="2" t="s">
        <v>179</v>
      </c>
      <c r="N126" s="2" t="s">
        <v>387</v>
      </c>
      <c r="O126" s="2"/>
      <c r="P126" s="2"/>
      <c r="Q126" s="2">
        <v>9.4600000000000009</v>
      </c>
    </row>
    <row r="127" spans="12:17" ht="15" hidden="1" customHeight="1" x14ac:dyDescent="0.2">
      <c r="L127" s="2" t="s">
        <v>43</v>
      </c>
      <c r="M127" s="2" t="s">
        <v>180</v>
      </c>
      <c r="N127" s="2" t="s">
        <v>388</v>
      </c>
      <c r="O127" s="2"/>
      <c r="P127" s="2"/>
      <c r="Q127" s="2">
        <v>4.7699999999999996</v>
      </c>
    </row>
    <row r="128" spans="12:17" ht="15" hidden="1" customHeight="1" x14ac:dyDescent="0.2">
      <c r="L128" s="2" t="s">
        <v>43</v>
      </c>
      <c r="M128" s="2" t="s">
        <v>181</v>
      </c>
      <c r="N128" s="2" t="s">
        <v>389</v>
      </c>
      <c r="O128" s="2"/>
      <c r="P128" s="2"/>
      <c r="Q128" s="2">
        <v>11.22</v>
      </c>
    </row>
    <row r="129" spans="12:17" ht="15" hidden="1" customHeight="1" x14ac:dyDescent="0.2">
      <c r="L129" s="2" t="s">
        <v>43</v>
      </c>
      <c r="M129" s="2" t="s">
        <v>182</v>
      </c>
      <c r="N129" s="2" t="s">
        <v>390</v>
      </c>
      <c r="O129" s="2"/>
      <c r="P129" s="2"/>
      <c r="Q129" s="2">
        <v>10.36</v>
      </c>
    </row>
    <row r="130" spans="12:17" ht="15" hidden="1" customHeight="1" x14ac:dyDescent="0.2">
      <c r="L130" s="2" t="s">
        <v>43</v>
      </c>
      <c r="M130" s="2" t="s">
        <v>183</v>
      </c>
      <c r="N130" s="2" t="s">
        <v>391</v>
      </c>
      <c r="O130" s="2"/>
      <c r="P130" s="2"/>
      <c r="Q130" s="2">
        <v>1.95</v>
      </c>
    </row>
    <row r="131" spans="12:17" ht="15" hidden="1" customHeight="1" x14ac:dyDescent="0.2">
      <c r="L131" s="2" t="s">
        <v>184</v>
      </c>
      <c r="M131" s="2" t="s">
        <v>184</v>
      </c>
      <c r="N131" s="2" t="s">
        <v>392</v>
      </c>
      <c r="O131" s="2"/>
      <c r="P131" s="2"/>
      <c r="Q131" s="2">
        <v>15.93</v>
      </c>
    </row>
    <row r="132" spans="12:17" ht="15" hidden="1" customHeight="1" x14ac:dyDescent="0.2">
      <c r="L132" s="2" t="s">
        <v>185</v>
      </c>
      <c r="M132" s="2" t="s">
        <v>186</v>
      </c>
      <c r="N132" s="2" t="s">
        <v>393</v>
      </c>
      <c r="O132" s="2"/>
      <c r="P132" s="2">
        <v>2.2599999999999998</v>
      </c>
      <c r="Q132" s="2"/>
    </row>
    <row r="133" spans="12:17" ht="15" hidden="1" customHeight="1" x14ac:dyDescent="0.2">
      <c r="L133" s="2" t="s">
        <v>187</v>
      </c>
      <c r="M133" s="2" t="s">
        <v>188</v>
      </c>
      <c r="N133" s="2" t="s">
        <v>394</v>
      </c>
      <c r="O133" s="2"/>
      <c r="P133" s="2"/>
      <c r="Q133" s="2"/>
    </row>
    <row r="134" spans="12:17" ht="15" hidden="1" customHeight="1" x14ac:dyDescent="0.2">
      <c r="L134" s="2" t="s">
        <v>187</v>
      </c>
      <c r="M134" s="2" t="s">
        <v>189</v>
      </c>
      <c r="N134" s="2" t="s">
        <v>395</v>
      </c>
      <c r="O134" s="2"/>
      <c r="P134" s="2"/>
      <c r="Q134" s="2">
        <v>6.5</v>
      </c>
    </row>
    <row r="135" spans="12:17" ht="15" hidden="1" customHeight="1" x14ac:dyDescent="0.2">
      <c r="L135" s="2" t="s">
        <v>190</v>
      </c>
      <c r="M135" s="2" t="s">
        <v>191</v>
      </c>
      <c r="N135" s="2" t="s">
        <v>396</v>
      </c>
      <c r="O135" s="2">
        <v>12.03</v>
      </c>
      <c r="P135" s="2">
        <v>12.03</v>
      </c>
      <c r="Q135" s="2"/>
    </row>
    <row r="136" spans="12:17" ht="15" hidden="1" customHeight="1" x14ac:dyDescent="0.2">
      <c r="L136" s="2" t="s">
        <v>192</v>
      </c>
      <c r="M136" s="2" t="s">
        <v>193</v>
      </c>
      <c r="N136" s="2" t="s">
        <v>397</v>
      </c>
      <c r="O136" s="2"/>
      <c r="P136" s="2"/>
      <c r="Q136" s="2">
        <v>12.7</v>
      </c>
    </row>
    <row r="137" spans="12:17" ht="15" hidden="1" customHeight="1" x14ac:dyDescent="0.2">
      <c r="L137" s="2" t="s">
        <v>194</v>
      </c>
      <c r="M137" s="2" t="s">
        <v>195</v>
      </c>
      <c r="N137" s="2" t="s">
        <v>398</v>
      </c>
      <c r="O137" s="2">
        <v>12.8</v>
      </c>
      <c r="P137" s="2"/>
      <c r="Q137" s="2">
        <v>12.8</v>
      </c>
    </row>
    <row r="138" spans="12:17" ht="15" hidden="1" customHeight="1" x14ac:dyDescent="0.2">
      <c r="L138" s="2" t="s">
        <v>194</v>
      </c>
      <c r="M138" s="2" t="s">
        <v>196</v>
      </c>
      <c r="N138" s="2" t="s">
        <v>399</v>
      </c>
      <c r="O138" s="2"/>
      <c r="P138" s="2"/>
      <c r="Q138" s="2">
        <v>10.88</v>
      </c>
    </row>
    <row r="139" spans="12:17" ht="15" hidden="1" customHeight="1" x14ac:dyDescent="0.2">
      <c r="L139" s="2" t="s">
        <v>194</v>
      </c>
      <c r="M139" s="2" t="s">
        <v>197</v>
      </c>
      <c r="N139" s="2" t="s">
        <v>400</v>
      </c>
      <c r="O139" s="2"/>
      <c r="P139" s="2"/>
      <c r="Q139" s="2">
        <v>6.5</v>
      </c>
    </row>
    <row r="140" spans="12:17" ht="15" hidden="1" customHeight="1" x14ac:dyDescent="0.2">
      <c r="L140" s="2" t="s">
        <v>198</v>
      </c>
      <c r="M140" s="2" t="s">
        <v>199</v>
      </c>
      <c r="N140" s="2" t="s">
        <v>401</v>
      </c>
      <c r="O140" s="2"/>
      <c r="P140" s="2"/>
      <c r="Q140" s="2">
        <v>7.36</v>
      </c>
    </row>
    <row r="141" spans="12:17" ht="15" hidden="1" customHeight="1" x14ac:dyDescent="0.2">
      <c r="L141" s="2" t="s">
        <v>200</v>
      </c>
      <c r="M141" s="2" t="s">
        <v>201</v>
      </c>
      <c r="N141" s="2" t="s">
        <v>402</v>
      </c>
      <c r="O141" s="2">
        <v>8.6999999999999993</v>
      </c>
      <c r="P141" s="2">
        <v>8.6999999999999993</v>
      </c>
      <c r="Q141" s="2"/>
    </row>
    <row r="142" spans="12:17" ht="15" hidden="1" customHeight="1" x14ac:dyDescent="0.2">
      <c r="L142" s="2" t="s">
        <v>200</v>
      </c>
      <c r="M142" s="2" t="s">
        <v>202</v>
      </c>
      <c r="N142" s="2" t="s">
        <v>403</v>
      </c>
      <c r="O142" s="2">
        <v>5.26</v>
      </c>
      <c r="P142" s="2">
        <v>5.26</v>
      </c>
      <c r="Q142" s="2"/>
    </row>
    <row r="143" spans="12:17" ht="15" hidden="1" customHeight="1" x14ac:dyDescent="0.2">
      <c r="L143" s="2" t="s">
        <v>200</v>
      </c>
      <c r="M143" s="2" t="s">
        <v>203</v>
      </c>
      <c r="N143" s="2" t="s">
        <v>404</v>
      </c>
      <c r="O143" s="2">
        <v>12.67</v>
      </c>
      <c r="P143" s="2">
        <v>12.67</v>
      </c>
      <c r="Q143" s="2"/>
    </row>
    <row r="144" spans="12:17" ht="15" hidden="1" customHeight="1" x14ac:dyDescent="0.2">
      <c r="L144" s="2" t="s">
        <v>200</v>
      </c>
      <c r="M144" s="2" t="s">
        <v>204</v>
      </c>
      <c r="N144" s="2" t="s">
        <v>405</v>
      </c>
      <c r="O144" s="2">
        <v>15.87</v>
      </c>
      <c r="P144" s="2">
        <v>15.87</v>
      </c>
      <c r="Q144" s="2"/>
    </row>
    <row r="145" spans="12:17" ht="15" hidden="1" customHeight="1" x14ac:dyDescent="0.2">
      <c r="L145" s="2" t="s">
        <v>200</v>
      </c>
      <c r="M145" s="2" t="s">
        <v>205</v>
      </c>
      <c r="N145" s="2" t="s">
        <v>406</v>
      </c>
      <c r="O145" s="2">
        <v>4.63</v>
      </c>
      <c r="P145" s="2">
        <v>4.63</v>
      </c>
      <c r="Q145" s="2"/>
    </row>
    <row r="146" spans="12:17" ht="15" hidden="1" customHeight="1" x14ac:dyDescent="0.2">
      <c r="L146" s="2" t="s">
        <v>200</v>
      </c>
      <c r="M146" s="2" t="s">
        <v>206</v>
      </c>
      <c r="N146" s="2" t="s">
        <v>407</v>
      </c>
      <c r="O146" s="2">
        <v>8.6999999999999993</v>
      </c>
      <c r="P146" s="2">
        <v>8.6999999999999993</v>
      </c>
      <c r="Q146" s="2"/>
    </row>
    <row r="147" spans="12:17" ht="15" hidden="1" customHeight="1" x14ac:dyDescent="0.2">
      <c r="L147" s="2" t="s">
        <v>200</v>
      </c>
      <c r="M147" s="2" t="s">
        <v>207</v>
      </c>
      <c r="N147" s="2" t="s">
        <v>408</v>
      </c>
      <c r="O147" s="2">
        <v>9.26</v>
      </c>
      <c r="P147" s="2">
        <v>9.26</v>
      </c>
      <c r="Q147" s="2"/>
    </row>
    <row r="148" spans="12:17" ht="15" hidden="1" customHeight="1" x14ac:dyDescent="0.2">
      <c r="L148" s="2" t="s">
        <v>200</v>
      </c>
      <c r="M148" s="2" t="s">
        <v>208</v>
      </c>
      <c r="N148" s="2" t="s">
        <v>409</v>
      </c>
      <c r="O148" s="2">
        <v>5.72</v>
      </c>
      <c r="P148" s="2">
        <v>5.72</v>
      </c>
      <c r="Q148" s="2"/>
    </row>
    <row r="149" spans="12:17" ht="15" hidden="1" customHeight="1" x14ac:dyDescent="0.2">
      <c r="L149" s="2" t="s">
        <v>200</v>
      </c>
      <c r="M149" s="2" t="s">
        <v>209</v>
      </c>
      <c r="N149" s="2" t="s">
        <v>410</v>
      </c>
      <c r="O149" s="2">
        <v>6.54</v>
      </c>
      <c r="P149" s="2">
        <v>6.54</v>
      </c>
      <c r="Q149" s="2"/>
    </row>
    <row r="150" spans="12:17" ht="15" hidden="1" customHeight="1" x14ac:dyDescent="0.2">
      <c r="L150" s="2" t="s">
        <v>200</v>
      </c>
      <c r="M150" s="2" t="s">
        <v>210</v>
      </c>
      <c r="N150" s="2" t="s">
        <v>411</v>
      </c>
      <c r="O150" s="2">
        <v>6.54</v>
      </c>
      <c r="P150" s="2">
        <v>6.54</v>
      </c>
      <c r="Q150" s="2"/>
    </row>
    <row r="151" spans="12:17" ht="15" hidden="1" customHeight="1" x14ac:dyDescent="0.2">
      <c r="L151" s="2" t="s">
        <v>211</v>
      </c>
      <c r="M151" s="2" t="s">
        <v>212</v>
      </c>
      <c r="N151" s="2" t="s">
        <v>412</v>
      </c>
      <c r="O151" s="2"/>
      <c r="P151" s="2"/>
      <c r="Q151" s="2">
        <v>12.96</v>
      </c>
    </row>
    <row r="152" spans="12:17" ht="15" hidden="1" customHeight="1" x14ac:dyDescent="0.2">
      <c r="L152" s="2" t="s">
        <v>213</v>
      </c>
      <c r="M152" s="2" t="s">
        <v>213</v>
      </c>
      <c r="N152" s="2" t="s">
        <v>413</v>
      </c>
      <c r="O152" s="2"/>
      <c r="P152" s="2"/>
      <c r="Q152" s="2">
        <v>11.09</v>
      </c>
    </row>
    <row r="153" spans="12:17" ht="15" hidden="1" customHeight="1" x14ac:dyDescent="0.2">
      <c r="L153" s="2" t="s">
        <v>214</v>
      </c>
      <c r="M153" s="2" t="s">
        <v>215</v>
      </c>
      <c r="N153" s="2" t="s">
        <v>414</v>
      </c>
      <c r="O153" s="2">
        <v>9.51</v>
      </c>
      <c r="P153" s="2">
        <v>4.9000000000000004</v>
      </c>
      <c r="Q153" s="2"/>
    </row>
    <row r="154" spans="12:17" ht="15" hidden="1" customHeight="1" x14ac:dyDescent="0.2">
      <c r="L154" s="2" t="s">
        <v>214</v>
      </c>
      <c r="M154" s="2" t="s">
        <v>216</v>
      </c>
      <c r="N154" s="2" t="s">
        <v>415</v>
      </c>
      <c r="O154" s="2">
        <v>8.99</v>
      </c>
      <c r="P154" s="2">
        <v>4.9000000000000004</v>
      </c>
      <c r="Q154" s="2"/>
    </row>
    <row r="155" spans="12:17" ht="15" hidden="1" customHeight="1" x14ac:dyDescent="0.2">
      <c r="L155" s="2" t="s">
        <v>214</v>
      </c>
      <c r="M155" s="2" t="s">
        <v>217</v>
      </c>
      <c r="N155" s="2" t="s">
        <v>416</v>
      </c>
      <c r="O155" s="2">
        <v>4.2300000000000004</v>
      </c>
      <c r="P155" s="2">
        <v>4.9000000000000004</v>
      </c>
      <c r="Q155" s="2"/>
    </row>
    <row r="156" spans="12:17" ht="15" hidden="1" customHeight="1" x14ac:dyDescent="0.2">
      <c r="L156" s="2" t="s">
        <v>214</v>
      </c>
      <c r="M156" s="2" t="s">
        <v>218</v>
      </c>
      <c r="N156" s="2" t="s">
        <v>417</v>
      </c>
      <c r="O156" s="2">
        <v>8.43</v>
      </c>
      <c r="P156" s="2">
        <v>4.9000000000000004</v>
      </c>
      <c r="Q156" s="2"/>
    </row>
    <row r="157" spans="12:17" ht="15" hidden="1" customHeight="1" x14ac:dyDescent="0.2">
      <c r="L157" s="2" t="s">
        <v>214</v>
      </c>
      <c r="M157" s="2" t="s">
        <v>219</v>
      </c>
      <c r="N157" s="2" t="s">
        <v>418</v>
      </c>
      <c r="O157" s="2">
        <v>9.66</v>
      </c>
      <c r="P157" s="2">
        <v>4.9000000000000004</v>
      </c>
      <c r="Q157" s="2"/>
    </row>
    <row r="158" spans="12:17" ht="15" hidden="1" customHeight="1" x14ac:dyDescent="0.2">
      <c r="L158" s="2" t="s">
        <v>214</v>
      </c>
      <c r="M158" s="2" t="s">
        <v>220</v>
      </c>
      <c r="N158" s="2" t="s">
        <v>419</v>
      </c>
      <c r="O158" s="2">
        <v>7</v>
      </c>
      <c r="P158" s="2">
        <v>4.9000000000000004</v>
      </c>
      <c r="Q158" s="2"/>
    </row>
    <row r="159" spans="12:17" ht="15" hidden="1" customHeight="1" x14ac:dyDescent="0.2">
      <c r="L159" s="2" t="s">
        <v>214</v>
      </c>
      <c r="M159" s="2" t="s">
        <v>221</v>
      </c>
      <c r="N159" s="2" t="s">
        <v>420</v>
      </c>
      <c r="O159" s="2">
        <v>8.0399999999999991</v>
      </c>
      <c r="P159" s="2">
        <v>4.9000000000000004</v>
      </c>
      <c r="Q159" s="2"/>
    </row>
    <row r="160" spans="12:17" ht="15" hidden="1" customHeight="1" x14ac:dyDescent="0.2">
      <c r="L160" s="2" t="s">
        <v>214</v>
      </c>
      <c r="M160" s="2" t="s">
        <v>222</v>
      </c>
      <c r="N160" s="2" t="s">
        <v>421</v>
      </c>
      <c r="O160" s="2">
        <v>12.36</v>
      </c>
      <c r="P160" s="2">
        <v>4.9000000000000004</v>
      </c>
      <c r="Q160" s="2"/>
    </row>
    <row r="161" spans="12:17" ht="15" hidden="1" customHeight="1" x14ac:dyDescent="0.2">
      <c r="L161" s="2" t="s">
        <v>214</v>
      </c>
      <c r="M161" s="2" t="s">
        <v>223</v>
      </c>
      <c r="N161" s="2" t="s">
        <v>422</v>
      </c>
      <c r="O161" s="2">
        <v>9.51</v>
      </c>
      <c r="P161" s="2">
        <v>4.9000000000000004</v>
      </c>
      <c r="Q161" s="2"/>
    </row>
    <row r="162" spans="12:17" ht="15" hidden="1" customHeight="1" x14ac:dyDescent="0.2">
      <c r="L162" s="2" t="s">
        <v>224</v>
      </c>
      <c r="M162" s="2" t="s">
        <v>225</v>
      </c>
      <c r="N162" s="2" t="s">
        <v>423</v>
      </c>
      <c r="O162" s="2"/>
      <c r="P162" s="2"/>
      <c r="Q162" s="2">
        <v>9.64</v>
      </c>
    </row>
    <row r="163" spans="12:17" ht="15" hidden="1" customHeight="1" x14ac:dyDescent="0.2">
      <c r="L163" s="2" t="s">
        <v>224</v>
      </c>
      <c r="M163" s="2" t="s">
        <v>226</v>
      </c>
      <c r="N163" s="2" t="s">
        <v>424</v>
      </c>
      <c r="O163" s="2"/>
      <c r="P163" s="2"/>
      <c r="Q163" s="2">
        <v>6.48</v>
      </c>
    </row>
    <row r="164" spans="12:17" ht="15" hidden="1" customHeight="1" x14ac:dyDescent="0.2">
      <c r="L164" s="2" t="s">
        <v>224</v>
      </c>
      <c r="M164" s="2" t="s">
        <v>227</v>
      </c>
      <c r="N164" s="2" t="s">
        <v>425</v>
      </c>
      <c r="O164" s="2"/>
      <c r="P164" s="2"/>
      <c r="Q164" s="2">
        <v>8.3800000000000008</v>
      </c>
    </row>
    <row r="165" spans="12:17" ht="15" hidden="1" customHeight="1" x14ac:dyDescent="0.2">
      <c r="L165" s="2" t="s">
        <v>224</v>
      </c>
      <c r="M165" s="2" t="s">
        <v>228</v>
      </c>
      <c r="N165" s="2" t="s">
        <v>426</v>
      </c>
      <c r="O165" s="2"/>
      <c r="P165" s="2"/>
      <c r="Q165" s="2">
        <v>8.3800000000000008</v>
      </c>
    </row>
    <row r="166" spans="12:17" ht="15" hidden="1" customHeight="1" x14ac:dyDescent="0.2">
      <c r="L166" s="2" t="s">
        <v>224</v>
      </c>
      <c r="M166" s="2" t="s">
        <v>229</v>
      </c>
      <c r="N166" s="2" t="s">
        <v>427</v>
      </c>
      <c r="O166" s="2"/>
      <c r="P166" s="2"/>
      <c r="Q166" s="2">
        <v>13.17</v>
      </c>
    </row>
    <row r="167" spans="12:17" ht="15" hidden="1" customHeight="1" x14ac:dyDescent="0.2">
      <c r="L167" s="2" t="s">
        <v>224</v>
      </c>
      <c r="M167" s="2" t="s">
        <v>230</v>
      </c>
      <c r="N167" s="2" t="s">
        <v>428</v>
      </c>
      <c r="O167" s="2"/>
      <c r="P167" s="2"/>
      <c r="Q167" s="2">
        <v>18.86</v>
      </c>
    </row>
  </sheetData>
  <dataConsolidate/>
  <mergeCells count="33">
    <mergeCell ref="A1:F1"/>
    <mergeCell ref="B2:F2"/>
    <mergeCell ref="B3:F3"/>
    <mergeCell ref="B15:F15"/>
    <mergeCell ref="A12:A13"/>
    <mergeCell ref="B12:C12"/>
    <mergeCell ref="B13:C13"/>
    <mergeCell ref="B14:F14"/>
    <mergeCell ref="B4:F4"/>
    <mergeCell ref="B5:F5"/>
    <mergeCell ref="B6:F6"/>
    <mergeCell ref="B10:F10"/>
    <mergeCell ref="A11:F11"/>
    <mergeCell ref="B7:F7"/>
    <mergeCell ref="B8:F8"/>
    <mergeCell ref="A9:F9"/>
    <mergeCell ref="A16:F16"/>
    <mergeCell ref="F18:F21"/>
    <mergeCell ref="B17:C17"/>
    <mergeCell ref="B18:C18"/>
    <mergeCell ref="B19:C19"/>
    <mergeCell ref="B20:C20"/>
    <mergeCell ref="B21:C21"/>
    <mergeCell ref="B34:F34"/>
    <mergeCell ref="B35:F35"/>
    <mergeCell ref="B32:F32"/>
    <mergeCell ref="B33:F33"/>
    <mergeCell ref="A22:F22"/>
    <mergeCell ref="B28:F28"/>
    <mergeCell ref="B31:F31"/>
    <mergeCell ref="A29:F29"/>
    <mergeCell ref="C24:C27"/>
    <mergeCell ref="B30:F30"/>
  </mergeCells>
  <dataValidations count="5">
    <dataValidation type="whole" allowBlank="1" showInputMessage="1" showErrorMessage="1" sqref="B4" xr:uid="{00000000-0002-0000-1600-000000000000}">
      <formula1>12</formula1>
      <formula2>60</formula2>
    </dataValidation>
    <dataValidation type="list" allowBlank="1" showInputMessage="1" showErrorMessage="1" sqref="C24" xr:uid="{00000000-0002-0000-1600-000001000000}">
      <formula1>"Monthly,Annualy"</formula1>
    </dataValidation>
    <dataValidation type="list" allowBlank="1" showInputMessage="1" showErrorMessage="1" sqref="B5:F5" xr:uid="{00000000-0002-0000-1600-000002000000}">
      <formula1>"Manufacturer,Trader, Service"</formula1>
    </dataValidation>
    <dataValidation operator="greaterThanOrEqual" showInputMessage="1" showErrorMessage="1" sqref="B3:F3" xr:uid="{00000000-0002-0000-1600-000003000000}"/>
    <dataValidation type="list" allowBlank="1" showInputMessage="1" showErrorMessage="1" sqref="B6:F6" xr:uid="{00000000-0002-0000-1600-000004000000}">
      <formula1>$N$2:$N$167</formula1>
    </dataValidation>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dimension ref="A1:N14"/>
  <sheetViews>
    <sheetView showGridLines="0" workbookViewId="0">
      <selection sqref="A1:D1"/>
    </sheetView>
  </sheetViews>
  <sheetFormatPr defaultColWidth="0" defaultRowHeight="0" customHeight="1" zeroHeight="1" x14ac:dyDescent="0.2"/>
  <cols>
    <col min="1" max="1" width="34.140625" style="18" bestFit="1" customWidth="1"/>
    <col min="2" max="4" width="28.7109375" style="18" customWidth="1"/>
    <col min="5" max="5" width="2.28515625" style="18" customWidth="1"/>
    <col min="6" max="7" width="9.140625" style="18" hidden="1" customWidth="1"/>
    <col min="8" max="8" width="0" style="18" hidden="1" customWidth="1"/>
    <col min="9" max="10" width="9.140625" style="18" hidden="1" customWidth="1"/>
    <col min="11" max="11" width="0" style="18" hidden="1" customWidth="1"/>
    <col min="12" max="13" width="9.140625" style="18" hidden="1" customWidth="1"/>
    <col min="14" max="14" width="0" style="18" hidden="1" customWidth="1"/>
    <col min="15" max="16384" width="9.140625" style="18" hidden="1"/>
  </cols>
  <sheetData>
    <row r="1" spans="1:7" ht="20.25" x14ac:dyDescent="0.3">
      <c r="A1" s="481" t="s">
        <v>430</v>
      </c>
      <c r="B1" s="481"/>
      <c r="C1" s="481"/>
      <c r="D1" s="481"/>
    </row>
    <row r="2" spans="1:7" ht="14.25" customHeight="1" x14ac:dyDescent="0.2">
      <c r="A2" s="113" t="s">
        <v>0</v>
      </c>
      <c r="B2" s="379">
        <f>'Loan Details'!B3</f>
        <v>0</v>
      </c>
      <c r="C2" s="379"/>
      <c r="D2" s="379"/>
    </row>
    <row r="3" spans="1:7" ht="15" customHeight="1" thickBot="1" x14ac:dyDescent="0.25">
      <c r="A3" s="113" t="s">
        <v>2</v>
      </c>
      <c r="B3" s="380">
        <f>'Loan Details'!B4</f>
        <v>0.19</v>
      </c>
      <c r="C3" s="380"/>
      <c r="D3" s="380"/>
      <c r="F3" s="26" t="s">
        <v>1</v>
      </c>
      <c r="G3" s="27" t="s">
        <v>254</v>
      </c>
    </row>
    <row r="4" spans="1:7" ht="15" customHeight="1" x14ac:dyDescent="0.2">
      <c r="A4" s="113" t="s">
        <v>3</v>
      </c>
      <c r="B4" s="381">
        <f>'Loan Details'!B5</f>
        <v>36</v>
      </c>
      <c r="C4" s="381"/>
      <c r="D4" s="381"/>
      <c r="F4" s="28">
        <v>1</v>
      </c>
      <c r="G4" s="29">
        <v>3</v>
      </c>
    </row>
    <row r="5" spans="1:7" ht="15" customHeight="1" x14ac:dyDescent="0.3">
      <c r="A5" s="492" t="s">
        <v>527</v>
      </c>
      <c r="B5" s="492"/>
      <c r="C5" s="492"/>
      <c r="D5" s="492"/>
      <c r="F5" s="30">
        <v>2</v>
      </c>
      <c r="G5" s="31">
        <v>5</v>
      </c>
    </row>
    <row r="6" spans="1:7" ht="15" customHeight="1" x14ac:dyDescent="0.2">
      <c r="A6" s="693" t="s">
        <v>263</v>
      </c>
      <c r="B6" s="111" t="s">
        <v>447</v>
      </c>
      <c r="C6" s="111" t="s">
        <v>448</v>
      </c>
      <c r="D6" s="111" t="s">
        <v>449</v>
      </c>
      <c r="F6" s="30">
        <v>3</v>
      </c>
      <c r="G6" s="31">
        <v>7</v>
      </c>
    </row>
    <row r="7" spans="1:7" ht="15" customHeight="1" x14ac:dyDescent="0.2">
      <c r="A7" s="694"/>
      <c r="B7" s="105">
        <v>0</v>
      </c>
      <c r="C7" s="105">
        <v>0</v>
      </c>
      <c r="D7" s="105">
        <v>0</v>
      </c>
      <c r="F7" s="30">
        <v>4</v>
      </c>
      <c r="G7" s="31">
        <v>9</v>
      </c>
    </row>
    <row r="8" spans="1:7" ht="15" customHeight="1" x14ac:dyDescent="0.2">
      <c r="A8" s="113" t="s">
        <v>246</v>
      </c>
      <c r="B8" s="489">
        <f>AVERAGE(B7:D7)</f>
        <v>0</v>
      </c>
      <c r="C8" s="489"/>
      <c r="D8" s="489"/>
      <c r="F8" s="30"/>
      <c r="G8" s="31"/>
    </row>
    <row r="9" spans="1:7" ht="15" customHeight="1" x14ac:dyDescent="0.2">
      <c r="A9" s="113" t="s">
        <v>252</v>
      </c>
      <c r="B9" s="495">
        <f>VLOOKUP(ROUNDUP(B4/12,0),F:G,2,0)</f>
        <v>7</v>
      </c>
      <c r="C9" s="495"/>
      <c r="D9" s="495"/>
      <c r="F9" s="32"/>
      <c r="G9" s="33"/>
    </row>
    <row r="10" spans="1:7" ht="15" customHeight="1" x14ac:dyDescent="0.2">
      <c r="A10" s="113" t="s">
        <v>11</v>
      </c>
      <c r="B10" s="489">
        <f>B9*B8</f>
        <v>0</v>
      </c>
      <c r="C10" s="489"/>
      <c r="D10" s="489"/>
    </row>
    <row r="11" spans="1:7" ht="15" customHeight="1" x14ac:dyDescent="0.2">
      <c r="A11" s="113" t="s">
        <v>524</v>
      </c>
      <c r="B11" s="489">
        <f>MIN(B10,B2)</f>
        <v>0</v>
      </c>
      <c r="C11" s="489"/>
      <c r="D11" s="489"/>
    </row>
    <row r="12" spans="1:7" ht="15" customHeight="1" x14ac:dyDescent="0.2">
      <c r="A12" s="113" t="s">
        <v>12</v>
      </c>
      <c r="B12" s="489">
        <f>PMT(B3/12,B4,-B11)</f>
        <v>0</v>
      </c>
      <c r="C12" s="489"/>
      <c r="D12" s="489"/>
    </row>
    <row r="13" spans="1:7" ht="6" customHeight="1" x14ac:dyDescent="0.2"/>
    <row r="14" spans="1:7" ht="6.75" hidden="1" customHeight="1" x14ac:dyDescent="0.2"/>
  </sheetData>
  <mergeCells count="11">
    <mergeCell ref="A5:D5"/>
    <mergeCell ref="B4:D4"/>
    <mergeCell ref="A1:D1"/>
    <mergeCell ref="B2:D2"/>
    <mergeCell ref="B3:D3"/>
    <mergeCell ref="B11:D11"/>
    <mergeCell ref="B12:D12"/>
    <mergeCell ref="A6:A7"/>
    <mergeCell ref="B8:D8"/>
    <mergeCell ref="B9:D9"/>
    <mergeCell ref="B10:D10"/>
  </mergeCells>
  <dataValidations count="2">
    <dataValidation type="whole" allowBlank="1" showInputMessage="1" showErrorMessage="1" sqref="B4" xr:uid="{00000000-0002-0000-1700-000000000000}">
      <formula1>12</formula1>
      <formula2>60</formula2>
    </dataValidation>
    <dataValidation operator="greaterThanOrEqual" showInputMessage="1" showErrorMessage="1" sqref="B3:D3" xr:uid="{00000000-0002-0000-1700-000001000000}"/>
  </dataValidation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V167"/>
  <sheetViews>
    <sheetView zoomScaleNormal="100" workbookViewId="0">
      <selection sqref="A1:H1"/>
    </sheetView>
  </sheetViews>
  <sheetFormatPr defaultColWidth="0" defaultRowHeight="12.75" zeroHeight="1" x14ac:dyDescent="0.2"/>
  <cols>
    <col min="1" max="2" width="23.5703125" style="18" customWidth="1"/>
    <col min="3" max="8" width="22" style="18" customWidth="1"/>
    <col min="9" max="9" width="1.7109375" style="18" customWidth="1"/>
    <col min="10" max="11" width="4.28515625" style="18" hidden="1" customWidth="1"/>
    <col min="12" max="17" width="9.140625" style="18" hidden="1" customWidth="1"/>
    <col min="18" max="18" width="11.7109375" style="18" hidden="1" customWidth="1"/>
    <col min="19" max="19" width="9.140625" style="18" hidden="1" customWidth="1"/>
    <col min="20" max="20" width="10.28515625" style="18" hidden="1" customWidth="1"/>
    <col min="21" max="16384" width="9.140625" style="18" hidden="1"/>
  </cols>
  <sheetData>
    <row r="1" spans="1:22" ht="20.25" x14ac:dyDescent="0.3">
      <c r="A1" s="481" t="s">
        <v>896</v>
      </c>
      <c r="B1" s="481"/>
      <c r="C1" s="481"/>
      <c r="D1" s="481"/>
      <c r="E1" s="481"/>
      <c r="F1" s="481"/>
      <c r="G1" s="481"/>
      <c r="H1" s="481"/>
    </row>
    <row r="2" spans="1:22" ht="14.25" x14ac:dyDescent="0.2">
      <c r="A2" s="691" t="s">
        <v>0</v>
      </c>
      <c r="B2" s="691"/>
      <c r="C2" s="379">
        <f>'Loan Details'!B3</f>
        <v>0</v>
      </c>
      <c r="D2" s="379"/>
      <c r="E2" s="379"/>
      <c r="F2" s="379"/>
      <c r="G2" s="379"/>
      <c r="H2" s="379"/>
      <c r="L2" s="2" t="s">
        <v>19</v>
      </c>
      <c r="M2" s="2" t="s">
        <v>20</v>
      </c>
      <c r="N2" s="2"/>
      <c r="O2" s="2" t="s">
        <v>15</v>
      </c>
      <c r="P2" s="2" t="s">
        <v>21</v>
      </c>
      <c r="Q2" s="2" t="s">
        <v>22</v>
      </c>
    </row>
    <row r="3" spans="1:22" ht="15" customHeight="1" x14ac:dyDescent="0.2">
      <c r="A3" s="691" t="s">
        <v>2</v>
      </c>
      <c r="B3" s="691"/>
      <c r="C3" s="380">
        <f>'Loan Details'!B4</f>
        <v>0.19</v>
      </c>
      <c r="D3" s="380"/>
      <c r="E3" s="380"/>
      <c r="F3" s="380"/>
      <c r="G3" s="380"/>
      <c r="H3" s="380"/>
      <c r="L3" s="2" t="s">
        <v>23</v>
      </c>
      <c r="M3" s="2" t="s">
        <v>23</v>
      </c>
      <c r="N3" s="2" t="str">
        <f t="shared" ref="N3:N66" si="0">L3&amp;" "&amp;M3</f>
        <v>Agriculture Products Agriculture Products</v>
      </c>
      <c r="O3" s="2">
        <v>6.64</v>
      </c>
      <c r="P3" s="2">
        <v>3.95</v>
      </c>
      <c r="Q3" s="2"/>
      <c r="S3" s="1"/>
      <c r="T3" s="1"/>
      <c r="V3" s="21"/>
    </row>
    <row r="4" spans="1:22" ht="15" customHeight="1" x14ac:dyDescent="0.2">
      <c r="A4" s="691" t="s">
        <v>3</v>
      </c>
      <c r="B4" s="691"/>
      <c r="C4" s="381">
        <f>'Loan Details'!B5</f>
        <v>36</v>
      </c>
      <c r="D4" s="381"/>
      <c r="E4" s="381"/>
      <c r="F4" s="381"/>
      <c r="G4" s="381"/>
      <c r="H4" s="381"/>
      <c r="L4" s="2" t="s">
        <v>23</v>
      </c>
      <c r="M4" s="2" t="s">
        <v>24</v>
      </c>
      <c r="N4" s="2" t="str">
        <f t="shared" si="0"/>
        <v>Agriculture Products Animal Products (Including animal and bird feed)</v>
      </c>
      <c r="O4" s="2">
        <v>5.8</v>
      </c>
      <c r="P4" s="2">
        <v>3.95</v>
      </c>
      <c r="Q4" s="2"/>
      <c r="S4" s="1"/>
      <c r="T4" s="1"/>
      <c r="V4" s="21"/>
    </row>
    <row r="5" spans="1:22" ht="15" customHeight="1" x14ac:dyDescent="0.2">
      <c r="A5" s="691" t="s">
        <v>14</v>
      </c>
      <c r="B5" s="691"/>
      <c r="C5" s="381">
        <f>'Loan Details'!C9</f>
        <v>0</v>
      </c>
      <c r="D5" s="381"/>
      <c r="E5" s="381"/>
      <c r="F5" s="381"/>
      <c r="G5" s="381"/>
      <c r="H5" s="381"/>
      <c r="L5" s="2" t="s">
        <v>23</v>
      </c>
      <c r="M5" s="2" t="s">
        <v>25</v>
      </c>
      <c r="N5" s="2" t="str">
        <f t="shared" si="0"/>
        <v>Agriculture Products Edible Oils</v>
      </c>
      <c r="O5" s="2">
        <v>3.57</v>
      </c>
      <c r="P5" s="2">
        <v>3.57</v>
      </c>
      <c r="Q5" s="2"/>
      <c r="S5" s="1"/>
      <c r="T5" s="1"/>
    </row>
    <row r="6" spans="1:22" ht="15" customHeight="1" x14ac:dyDescent="0.2">
      <c r="A6" s="691" t="s">
        <v>16</v>
      </c>
      <c r="B6" s="691"/>
      <c r="C6" s="381">
        <f>'Loan Details'!C10</f>
        <v>0</v>
      </c>
      <c r="D6" s="381"/>
      <c r="E6" s="381"/>
      <c r="F6" s="381"/>
      <c r="G6" s="381"/>
      <c r="H6" s="381"/>
      <c r="L6" s="2" t="s">
        <v>23</v>
      </c>
      <c r="M6" s="2" t="s">
        <v>26</v>
      </c>
      <c r="N6" s="2" t="str">
        <f t="shared" si="0"/>
        <v>Agriculture Products Floricultural</v>
      </c>
      <c r="O6" s="2">
        <v>9.69</v>
      </c>
      <c r="P6" s="2">
        <v>3.95</v>
      </c>
      <c r="Q6" s="2"/>
      <c r="S6" s="1"/>
      <c r="T6" s="1"/>
    </row>
    <row r="7" spans="1:22" ht="15" customHeight="1" x14ac:dyDescent="0.2">
      <c r="A7" s="691" t="s">
        <v>18</v>
      </c>
      <c r="B7" s="691"/>
      <c r="C7" s="495" t="e">
        <f ca="1">INDIRECT(ADDRESS(MATCH(C6,N:N,0),MATCH(C5,2:2,0),,,))</f>
        <v>#N/A</v>
      </c>
      <c r="D7" s="495"/>
      <c r="E7" s="495"/>
      <c r="F7" s="495"/>
      <c r="G7" s="495"/>
      <c r="H7" s="495"/>
      <c r="L7" s="2" t="s">
        <v>23</v>
      </c>
      <c r="M7" s="2" t="s">
        <v>27</v>
      </c>
      <c r="N7" s="2" t="str">
        <f t="shared" si="0"/>
        <v>Agriculture Products Fruit and nuts</v>
      </c>
      <c r="O7" s="2">
        <v>6.64</v>
      </c>
      <c r="P7" s="2">
        <v>3.95</v>
      </c>
      <c r="Q7" s="2"/>
    </row>
    <row r="8" spans="1:22" ht="15" customHeight="1" x14ac:dyDescent="0.3">
      <c r="A8" s="492" t="s">
        <v>4</v>
      </c>
      <c r="B8" s="492"/>
      <c r="C8" s="492"/>
      <c r="D8" s="492"/>
      <c r="E8" s="492"/>
      <c r="F8" s="492"/>
      <c r="G8" s="492"/>
      <c r="H8" s="492"/>
      <c r="L8" s="2" t="s">
        <v>23</v>
      </c>
      <c r="M8" s="2" t="s">
        <v>28</v>
      </c>
      <c r="N8" s="2" t="str">
        <f t="shared" si="0"/>
        <v>Agriculture Products Poultry &amp; Meal Products</v>
      </c>
      <c r="O8" s="2">
        <v>9.42</v>
      </c>
      <c r="P8" s="2">
        <v>3.95</v>
      </c>
      <c r="Q8" s="2"/>
      <c r="S8" s="1"/>
      <c r="T8" s="1"/>
    </row>
    <row r="9" spans="1:22" ht="15" customHeight="1" x14ac:dyDescent="0.2">
      <c r="A9" s="691" t="s">
        <v>5</v>
      </c>
      <c r="B9" s="691"/>
      <c r="C9" s="379">
        <f>'Loan Details'!C12</f>
        <v>0</v>
      </c>
      <c r="D9" s="379"/>
      <c r="E9" s="379"/>
      <c r="F9" s="379"/>
      <c r="G9" s="379"/>
      <c r="H9" s="379"/>
      <c r="L9" s="2" t="s">
        <v>23</v>
      </c>
      <c r="M9" s="2" t="s">
        <v>29</v>
      </c>
      <c r="N9" s="2" t="str">
        <f t="shared" si="0"/>
        <v>Agriculture Products Agri-seed</v>
      </c>
      <c r="O9" s="2">
        <v>15.98</v>
      </c>
      <c r="P9" s="2">
        <v>3.95</v>
      </c>
      <c r="Q9" s="2"/>
    </row>
    <row r="10" spans="1:22" ht="15" customHeight="1" x14ac:dyDescent="0.3">
      <c r="A10" s="492" t="s">
        <v>527</v>
      </c>
      <c r="B10" s="492"/>
      <c r="C10" s="492"/>
      <c r="D10" s="492"/>
      <c r="E10" s="492"/>
      <c r="F10" s="492"/>
      <c r="G10" s="492"/>
      <c r="H10" s="492"/>
      <c r="L10" s="2" t="s">
        <v>23</v>
      </c>
      <c r="M10" s="2" t="s">
        <v>30</v>
      </c>
      <c r="N10" s="2" t="str">
        <f t="shared" si="0"/>
        <v>Agriculture Products Spices</v>
      </c>
      <c r="O10" s="2">
        <v>6.64</v>
      </c>
      <c r="P10" s="2">
        <v>3.95</v>
      </c>
      <c r="Q10" s="2"/>
      <c r="R10" s="688"/>
      <c r="S10" s="688"/>
      <c r="T10" s="3"/>
    </row>
    <row r="11" spans="1:22" ht="15" customHeight="1" x14ac:dyDescent="0.2">
      <c r="A11" s="493" t="s">
        <v>786</v>
      </c>
      <c r="B11" s="113" t="s">
        <v>8</v>
      </c>
      <c r="C11" s="113" t="s">
        <v>438</v>
      </c>
      <c r="D11" s="113" t="s">
        <v>439</v>
      </c>
      <c r="E11" s="113" t="s">
        <v>440</v>
      </c>
      <c r="F11" s="113" t="s">
        <v>441</v>
      </c>
      <c r="G11" s="113" t="s">
        <v>442</v>
      </c>
      <c r="H11" s="113" t="s">
        <v>443</v>
      </c>
      <c r="L11" s="2" t="s">
        <v>23</v>
      </c>
      <c r="M11" s="2" t="s">
        <v>31</v>
      </c>
      <c r="N11" s="2" t="str">
        <f t="shared" si="0"/>
        <v>Agriculture Products Starches</v>
      </c>
      <c r="O11" s="2">
        <v>8.61</v>
      </c>
      <c r="P11" s="2">
        <v>3.95</v>
      </c>
      <c r="Q11" s="2"/>
      <c r="R11" s="688"/>
      <c r="S11" s="688"/>
      <c r="T11" s="22"/>
    </row>
    <row r="12" spans="1:22" ht="15" customHeight="1" x14ac:dyDescent="0.2">
      <c r="A12" s="493"/>
      <c r="B12" s="125" t="s">
        <v>784</v>
      </c>
      <c r="C12" s="106">
        <v>0</v>
      </c>
      <c r="D12" s="106">
        <v>0</v>
      </c>
      <c r="E12" s="106">
        <v>0</v>
      </c>
      <c r="F12" s="106">
        <v>0</v>
      </c>
      <c r="G12" s="106">
        <v>0</v>
      </c>
      <c r="H12" s="106">
        <v>0</v>
      </c>
      <c r="L12" s="2" t="s">
        <v>23</v>
      </c>
      <c r="M12" s="2" t="s">
        <v>32</v>
      </c>
      <c r="N12" s="2" t="str">
        <f t="shared" si="0"/>
        <v>Agriculture Products Sugar</v>
      </c>
      <c r="O12" s="2">
        <v>9.69</v>
      </c>
      <c r="P12" s="2">
        <v>3.95</v>
      </c>
      <c r="Q12" s="2"/>
    </row>
    <row r="13" spans="1:22" ht="15" customHeight="1" x14ac:dyDescent="0.2">
      <c r="A13" s="493"/>
      <c r="B13" s="493" t="str">
        <f>IF(B12="Yearly","Enter Turnover in X",IF(B12="Half-yearly","Enter Turnover in X and X-1, X as latest",IF(B12="Quarterly","Enter Turnover in X to X-3, X as latest","Enter Turnover in X to X-12, X as latest")))</f>
        <v>Enter Turnover in X</v>
      </c>
      <c r="C13" s="113" t="s">
        <v>444</v>
      </c>
      <c r="D13" s="113" t="s">
        <v>445</v>
      </c>
      <c r="E13" s="113" t="s">
        <v>446</v>
      </c>
      <c r="F13" s="113" t="s">
        <v>447</v>
      </c>
      <c r="G13" s="113" t="s">
        <v>448</v>
      </c>
      <c r="H13" s="113" t="s">
        <v>449</v>
      </c>
      <c r="L13" s="2" t="s">
        <v>23</v>
      </c>
      <c r="M13" s="2" t="s">
        <v>33</v>
      </c>
      <c r="N13" s="2" t="str">
        <f t="shared" si="0"/>
        <v>Agriculture Products Tea &amp; Coffee</v>
      </c>
      <c r="O13" s="2">
        <v>12.26</v>
      </c>
      <c r="P13" s="2">
        <v>3.95</v>
      </c>
      <c r="Q13" s="2"/>
      <c r="R13" s="688"/>
      <c r="S13" s="688"/>
      <c r="T13" s="3"/>
    </row>
    <row r="14" spans="1:22" ht="15" customHeight="1" x14ac:dyDescent="0.2">
      <c r="A14" s="493"/>
      <c r="B14" s="493"/>
      <c r="C14" s="106">
        <v>0</v>
      </c>
      <c r="D14" s="106">
        <v>0</v>
      </c>
      <c r="E14" s="106">
        <v>0</v>
      </c>
      <c r="F14" s="106">
        <v>0</v>
      </c>
      <c r="G14" s="106">
        <v>0</v>
      </c>
      <c r="H14" s="106">
        <v>0</v>
      </c>
      <c r="L14" s="2" t="s">
        <v>23</v>
      </c>
      <c r="M14" s="2" t="s">
        <v>34</v>
      </c>
      <c r="N14" s="2" t="str">
        <f t="shared" si="0"/>
        <v>Agriculture Products Tobacco Products</v>
      </c>
      <c r="O14" s="2">
        <v>6.09</v>
      </c>
      <c r="P14" s="2">
        <v>3.95</v>
      </c>
      <c r="Q14" s="2"/>
      <c r="R14" s="688"/>
      <c r="S14" s="688"/>
      <c r="T14" s="22"/>
    </row>
    <row r="15" spans="1:22" ht="15" customHeight="1" x14ac:dyDescent="0.2">
      <c r="A15" s="691" t="s">
        <v>785</v>
      </c>
      <c r="B15" s="691"/>
      <c r="C15" s="489">
        <f>IF(B12="Monthly",AVERAGE(C12,D12,E12,F12,G12,H12,C14,D14,E14,F14,G14,H14),IF(B12="Quarterly",(AVERAGE(H14,G14,F14,E14))/3,IF(B12="Half-yearly",(AVERAGE(H14,G14))/6,H14/12)))</f>
        <v>0</v>
      </c>
      <c r="D15" s="489"/>
      <c r="E15" s="489"/>
      <c r="F15" s="489"/>
      <c r="G15" s="489"/>
      <c r="H15" s="489"/>
      <c r="L15" s="2" t="s">
        <v>23</v>
      </c>
      <c r="M15" s="2" t="s">
        <v>35</v>
      </c>
      <c r="N15" s="2" t="str">
        <f t="shared" si="0"/>
        <v>Agriculture Products Vegetables, roots and tubers</v>
      </c>
      <c r="O15" s="2">
        <v>6.64</v>
      </c>
      <c r="P15" s="2">
        <v>3.95</v>
      </c>
      <c r="Q15" s="2"/>
    </row>
    <row r="16" spans="1:22" ht="15" customHeight="1" x14ac:dyDescent="0.2">
      <c r="A16" s="691" t="s">
        <v>450</v>
      </c>
      <c r="B16" s="691"/>
      <c r="C16" s="692" t="e">
        <f ca="1">C7/100</f>
        <v>#N/A</v>
      </c>
      <c r="D16" s="692"/>
      <c r="E16" s="692"/>
      <c r="F16" s="692"/>
      <c r="G16" s="692"/>
      <c r="H16" s="692"/>
      <c r="L16" s="2" t="s">
        <v>36</v>
      </c>
      <c r="M16" s="2" t="s">
        <v>36</v>
      </c>
      <c r="N16" s="2" t="str">
        <f t="shared" si="0"/>
        <v>Air-conditioners &amp; refrigerators Air-conditioners &amp; refrigerators</v>
      </c>
      <c r="O16" s="2">
        <v>7.43</v>
      </c>
      <c r="P16" s="2">
        <v>7.43</v>
      </c>
      <c r="Q16" s="2"/>
      <c r="R16" s="688"/>
      <c r="S16" s="688"/>
    </row>
    <row r="17" spans="1:17" ht="15" customHeight="1" x14ac:dyDescent="0.2">
      <c r="A17" s="691" t="s">
        <v>781</v>
      </c>
      <c r="B17" s="691"/>
      <c r="C17" s="489" t="e">
        <f ca="1">C16*C15</f>
        <v>#N/A</v>
      </c>
      <c r="D17" s="489"/>
      <c r="E17" s="489"/>
      <c r="F17" s="489"/>
      <c r="G17" s="489"/>
      <c r="H17" s="489"/>
      <c r="L17" s="2" t="s">
        <v>37</v>
      </c>
      <c r="M17" s="2" t="s">
        <v>38</v>
      </c>
      <c r="N17" s="2" t="str">
        <f t="shared" si="0"/>
        <v>Automobiles 2 &amp; 3 Wheelers</v>
      </c>
      <c r="O17" s="2"/>
      <c r="P17" s="2">
        <v>5.43</v>
      </c>
      <c r="Q17" s="2"/>
    </row>
    <row r="18" spans="1:17" ht="12.75" customHeight="1" x14ac:dyDescent="0.2">
      <c r="A18" s="691" t="s">
        <v>10</v>
      </c>
      <c r="B18" s="691"/>
      <c r="C18" s="489">
        <f>C9</f>
        <v>0</v>
      </c>
      <c r="D18" s="489"/>
      <c r="E18" s="489"/>
      <c r="F18" s="489"/>
      <c r="G18" s="489"/>
      <c r="H18" s="489"/>
      <c r="L18" s="2" t="s">
        <v>37</v>
      </c>
      <c r="M18" s="2" t="s">
        <v>39</v>
      </c>
      <c r="N18" s="2" t="str">
        <f t="shared" si="0"/>
        <v>Automobiles Automobiles ancillaries</v>
      </c>
      <c r="O18" s="2">
        <v>10.17</v>
      </c>
      <c r="P18" s="2">
        <v>5.43</v>
      </c>
      <c r="Q18" s="2"/>
    </row>
    <row r="19" spans="1:17" ht="12.75" customHeight="1" x14ac:dyDescent="0.2">
      <c r="A19" s="695" t="s">
        <v>779</v>
      </c>
      <c r="B19" s="696"/>
      <c r="C19" s="697">
        <f>-PMT(C3/12,C4,C2)</f>
        <v>0</v>
      </c>
      <c r="D19" s="698"/>
      <c r="E19" s="698"/>
      <c r="F19" s="698"/>
      <c r="G19" s="698"/>
      <c r="H19" s="698"/>
      <c r="L19" s="2" t="s">
        <v>37</v>
      </c>
      <c r="M19" s="2" t="s">
        <v>40</v>
      </c>
      <c r="N19" s="2" t="str">
        <f t="shared" si="0"/>
        <v>Automobiles Cycle &amp; accessories</v>
      </c>
      <c r="O19" s="2">
        <v>10.17</v>
      </c>
      <c r="P19" s="2">
        <v>5.43</v>
      </c>
      <c r="Q19" s="2"/>
    </row>
    <row r="20" spans="1:17" ht="14.25" customHeight="1" x14ac:dyDescent="0.2">
      <c r="A20" s="695" t="s">
        <v>778</v>
      </c>
      <c r="B20" s="696"/>
      <c r="C20" s="699" t="e">
        <f ca="1">(C18+C19)/C17</f>
        <v>#N/A</v>
      </c>
      <c r="D20" s="700"/>
      <c r="E20" s="700"/>
      <c r="F20" s="700"/>
      <c r="G20" s="700"/>
      <c r="H20" s="700"/>
      <c r="L20" s="2" t="s">
        <v>37</v>
      </c>
      <c r="M20" s="2" t="s">
        <v>41</v>
      </c>
      <c r="N20" s="2" t="str">
        <f t="shared" si="0"/>
        <v>Automobiles Passenger &amp; commercial vehicles</v>
      </c>
      <c r="O20" s="2">
        <v>2.7</v>
      </c>
      <c r="P20" s="2">
        <v>5.43</v>
      </c>
      <c r="Q20" s="2"/>
    </row>
    <row r="21" spans="1:17" ht="14.25" customHeight="1" x14ac:dyDescent="0.2">
      <c r="A21" s="695" t="s">
        <v>777</v>
      </c>
      <c r="B21" s="696"/>
      <c r="C21" s="496" t="e">
        <f ca="1">IF(C20&gt;75%,"Not Eligible for applied Loan Amount","Eligible for applied Loan Amount")</f>
        <v>#N/A</v>
      </c>
      <c r="D21" s="497"/>
      <c r="E21" s="497"/>
      <c r="F21" s="497"/>
      <c r="G21" s="497"/>
      <c r="H21" s="497"/>
      <c r="L21" s="2" t="s">
        <v>37</v>
      </c>
      <c r="M21" s="2" t="s">
        <v>42</v>
      </c>
      <c r="N21" s="2" t="str">
        <f t="shared" si="0"/>
        <v>Automobiles Tyres&amp; Tubes</v>
      </c>
      <c r="O21" s="2">
        <v>8.5</v>
      </c>
      <c r="P21" s="2">
        <v>5.43</v>
      </c>
      <c r="Q21" s="2"/>
    </row>
    <row r="22" spans="1:17" ht="5.25" customHeight="1" x14ac:dyDescent="0.2">
      <c r="L22" s="2" t="s">
        <v>43</v>
      </c>
      <c r="M22" s="2" t="s">
        <v>44</v>
      </c>
      <c r="N22" s="2" t="str">
        <f t="shared" si="0"/>
        <v>Professional Services Architectural services &amp; interior designing service</v>
      </c>
      <c r="O22" s="2"/>
      <c r="P22" s="2"/>
      <c r="Q22" s="2">
        <v>12.36</v>
      </c>
    </row>
    <row r="23" spans="1:17" ht="6.75" hidden="1" customHeight="1" x14ac:dyDescent="0.2">
      <c r="L23" s="2" t="s">
        <v>45</v>
      </c>
      <c r="M23" s="2" t="s">
        <v>46</v>
      </c>
      <c r="N23" s="2" t="str">
        <f t="shared" si="0"/>
        <v>Board line/ Multiline General Merchandise Stores</v>
      </c>
      <c r="O23" s="2"/>
      <c r="P23" s="2">
        <v>5.04</v>
      </c>
      <c r="Q23" s="2"/>
    </row>
    <row r="24" spans="1:17" ht="14.25" hidden="1" customHeight="1" x14ac:dyDescent="0.2">
      <c r="L24" s="2" t="s">
        <v>47</v>
      </c>
      <c r="M24" s="2" t="s">
        <v>48</v>
      </c>
      <c r="N24" s="2" t="str">
        <f t="shared" si="0"/>
        <v>Cement Cement Products &amp; asbestos products</v>
      </c>
      <c r="O24" s="2">
        <v>10.99</v>
      </c>
      <c r="P24" s="2">
        <v>5.04</v>
      </c>
      <c r="Q24" s="2"/>
    </row>
    <row r="25" spans="1:17" ht="14.25" hidden="1" customHeight="1" x14ac:dyDescent="0.2">
      <c r="L25" s="2" t="s">
        <v>49</v>
      </c>
      <c r="M25" s="2" t="s">
        <v>50</v>
      </c>
      <c r="N25" s="2" t="str">
        <f t="shared" si="0"/>
        <v>Chemicals Acids &amp; Salts</v>
      </c>
      <c r="O25" s="2">
        <v>9.48</v>
      </c>
      <c r="P25" s="2">
        <v>5.31</v>
      </c>
      <c r="Q25" s="2"/>
    </row>
    <row r="26" spans="1:17" hidden="1" x14ac:dyDescent="0.2">
      <c r="L26" s="2" t="s">
        <v>49</v>
      </c>
      <c r="M26" s="2" t="s">
        <v>52</v>
      </c>
      <c r="N26" s="2" t="str">
        <f t="shared" si="0"/>
        <v>Chemicals Chemicals including inorganic</v>
      </c>
      <c r="O26" s="2">
        <v>9.48</v>
      </c>
      <c r="P26" s="2">
        <v>5.31</v>
      </c>
      <c r="Q26" s="2"/>
    </row>
    <row r="27" spans="1:17" hidden="1" x14ac:dyDescent="0.2">
      <c r="L27" s="2" t="s">
        <v>49</v>
      </c>
      <c r="M27" s="2" t="s">
        <v>53</v>
      </c>
      <c r="N27" s="2" t="str">
        <f t="shared" si="0"/>
        <v>Chemicals Dyes &amp; pigments</v>
      </c>
      <c r="O27" s="2">
        <v>8.11</v>
      </c>
      <c r="P27" s="2">
        <v>5.31</v>
      </c>
      <c r="Q27" s="2"/>
    </row>
    <row r="28" spans="1:17" hidden="1" x14ac:dyDescent="0.2">
      <c r="L28" s="2" t="s">
        <v>49</v>
      </c>
      <c r="M28" s="2" t="s">
        <v>54</v>
      </c>
      <c r="N28" s="2" t="str">
        <f t="shared" si="0"/>
        <v>Chemicals Fertilizers</v>
      </c>
      <c r="O28" s="2">
        <v>8.81</v>
      </c>
      <c r="P28" s="2">
        <v>5.31</v>
      </c>
      <c r="Q28" s="2"/>
    </row>
    <row r="29" spans="1:17" hidden="1" x14ac:dyDescent="0.2">
      <c r="L29" s="2" t="s">
        <v>49</v>
      </c>
      <c r="M29" s="2" t="s">
        <v>55</v>
      </c>
      <c r="N29" s="2" t="str">
        <f t="shared" si="0"/>
        <v>Chemicals Industrial Gases</v>
      </c>
      <c r="O29" s="2">
        <v>9.48</v>
      </c>
      <c r="P29" s="2">
        <v>5.31</v>
      </c>
      <c r="Q29" s="2"/>
    </row>
    <row r="30" spans="1:17" hidden="1" x14ac:dyDescent="0.2">
      <c r="L30" s="2" t="s">
        <v>49</v>
      </c>
      <c r="M30" s="2" t="s">
        <v>56</v>
      </c>
      <c r="N30" s="2" t="str">
        <f t="shared" si="0"/>
        <v>Chemicals Pesticides</v>
      </c>
      <c r="O30" s="2">
        <v>7.45</v>
      </c>
      <c r="P30" s="2">
        <v>5.31</v>
      </c>
      <c r="Q30" s="2"/>
    </row>
    <row r="31" spans="1:17" hidden="1" x14ac:dyDescent="0.2">
      <c r="L31" s="2" t="s">
        <v>49</v>
      </c>
      <c r="M31" s="2" t="s">
        <v>57</v>
      </c>
      <c r="N31" s="2" t="str">
        <f t="shared" si="0"/>
        <v>Chemicals Petrochemicals including organic</v>
      </c>
      <c r="O31" s="2">
        <v>7.15</v>
      </c>
      <c r="P31" s="2">
        <v>5.31</v>
      </c>
      <c r="Q31" s="2"/>
    </row>
    <row r="32" spans="1:17" hidden="1" x14ac:dyDescent="0.2">
      <c r="L32" s="2" t="s">
        <v>49</v>
      </c>
      <c r="M32" s="2" t="s">
        <v>58</v>
      </c>
      <c r="N32" s="2" t="str">
        <f t="shared" si="0"/>
        <v>Chemicals Polymers</v>
      </c>
      <c r="O32" s="2">
        <v>6.29</v>
      </c>
      <c r="P32" s="2">
        <v>5.31</v>
      </c>
      <c r="Q32" s="2"/>
    </row>
    <row r="33" spans="12:18" hidden="1" x14ac:dyDescent="0.2">
      <c r="L33" s="2" t="s">
        <v>49</v>
      </c>
      <c r="M33" s="2" t="s">
        <v>59</v>
      </c>
      <c r="N33" s="2" t="str">
        <f t="shared" si="0"/>
        <v>Chemicals Refractories</v>
      </c>
      <c r="O33" s="2">
        <v>10.11</v>
      </c>
      <c r="P33" s="2">
        <v>5.31</v>
      </c>
      <c r="Q33" s="2"/>
    </row>
    <row r="34" spans="12:18" hidden="1" x14ac:dyDescent="0.2">
      <c r="L34" s="2" t="s">
        <v>60</v>
      </c>
      <c r="M34" s="2" t="s">
        <v>61</v>
      </c>
      <c r="N34" s="2" t="str">
        <f t="shared" si="0"/>
        <v>Computers Computer – Education</v>
      </c>
      <c r="O34" s="2"/>
      <c r="P34" s="2"/>
      <c r="Q34" s="2">
        <v>10.73</v>
      </c>
    </row>
    <row r="35" spans="12:18" hidden="1" x14ac:dyDescent="0.2">
      <c r="L35" s="2" t="s">
        <v>60</v>
      </c>
      <c r="M35" s="2" t="s">
        <v>62</v>
      </c>
      <c r="N35" s="2" t="str">
        <f t="shared" si="0"/>
        <v>Computers Computer – Software</v>
      </c>
      <c r="O35" s="2"/>
      <c r="P35" s="2"/>
      <c r="Q35" s="2">
        <v>12.9</v>
      </c>
    </row>
    <row r="36" spans="12:18" hidden="1" x14ac:dyDescent="0.2">
      <c r="L36" s="2" t="s">
        <v>60</v>
      </c>
      <c r="M36" s="2" t="s">
        <v>63</v>
      </c>
      <c r="N36" s="2" t="str">
        <f t="shared" si="0"/>
        <v>Computers Computer – Electronics</v>
      </c>
      <c r="O36" s="2">
        <v>7.98</v>
      </c>
      <c r="P36" s="2">
        <v>7.98</v>
      </c>
      <c r="Q36" s="2"/>
    </row>
    <row r="37" spans="12:18" hidden="1" x14ac:dyDescent="0.2">
      <c r="L37" s="2" t="s">
        <v>64</v>
      </c>
      <c r="M37" s="2" t="s">
        <v>65</v>
      </c>
      <c r="N37" s="2" t="str">
        <f t="shared" si="0"/>
        <v>Construction Ceramic Tiles &amp; Sanitary ware</v>
      </c>
      <c r="O37" s="2">
        <v>9.64</v>
      </c>
      <c r="P37" s="2">
        <v>5.04</v>
      </c>
      <c r="Q37" s="2"/>
    </row>
    <row r="38" spans="12:18" hidden="1" x14ac:dyDescent="0.2">
      <c r="L38" s="2" t="s">
        <v>64</v>
      </c>
      <c r="M38" s="2" t="s">
        <v>66</v>
      </c>
      <c r="N38" s="2" t="str">
        <f t="shared" si="0"/>
        <v>Construction Commercial Complex</v>
      </c>
      <c r="O38" s="2"/>
      <c r="P38" s="2"/>
      <c r="Q38" s="2">
        <v>9.65</v>
      </c>
    </row>
    <row r="39" spans="12:18" hidden="1" x14ac:dyDescent="0.2">
      <c r="L39" s="2" t="s">
        <v>64</v>
      </c>
      <c r="M39" s="2" t="s">
        <v>67</v>
      </c>
      <c r="N39" s="2" t="str">
        <f t="shared" si="0"/>
        <v>Construction Construction (Residential)</v>
      </c>
      <c r="O39" s="2"/>
      <c r="P39" s="2"/>
      <c r="Q39" s="2">
        <v>13.94</v>
      </c>
    </row>
    <row r="40" spans="12:18" hidden="1" x14ac:dyDescent="0.2">
      <c r="L40" s="2" t="s">
        <v>64</v>
      </c>
      <c r="M40" s="2" t="s">
        <v>70</v>
      </c>
      <c r="N40" s="2" t="str">
        <f t="shared" si="0"/>
        <v>Construction Construction (Roads)</v>
      </c>
      <c r="O40" s="2"/>
      <c r="P40" s="2"/>
      <c r="Q40" s="2">
        <v>13.01</v>
      </c>
    </row>
    <row r="41" spans="12:18" hidden="1" x14ac:dyDescent="0.2">
      <c r="L41" s="2" t="s">
        <v>71</v>
      </c>
      <c r="M41" s="2" t="s">
        <v>71</v>
      </c>
      <c r="N41" s="2" t="str">
        <f t="shared" si="0"/>
        <v>Consumer Electronics Consumer Electronics</v>
      </c>
      <c r="O41" s="2">
        <v>7.98</v>
      </c>
      <c r="P41" s="2">
        <v>7.98</v>
      </c>
      <c r="Q41" s="2"/>
    </row>
    <row r="42" spans="12:18" hidden="1" x14ac:dyDescent="0.2">
      <c r="L42" s="2" t="s">
        <v>72</v>
      </c>
      <c r="M42" s="2" t="s">
        <v>73</v>
      </c>
      <c r="N42" s="2" t="str">
        <f t="shared" si="0"/>
        <v>Containers &amp; Packaging Packaging</v>
      </c>
      <c r="O42" s="2">
        <v>9.4499999999999993</v>
      </c>
      <c r="P42" s="2">
        <v>9.4499999999999993</v>
      </c>
      <c r="Q42" s="2">
        <v>9.4499999999999993</v>
      </c>
    </row>
    <row r="43" spans="12:18" hidden="1" x14ac:dyDescent="0.2">
      <c r="L43" s="2" t="s">
        <v>74</v>
      </c>
      <c r="M43" s="2" t="s">
        <v>75</v>
      </c>
      <c r="N43" s="2" t="str">
        <f t="shared" si="0"/>
        <v>Durables Hardware, Plumbing &amp; Heating Equipment</v>
      </c>
      <c r="O43" s="2">
        <v>6.94</v>
      </c>
      <c r="P43" s="2">
        <v>6.94</v>
      </c>
      <c r="Q43" s="2">
        <v>6.94</v>
      </c>
      <c r="R43" s="3" t="e">
        <f>PMT(#REF!/12,#REF!,-#REF!)</f>
        <v>#REF!</v>
      </c>
    </row>
    <row r="44" spans="12:18" hidden="1" x14ac:dyDescent="0.2">
      <c r="L44" s="2" t="s">
        <v>76</v>
      </c>
      <c r="M44" s="2" t="s">
        <v>77</v>
      </c>
      <c r="N44" s="2" t="str">
        <f t="shared" si="0"/>
        <v>Electronics Domestic Appliances &amp; Machinery</v>
      </c>
      <c r="O44" s="2">
        <v>8.58</v>
      </c>
      <c r="P44" s="2">
        <v>8.58</v>
      </c>
      <c r="Q44" s="2"/>
    </row>
    <row r="45" spans="12:18" hidden="1" x14ac:dyDescent="0.2">
      <c r="L45" s="2" t="s">
        <v>78</v>
      </c>
      <c r="M45" s="2" t="s">
        <v>79</v>
      </c>
      <c r="N45" s="2" t="str">
        <f t="shared" si="0"/>
        <v>Entertainments &amp; Leisure Hotels &amp; Restaurants</v>
      </c>
      <c r="O45" s="2"/>
      <c r="P45" s="2"/>
      <c r="Q45" s="2">
        <v>18.14</v>
      </c>
    </row>
    <row r="46" spans="12:18" hidden="1" x14ac:dyDescent="0.2">
      <c r="L46" s="2" t="s">
        <v>78</v>
      </c>
      <c r="M46" s="2" t="s">
        <v>80</v>
      </c>
      <c r="N46" s="2" t="str">
        <f t="shared" si="0"/>
        <v>Entertainments &amp; Leisure Recreation &amp; Amusement Parks</v>
      </c>
      <c r="O46" s="2"/>
      <c r="P46" s="2"/>
      <c r="Q46" s="2">
        <v>10.38</v>
      </c>
    </row>
    <row r="47" spans="12:18" hidden="1" x14ac:dyDescent="0.2">
      <c r="L47" s="2" t="s">
        <v>78</v>
      </c>
      <c r="M47" s="2" t="s">
        <v>81</v>
      </c>
      <c r="N47" s="2" t="str">
        <f t="shared" si="0"/>
        <v>Entertainments &amp; Leisure Travel Services</v>
      </c>
      <c r="O47" s="2"/>
      <c r="P47" s="2"/>
      <c r="Q47" s="2">
        <v>5.4</v>
      </c>
    </row>
    <row r="48" spans="12:18" hidden="1" x14ac:dyDescent="0.2">
      <c r="L48" s="2" t="s">
        <v>82</v>
      </c>
      <c r="M48" s="2" t="s">
        <v>82</v>
      </c>
      <c r="N48" s="2" t="str">
        <f t="shared" si="0"/>
        <v>FMCG FMCG</v>
      </c>
      <c r="O48" s="2">
        <v>7.6</v>
      </c>
      <c r="P48" s="2">
        <v>5.04</v>
      </c>
      <c r="Q48" s="2"/>
    </row>
    <row r="49" spans="12:17" hidden="1" x14ac:dyDescent="0.2">
      <c r="L49" s="2" t="s">
        <v>83</v>
      </c>
      <c r="M49" s="2" t="s">
        <v>84</v>
      </c>
      <c r="N49" s="2" t="str">
        <f t="shared" si="0"/>
        <v>Food and Beverages Beer, Wine &amp;Distilled Alcoholic Beverages</v>
      </c>
      <c r="O49" s="2">
        <v>7.17</v>
      </c>
      <c r="P49" s="2">
        <v>3.95</v>
      </c>
      <c r="Q49" s="2"/>
    </row>
    <row r="50" spans="12:17" hidden="1" x14ac:dyDescent="0.2">
      <c r="L50" s="2" t="s">
        <v>83</v>
      </c>
      <c r="M50" s="2" t="s">
        <v>85</v>
      </c>
      <c r="N50" s="2" t="str">
        <f t="shared" si="0"/>
        <v>Food and Beverages Processed/Packaged, foods/foods &amp; beverages products (other than poultry meat)</v>
      </c>
      <c r="O50" s="2">
        <v>6.49</v>
      </c>
      <c r="P50" s="2">
        <v>3.95</v>
      </c>
      <c r="Q50" s="2"/>
    </row>
    <row r="51" spans="12:17" hidden="1" x14ac:dyDescent="0.2">
      <c r="L51" s="2" t="s">
        <v>83</v>
      </c>
      <c r="M51" s="2" t="s">
        <v>86</v>
      </c>
      <c r="N51" s="2" t="str">
        <f t="shared" si="0"/>
        <v>Food and Beverages Soft Drinks</v>
      </c>
      <c r="O51" s="2">
        <v>7.17</v>
      </c>
      <c r="P51" s="2">
        <v>3.95</v>
      </c>
      <c r="Q51" s="2"/>
    </row>
    <row r="52" spans="12:17" hidden="1" x14ac:dyDescent="0.2">
      <c r="L52" s="2" t="s">
        <v>87</v>
      </c>
      <c r="M52" s="2" t="s">
        <v>88</v>
      </c>
      <c r="N52" s="2" t="str">
        <f t="shared" si="0"/>
        <v>Food Processing Bakery products</v>
      </c>
      <c r="O52" s="2">
        <v>4.34</v>
      </c>
      <c r="P52" s="2">
        <v>3.95</v>
      </c>
      <c r="Q52" s="2"/>
    </row>
    <row r="53" spans="12:17" hidden="1" x14ac:dyDescent="0.2">
      <c r="L53" s="2" t="s">
        <v>89</v>
      </c>
      <c r="M53" s="2" t="s">
        <v>90</v>
      </c>
      <c r="N53" s="2" t="str">
        <f t="shared" si="0"/>
        <v>Food Products Dairy products</v>
      </c>
      <c r="O53" s="2">
        <v>5.33</v>
      </c>
      <c r="P53" s="2">
        <v>3.95</v>
      </c>
      <c r="Q53" s="2"/>
    </row>
    <row r="54" spans="12:17" hidden="1" x14ac:dyDescent="0.2">
      <c r="L54" s="2" t="s">
        <v>89</v>
      </c>
      <c r="M54" s="2" t="s">
        <v>91</v>
      </c>
      <c r="N54" s="2" t="str">
        <f t="shared" si="0"/>
        <v>Food Products Marine foods</v>
      </c>
      <c r="O54" s="2">
        <v>9.42</v>
      </c>
      <c r="P54" s="2">
        <v>3.95</v>
      </c>
      <c r="Q54" s="2"/>
    </row>
    <row r="55" spans="12:17" hidden="1" x14ac:dyDescent="0.2">
      <c r="L55" s="2" t="s">
        <v>89</v>
      </c>
      <c r="M55" s="2" t="s">
        <v>92</v>
      </c>
      <c r="N55" s="2" t="str">
        <f t="shared" si="0"/>
        <v>Food Products Milling products</v>
      </c>
      <c r="O55" s="2">
        <v>3.4</v>
      </c>
      <c r="P55" s="2">
        <v>3.95</v>
      </c>
      <c r="Q55" s="2"/>
    </row>
    <row r="56" spans="12:17" hidden="1" x14ac:dyDescent="0.2">
      <c r="L56" s="2" t="s">
        <v>89</v>
      </c>
      <c r="M56" s="2" t="s">
        <v>93</v>
      </c>
      <c r="N56" s="2" t="str">
        <f t="shared" si="0"/>
        <v>Food Products Rice</v>
      </c>
      <c r="O56" s="2">
        <v>4.8899999999999997</v>
      </c>
      <c r="P56" s="2">
        <v>3.95</v>
      </c>
      <c r="Q56" s="2"/>
    </row>
    <row r="57" spans="12:17" hidden="1" x14ac:dyDescent="0.2">
      <c r="L57" s="2" t="s">
        <v>89</v>
      </c>
      <c r="M57" s="2" t="s">
        <v>94</v>
      </c>
      <c r="N57" s="2" t="str">
        <f t="shared" si="0"/>
        <v>Food Products Soya bean products</v>
      </c>
      <c r="O57" s="2">
        <v>6.64</v>
      </c>
      <c r="P57" s="2">
        <v>3.95</v>
      </c>
      <c r="Q57" s="2"/>
    </row>
    <row r="58" spans="12:17" hidden="1" x14ac:dyDescent="0.2">
      <c r="L58" s="2" t="s">
        <v>95</v>
      </c>
      <c r="M58" s="2" t="s">
        <v>96</v>
      </c>
      <c r="N58" s="2" t="str">
        <f t="shared" si="0"/>
        <v>Granite / Marbles Granite</v>
      </c>
      <c r="O58" s="2">
        <v>11.15</v>
      </c>
      <c r="P58" s="2">
        <v>5.8</v>
      </c>
      <c r="Q58" s="2"/>
    </row>
    <row r="59" spans="12:17" hidden="1" x14ac:dyDescent="0.2">
      <c r="L59" s="2" t="s">
        <v>97</v>
      </c>
      <c r="M59" s="2" t="s">
        <v>98</v>
      </c>
      <c r="N59" s="2" t="str">
        <f t="shared" si="0"/>
        <v>Hardware Equipment Office Equipment</v>
      </c>
      <c r="O59" s="2">
        <v>7.98</v>
      </c>
      <c r="P59" s="2">
        <v>7.98</v>
      </c>
      <c r="Q59" s="2"/>
    </row>
    <row r="60" spans="12:17" hidden="1" x14ac:dyDescent="0.2">
      <c r="L60" s="2" t="s">
        <v>99</v>
      </c>
      <c r="M60" s="2" t="s">
        <v>100</v>
      </c>
      <c r="N60" s="2" t="str">
        <f t="shared" si="0"/>
        <v>Healthcare Medical &amp; Health Services/Diagnostic center</v>
      </c>
      <c r="O60" s="2"/>
      <c r="P60" s="2"/>
      <c r="Q60" s="2">
        <v>18.5</v>
      </c>
    </row>
    <row r="61" spans="12:17" hidden="1" x14ac:dyDescent="0.2">
      <c r="L61" s="2" t="s">
        <v>99</v>
      </c>
      <c r="M61" s="2" t="s">
        <v>101</v>
      </c>
      <c r="N61" s="2" t="str">
        <f t="shared" si="0"/>
        <v>Healthcare Medical Equipment &amp; medical supplies</v>
      </c>
      <c r="O61" s="2">
        <v>8.8000000000000007</v>
      </c>
      <c r="P61" s="2">
        <v>8.8000000000000007</v>
      </c>
      <c r="Q61" s="2"/>
    </row>
    <row r="62" spans="12:17" hidden="1" x14ac:dyDescent="0.2">
      <c r="L62" s="2" t="s">
        <v>102</v>
      </c>
      <c r="M62" s="2" t="s">
        <v>103</v>
      </c>
      <c r="N62" s="2" t="str">
        <f t="shared" si="0"/>
        <v>Healthcare Providers Diagnostic centers</v>
      </c>
      <c r="O62" s="2"/>
      <c r="P62" s="2"/>
      <c r="Q62" s="2">
        <v>18.5</v>
      </c>
    </row>
    <row r="63" spans="12:17" hidden="1" x14ac:dyDescent="0.2">
      <c r="L63" s="2" t="s">
        <v>102</v>
      </c>
      <c r="M63" s="2" t="s">
        <v>104</v>
      </c>
      <c r="N63" s="2" t="str">
        <f t="shared" si="0"/>
        <v>Healthcare Providers Drugs&amp;Pharmaceuticals</v>
      </c>
      <c r="O63" s="2">
        <v>11.15</v>
      </c>
      <c r="P63" s="2">
        <v>5.65</v>
      </c>
      <c r="Q63" s="2"/>
    </row>
    <row r="64" spans="12:17" hidden="1" x14ac:dyDescent="0.2">
      <c r="L64" s="2" t="s">
        <v>102</v>
      </c>
      <c r="M64" s="2" t="s">
        <v>105</v>
      </c>
      <c r="N64" s="2" t="str">
        <f t="shared" si="0"/>
        <v>Healthcare Providers Hospitals</v>
      </c>
      <c r="O64" s="2"/>
      <c r="P64" s="2"/>
      <c r="Q64" s="2">
        <v>13.41</v>
      </c>
    </row>
    <row r="65" spans="12:17" hidden="1" x14ac:dyDescent="0.2">
      <c r="L65" s="2" t="s">
        <v>106</v>
      </c>
      <c r="M65" s="2" t="s">
        <v>107</v>
      </c>
      <c r="N65" s="2" t="str">
        <f t="shared" si="0"/>
        <v>Household Products Detergents &amp; intermediates</v>
      </c>
      <c r="O65" s="2">
        <v>7.6</v>
      </c>
      <c r="P65" s="2">
        <v>5.04</v>
      </c>
      <c r="Q65" s="2"/>
    </row>
    <row r="66" spans="12:17" hidden="1" x14ac:dyDescent="0.2">
      <c r="L66" s="2" t="s">
        <v>106</v>
      </c>
      <c r="M66" s="2" t="s">
        <v>108</v>
      </c>
      <c r="N66" s="2" t="str">
        <f t="shared" si="0"/>
        <v>Household Products Electronics Equipment</v>
      </c>
      <c r="O66" s="2">
        <v>8.58</v>
      </c>
      <c r="P66" s="2">
        <v>8.58</v>
      </c>
      <c r="Q66" s="2"/>
    </row>
    <row r="67" spans="12:17" hidden="1" x14ac:dyDescent="0.2">
      <c r="L67" s="2" t="s">
        <v>106</v>
      </c>
      <c r="M67" s="2" t="s">
        <v>109</v>
      </c>
      <c r="N67" s="2" t="str">
        <f t="shared" ref="N67:N130" si="1">L67&amp;" "&amp;M67</f>
        <v>Household Products non - electrical machinery</v>
      </c>
      <c r="O67" s="2"/>
      <c r="P67" s="2"/>
      <c r="Q67" s="2"/>
    </row>
    <row r="68" spans="12:17" hidden="1" x14ac:dyDescent="0.2">
      <c r="L68" s="2" t="s">
        <v>106</v>
      </c>
      <c r="M68" s="2" t="s">
        <v>110</v>
      </c>
      <c r="N68" s="2" t="str">
        <f t="shared" si="1"/>
        <v>Household Products Personal Care</v>
      </c>
      <c r="O68" s="2">
        <v>7.6</v>
      </c>
      <c r="P68" s="2">
        <v>5.04</v>
      </c>
      <c r="Q68" s="2"/>
    </row>
    <row r="69" spans="12:17" hidden="1" x14ac:dyDescent="0.2">
      <c r="L69" s="2" t="s">
        <v>111</v>
      </c>
      <c r="M69" s="2" t="s">
        <v>112</v>
      </c>
      <c r="N69" s="2" t="str">
        <f t="shared" si="1"/>
        <v>Industrial Equipment Abrasives &amp; Grinding</v>
      </c>
      <c r="O69" s="2">
        <v>8.2200000000000006</v>
      </c>
      <c r="P69" s="2">
        <v>8.2200000000000006</v>
      </c>
      <c r="Q69" s="2"/>
    </row>
    <row r="70" spans="12:17" hidden="1" x14ac:dyDescent="0.2">
      <c r="L70" s="2" t="s">
        <v>111</v>
      </c>
      <c r="M70" s="2" t="s">
        <v>113</v>
      </c>
      <c r="N70" s="2" t="str">
        <f t="shared" si="1"/>
        <v>Industrial Equipment Bearings</v>
      </c>
      <c r="O70" s="2">
        <v>11.78</v>
      </c>
      <c r="P70" s="2">
        <v>11.78</v>
      </c>
      <c r="Q70" s="2"/>
    </row>
    <row r="71" spans="12:17" hidden="1" x14ac:dyDescent="0.2">
      <c r="L71" s="2" t="s">
        <v>111</v>
      </c>
      <c r="M71" s="2" t="s">
        <v>114</v>
      </c>
      <c r="N71" s="2" t="str">
        <f t="shared" si="1"/>
        <v>Industrial Equipment Compressors</v>
      </c>
      <c r="O71" s="2">
        <v>11.94</v>
      </c>
      <c r="P71" s="2">
        <v>11.94</v>
      </c>
      <c r="Q71" s="2"/>
    </row>
    <row r="72" spans="12:17" hidden="1" x14ac:dyDescent="0.2">
      <c r="L72" s="2" t="s">
        <v>111</v>
      </c>
      <c r="M72" s="2" t="s">
        <v>115</v>
      </c>
      <c r="N72" s="2" t="str">
        <f t="shared" si="1"/>
        <v>Industrial Equipment Electrical Equipment’s/Railway equipment</v>
      </c>
      <c r="O72" s="2">
        <v>10.36</v>
      </c>
      <c r="P72" s="2">
        <v>5.1100000000000003</v>
      </c>
      <c r="Q72" s="2"/>
    </row>
    <row r="73" spans="12:17" hidden="1" x14ac:dyDescent="0.2">
      <c r="L73" s="2" t="s">
        <v>111</v>
      </c>
      <c r="M73" s="2" t="s">
        <v>116</v>
      </c>
      <c r="N73" s="2" t="str">
        <f t="shared" si="1"/>
        <v>Industrial Equipment Welding electrodes / sticks / wires / fluxes welding related only</v>
      </c>
      <c r="O73" s="2">
        <v>10.62</v>
      </c>
      <c r="P73" s="2">
        <v>10.62</v>
      </c>
      <c r="Q73" s="2"/>
    </row>
    <row r="74" spans="12:17" hidden="1" x14ac:dyDescent="0.2">
      <c r="L74" s="2" t="s">
        <v>111</v>
      </c>
      <c r="M74" s="2" t="s">
        <v>117</v>
      </c>
      <c r="N74" s="2" t="str">
        <f t="shared" si="1"/>
        <v>Industrial Equipment Engines</v>
      </c>
      <c r="O74" s="2">
        <v>8.2799999999999994</v>
      </c>
      <c r="P74" s="2">
        <v>8.2799999999999994</v>
      </c>
      <c r="Q74" s="2"/>
    </row>
    <row r="75" spans="12:17" hidden="1" x14ac:dyDescent="0.2">
      <c r="L75" s="2" t="s">
        <v>111</v>
      </c>
      <c r="M75" s="2" t="s">
        <v>118</v>
      </c>
      <c r="N75" s="2" t="str">
        <f t="shared" si="1"/>
        <v>Industrial Equipment Fasteners</v>
      </c>
      <c r="O75" s="2">
        <v>11.57</v>
      </c>
      <c r="P75" s="2">
        <v>11.57</v>
      </c>
      <c r="Q75" s="2"/>
    </row>
    <row r="76" spans="12:17" hidden="1" x14ac:dyDescent="0.2">
      <c r="L76" s="2" t="s">
        <v>111</v>
      </c>
      <c r="M76" s="2" t="s">
        <v>119</v>
      </c>
      <c r="N76" s="2" t="str">
        <f t="shared" si="1"/>
        <v>Industrial Equipment Industrial furnaces</v>
      </c>
      <c r="O76" s="2">
        <v>2.12</v>
      </c>
      <c r="P76" s="2">
        <v>2.12</v>
      </c>
      <c r="Q76" s="2"/>
    </row>
    <row r="77" spans="12:17" hidden="1" x14ac:dyDescent="0.2">
      <c r="L77" s="2" t="s">
        <v>111</v>
      </c>
      <c r="M77" s="2" t="s">
        <v>120</v>
      </c>
      <c r="N77" s="2" t="str">
        <f t="shared" si="1"/>
        <v>Industrial Equipment Industrial machinery (All Types)</v>
      </c>
      <c r="O77" s="2">
        <v>10.36</v>
      </c>
      <c r="P77" s="2">
        <v>5.1100000000000003</v>
      </c>
      <c r="Q77" s="2"/>
    </row>
    <row r="78" spans="12:17" hidden="1" x14ac:dyDescent="0.2">
      <c r="L78" s="2" t="s">
        <v>111</v>
      </c>
      <c r="M78" s="2" t="s">
        <v>121</v>
      </c>
      <c r="N78" s="2" t="str">
        <f t="shared" si="1"/>
        <v>Industrial Equipment Machine Tools</v>
      </c>
      <c r="O78" s="2">
        <v>9.2100000000000009</v>
      </c>
      <c r="P78" s="2">
        <v>9.2100000000000009</v>
      </c>
      <c r="Q78" s="2"/>
    </row>
    <row r="79" spans="12:17" hidden="1" x14ac:dyDescent="0.2">
      <c r="L79" s="2" t="s">
        <v>111</v>
      </c>
      <c r="M79" s="2" t="s">
        <v>122</v>
      </c>
      <c r="N79" s="2" t="str">
        <f t="shared" si="1"/>
        <v>Industrial Equipment Motors &amp; generators</v>
      </c>
      <c r="O79" s="2">
        <v>10.36</v>
      </c>
      <c r="P79" s="2">
        <v>5.1100000000000003</v>
      </c>
      <c r="Q79" s="2"/>
    </row>
    <row r="80" spans="12:17" hidden="1" x14ac:dyDescent="0.2">
      <c r="L80" s="2" t="s">
        <v>111</v>
      </c>
      <c r="M80" s="2" t="s">
        <v>123</v>
      </c>
      <c r="N80" s="2" t="str">
        <f t="shared" si="1"/>
        <v>Industrial Equipment Power transmission line services</v>
      </c>
      <c r="O80" s="2"/>
      <c r="P80" s="2"/>
      <c r="Q80" s="2">
        <v>12.91</v>
      </c>
    </row>
    <row r="81" spans="12:17" hidden="1" x14ac:dyDescent="0.2">
      <c r="L81" s="2" t="s">
        <v>111</v>
      </c>
      <c r="M81" s="2" t="s">
        <v>124</v>
      </c>
      <c r="N81" s="2" t="str">
        <f t="shared" si="1"/>
        <v>Industrial Equipment Pumps</v>
      </c>
      <c r="O81" s="2">
        <v>12.81</v>
      </c>
      <c r="P81" s="2">
        <v>12.81</v>
      </c>
      <c r="Q81" s="2"/>
    </row>
    <row r="82" spans="12:17" hidden="1" x14ac:dyDescent="0.2">
      <c r="L82" s="2" t="s">
        <v>111</v>
      </c>
      <c r="M82" s="2" t="s">
        <v>125</v>
      </c>
      <c r="N82" s="2" t="str">
        <f t="shared" si="1"/>
        <v>Industrial Equipment Storage batteries</v>
      </c>
      <c r="O82" s="2">
        <v>7.75</v>
      </c>
      <c r="P82" s="2">
        <v>7.75</v>
      </c>
      <c r="Q82" s="2"/>
    </row>
    <row r="83" spans="12:17" hidden="1" x14ac:dyDescent="0.2">
      <c r="L83" s="2" t="s">
        <v>111</v>
      </c>
      <c r="M83" s="2" t="s">
        <v>126</v>
      </c>
      <c r="N83" s="2" t="str">
        <f t="shared" si="1"/>
        <v>Industrial Equipment Structure’s</v>
      </c>
      <c r="O83" s="2">
        <v>6.6</v>
      </c>
      <c r="P83" s="2">
        <v>6.6</v>
      </c>
      <c r="Q83" s="2"/>
    </row>
    <row r="84" spans="12:17" hidden="1" x14ac:dyDescent="0.2">
      <c r="L84" s="2" t="s">
        <v>111</v>
      </c>
      <c r="M84" s="2" t="s">
        <v>127</v>
      </c>
      <c r="N84" s="2" t="str">
        <f t="shared" si="1"/>
        <v>Industrial Equipment Switching apparatus</v>
      </c>
      <c r="O84" s="2">
        <v>9.91</v>
      </c>
      <c r="P84" s="2">
        <v>9.91</v>
      </c>
      <c r="Q84" s="2"/>
    </row>
    <row r="85" spans="12:17" hidden="1" x14ac:dyDescent="0.2">
      <c r="L85" s="2" t="s">
        <v>111</v>
      </c>
      <c r="M85" s="2" t="s">
        <v>128</v>
      </c>
      <c r="N85" s="2" t="str">
        <f t="shared" si="1"/>
        <v>Industrial Equipment Transformers</v>
      </c>
      <c r="O85" s="2">
        <v>7.13</v>
      </c>
      <c r="P85" s="2">
        <v>7.13</v>
      </c>
      <c r="Q85" s="2"/>
    </row>
    <row r="86" spans="12:17" hidden="1" x14ac:dyDescent="0.2">
      <c r="L86" s="2" t="s">
        <v>129</v>
      </c>
      <c r="M86" s="2" t="s">
        <v>130</v>
      </c>
      <c r="N86" s="2" t="str">
        <f t="shared" si="1"/>
        <v>Jewelry Gems &amp;Jewelry</v>
      </c>
      <c r="O86" s="2">
        <v>6.61</v>
      </c>
      <c r="P86" s="2">
        <v>6.61</v>
      </c>
      <c r="Q86" s="2"/>
    </row>
    <row r="87" spans="12:17" hidden="1" x14ac:dyDescent="0.2">
      <c r="L87" s="2" t="s">
        <v>131</v>
      </c>
      <c r="M87" s="2" t="s">
        <v>132</v>
      </c>
      <c r="N87" s="2" t="str">
        <f t="shared" si="1"/>
        <v>Media Advertising</v>
      </c>
      <c r="O87" s="2"/>
      <c r="P87" s="2"/>
      <c r="Q87" s="2">
        <v>12.47</v>
      </c>
    </row>
    <row r="88" spans="12:17" hidden="1" x14ac:dyDescent="0.2">
      <c r="L88" s="2" t="s">
        <v>131</v>
      </c>
      <c r="M88" s="2" t="s">
        <v>133</v>
      </c>
      <c r="N88" s="2" t="str">
        <f t="shared" si="1"/>
        <v>Media Animation Content Provider</v>
      </c>
      <c r="O88" s="2"/>
      <c r="P88" s="2"/>
      <c r="Q88" s="2">
        <v>12.9</v>
      </c>
    </row>
    <row r="89" spans="12:17" hidden="1" x14ac:dyDescent="0.2">
      <c r="L89" s="2" t="s">
        <v>131</v>
      </c>
      <c r="M89" s="2" t="s">
        <v>134</v>
      </c>
      <c r="N89" s="2" t="str">
        <f t="shared" si="1"/>
        <v>Media Cable and other pay television services</v>
      </c>
      <c r="O89" s="2"/>
      <c r="P89" s="2"/>
      <c r="Q89" s="2">
        <v>9.06</v>
      </c>
    </row>
    <row r="90" spans="12:17" hidden="1" x14ac:dyDescent="0.2">
      <c r="L90" s="2" t="s">
        <v>131</v>
      </c>
      <c r="M90" s="2" t="s">
        <v>135</v>
      </c>
      <c r="N90" s="2" t="str">
        <f t="shared" si="1"/>
        <v>Media Printing</v>
      </c>
      <c r="O90" s="2"/>
      <c r="P90" s="2"/>
      <c r="Q90" s="2">
        <v>11.95</v>
      </c>
    </row>
    <row r="91" spans="12:17" hidden="1" x14ac:dyDescent="0.2">
      <c r="L91" s="2" t="s">
        <v>131</v>
      </c>
      <c r="M91" s="2" t="s">
        <v>136</v>
      </c>
      <c r="N91" s="2" t="str">
        <f t="shared" si="1"/>
        <v>Media Publishing</v>
      </c>
      <c r="O91" s="2"/>
      <c r="P91" s="2"/>
      <c r="Q91" s="2">
        <v>11.95</v>
      </c>
    </row>
    <row r="92" spans="12:17" hidden="1" x14ac:dyDescent="0.2">
      <c r="L92" s="2" t="s">
        <v>137</v>
      </c>
      <c r="M92" s="2" t="s">
        <v>138</v>
      </c>
      <c r="N92" s="2" t="str">
        <f t="shared" si="1"/>
        <v>Metals Aluminum&amp;Aluminum Products (Manufacturer)</v>
      </c>
      <c r="O92" s="2">
        <v>7.6</v>
      </c>
      <c r="P92" s="2">
        <v>3</v>
      </c>
      <c r="Q92" s="2"/>
    </row>
    <row r="93" spans="12:17" hidden="1" x14ac:dyDescent="0.2">
      <c r="L93" s="2" t="s">
        <v>137</v>
      </c>
      <c r="M93" s="2" t="s">
        <v>139</v>
      </c>
      <c r="N93" s="2" t="str">
        <f t="shared" si="1"/>
        <v>Metals Castings &amp; forgings</v>
      </c>
      <c r="O93" s="2">
        <v>10.64</v>
      </c>
      <c r="P93" s="2">
        <v>3</v>
      </c>
      <c r="Q93" s="2"/>
    </row>
    <row r="94" spans="12:17" hidden="1" x14ac:dyDescent="0.2">
      <c r="L94" s="2" t="s">
        <v>137</v>
      </c>
      <c r="M94" s="2" t="s">
        <v>140</v>
      </c>
      <c r="N94" s="2" t="str">
        <f t="shared" si="1"/>
        <v>Metals Copper &amp; copper products (other than wire)</v>
      </c>
      <c r="O94" s="2">
        <v>7.13</v>
      </c>
      <c r="P94" s="2">
        <v>3</v>
      </c>
      <c r="Q94" s="2"/>
    </row>
    <row r="95" spans="12:17" hidden="1" x14ac:dyDescent="0.2">
      <c r="L95" s="2" t="s">
        <v>137</v>
      </c>
      <c r="M95" s="2" t="s">
        <v>141</v>
      </c>
      <c r="N95" s="2" t="str">
        <f t="shared" si="1"/>
        <v>Metals Ferro alloys, ferrous metals &amp; Pig iron</v>
      </c>
      <c r="O95" s="2">
        <v>7.51</v>
      </c>
      <c r="P95" s="2">
        <v>3</v>
      </c>
      <c r="Q95" s="2"/>
    </row>
    <row r="96" spans="12:17" hidden="1" x14ac:dyDescent="0.2">
      <c r="L96" s="2" t="s">
        <v>137</v>
      </c>
      <c r="M96" s="2" t="s">
        <v>142</v>
      </c>
      <c r="N96" s="2" t="str">
        <f t="shared" si="1"/>
        <v>Metals Other non-metallic mineral products</v>
      </c>
      <c r="O96" s="2">
        <v>7.57</v>
      </c>
      <c r="P96" s="2">
        <v>3</v>
      </c>
      <c r="Q96" s="2"/>
    </row>
    <row r="97" spans="12:17" hidden="1" x14ac:dyDescent="0.2">
      <c r="L97" s="2" t="s">
        <v>137</v>
      </c>
      <c r="M97" s="2" t="s">
        <v>143</v>
      </c>
      <c r="N97" s="2" t="str">
        <f t="shared" si="1"/>
        <v>Metals Metal Products (other than Steel, Aluminum and Copper) finished metal product only</v>
      </c>
      <c r="O97" s="2">
        <v>9.17</v>
      </c>
      <c r="P97" s="2">
        <v>3</v>
      </c>
      <c r="Q97" s="2"/>
    </row>
    <row r="98" spans="12:17" hidden="1" x14ac:dyDescent="0.2">
      <c r="L98" s="2" t="s">
        <v>137</v>
      </c>
      <c r="M98" s="2" t="s">
        <v>144</v>
      </c>
      <c r="N98" s="2" t="str">
        <f t="shared" si="1"/>
        <v>Metals Metallic ores</v>
      </c>
      <c r="O98" s="2">
        <v>9.25</v>
      </c>
      <c r="P98" s="2">
        <v>3</v>
      </c>
      <c r="Q98" s="2"/>
    </row>
    <row r="99" spans="12:17" hidden="1" x14ac:dyDescent="0.2">
      <c r="L99" s="2" t="s">
        <v>137</v>
      </c>
      <c r="M99" s="2" t="s">
        <v>145</v>
      </c>
      <c r="N99" s="2" t="str">
        <f t="shared" si="1"/>
        <v>Metals Other non-ferrous metals/Other non-metallic</v>
      </c>
      <c r="O99" s="2"/>
      <c r="P99" s="2">
        <v>3</v>
      </c>
      <c r="Q99" s="2"/>
    </row>
    <row r="100" spans="12:17" hidden="1" x14ac:dyDescent="0.2">
      <c r="L100" s="2" t="s">
        <v>137</v>
      </c>
      <c r="M100" s="2" t="s">
        <v>146</v>
      </c>
      <c r="N100" s="2" t="str">
        <f t="shared" si="1"/>
        <v>Metals Rolled coils and rolled products</v>
      </c>
      <c r="O100" s="2">
        <v>6.67</v>
      </c>
      <c r="P100" s="2">
        <v>3</v>
      </c>
      <c r="Q100" s="2"/>
    </row>
    <row r="101" spans="12:17" hidden="1" x14ac:dyDescent="0.2">
      <c r="L101" s="2" t="s">
        <v>137</v>
      </c>
      <c r="M101" s="2" t="s">
        <v>147</v>
      </c>
      <c r="N101" s="2" t="str">
        <f t="shared" si="1"/>
        <v>Metals Tubes and pipes</v>
      </c>
      <c r="O101" s="2">
        <v>6.67</v>
      </c>
      <c r="P101" s="2">
        <v>3</v>
      </c>
      <c r="Q101" s="2"/>
    </row>
    <row r="102" spans="12:17" hidden="1" x14ac:dyDescent="0.2">
      <c r="L102" s="2" t="s">
        <v>137</v>
      </c>
      <c r="M102" s="2" t="s">
        <v>148</v>
      </c>
      <c r="N102" s="2" t="str">
        <f t="shared" si="1"/>
        <v>Metals Wires and cables</v>
      </c>
      <c r="O102" s="2">
        <v>5</v>
      </c>
      <c r="P102" s="2">
        <v>3</v>
      </c>
      <c r="Q102" s="2"/>
    </row>
    <row r="103" spans="12:17" hidden="1" x14ac:dyDescent="0.2">
      <c r="L103" s="2" t="s">
        <v>149</v>
      </c>
      <c r="M103" s="2" t="s">
        <v>150</v>
      </c>
      <c r="N103" s="2" t="str">
        <f t="shared" si="1"/>
        <v>Mining Coal and Lignite</v>
      </c>
      <c r="O103" s="2">
        <v>8.06</v>
      </c>
      <c r="P103" s="2">
        <v>3.84</v>
      </c>
      <c r="Q103" s="2"/>
    </row>
    <row r="104" spans="12:17" hidden="1" x14ac:dyDescent="0.2">
      <c r="L104" s="2" t="s">
        <v>149</v>
      </c>
      <c r="M104" s="2" t="s">
        <v>151</v>
      </c>
      <c r="N104" s="2" t="str">
        <f t="shared" si="1"/>
        <v>Mining Minerals</v>
      </c>
      <c r="O104" s="2">
        <v>11.25</v>
      </c>
      <c r="P104" s="2">
        <v>3.84</v>
      </c>
      <c r="Q104" s="2"/>
    </row>
    <row r="105" spans="12:17" hidden="1" x14ac:dyDescent="0.2">
      <c r="L105" s="2" t="s">
        <v>149</v>
      </c>
      <c r="M105" s="2" t="s">
        <v>152</v>
      </c>
      <c r="N105" s="2" t="str">
        <f t="shared" si="1"/>
        <v>Mining Minerals &amp; energy Sources</v>
      </c>
      <c r="O105" s="2">
        <v>11.25</v>
      </c>
      <c r="P105" s="2">
        <v>3.84</v>
      </c>
      <c r="Q105" s="2"/>
    </row>
    <row r="106" spans="12:17" hidden="1" x14ac:dyDescent="0.2">
      <c r="L106" s="2" t="s">
        <v>153</v>
      </c>
      <c r="M106" s="2" t="s">
        <v>154</v>
      </c>
      <c r="N106" s="2" t="str">
        <f t="shared" si="1"/>
        <v>Other Construction &amp; allied activities Maintenance of buildings (Facility Management)</v>
      </c>
      <c r="O106" s="2"/>
      <c r="P106" s="2"/>
      <c r="Q106" s="2">
        <v>12.45</v>
      </c>
    </row>
    <row r="107" spans="12:17" hidden="1" x14ac:dyDescent="0.2">
      <c r="L107" s="2" t="s">
        <v>155</v>
      </c>
      <c r="M107" s="2" t="s">
        <v>156</v>
      </c>
      <c r="N107" s="2" t="str">
        <f t="shared" si="1"/>
        <v>Other Fund based Financial Services Commission agents services (Only those booking commission income)</v>
      </c>
      <c r="O107" s="2"/>
      <c r="P107" s="2"/>
      <c r="Q107" s="2">
        <v>15.8</v>
      </c>
    </row>
    <row r="108" spans="12:17" hidden="1" x14ac:dyDescent="0.2">
      <c r="L108" s="2" t="s">
        <v>157</v>
      </c>
      <c r="M108" s="2" t="s">
        <v>158</v>
      </c>
      <c r="N108" s="2" t="str">
        <f t="shared" si="1"/>
        <v>Others R &amp; D</v>
      </c>
      <c r="O108" s="2"/>
      <c r="P108" s="2"/>
      <c r="Q108" s="2">
        <v>11</v>
      </c>
    </row>
    <row r="109" spans="12:17" hidden="1" x14ac:dyDescent="0.2">
      <c r="L109" s="2" t="s">
        <v>157</v>
      </c>
      <c r="M109" s="2" t="s">
        <v>159</v>
      </c>
      <c r="N109" s="2" t="str">
        <f t="shared" si="1"/>
        <v>Others Glass &amp; Glass Products</v>
      </c>
      <c r="O109" s="2">
        <v>11.58</v>
      </c>
      <c r="P109" s="2">
        <v>11.58</v>
      </c>
      <c r="Q109" s="2"/>
    </row>
    <row r="110" spans="12:17" hidden="1" x14ac:dyDescent="0.2">
      <c r="L110" s="2" t="s">
        <v>157</v>
      </c>
      <c r="M110" s="2" t="s">
        <v>160</v>
      </c>
      <c r="N110" s="2" t="str">
        <f t="shared" si="1"/>
        <v>Others Industries not classified elsewhere (Manufacturing)</v>
      </c>
      <c r="O110" s="2">
        <v>7.74</v>
      </c>
      <c r="P110" s="2"/>
      <c r="Q110" s="2"/>
    </row>
    <row r="111" spans="12:17" hidden="1" x14ac:dyDescent="0.2">
      <c r="L111" s="2" t="s">
        <v>157</v>
      </c>
      <c r="M111" s="2" t="s">
        <v>161</v>
      </c>
      <c r="N111" s="2" t="str">
        <f t="shared" si="1"/>
        <v>Others Industries not classified elsewhere (Services)</v>
      </c>
      <c r="O111" s="2"/>
      <c r="P111" s="2"/>
      <c r="Q111" s="2">
        <v>6.5</v>
      </c>
    </row>
    <row r="112" spans="12:17" hidden="1" x14ac:dyDescent="0.2">
      <c r="L112" s="2" t="s">
        <v>157</v>
      </c>
      <c r="M112" s="2" t="s">
        <v>162</v>
      </c>
      <c r="N112" s="2" t="str">
        <f t="shared" si="1"/>
        <v>Others Industries not classified elsewhere (Trading)</v>
      </c>
      <c r="O112" s="2"/>
      <c r="P112" s="2">
        <v>5.04</v>
      </c>
      <c r="Q112" s="2"/>
    </row>
    <row r="113" spans="12:17" hidden="1" x14ac:dyDescent="0.2">
      <c r="L113" s="2" t="s">
        <v>163</v>
      </c>
      <c r="M113" s="2" t="s">
        <v>164</v>
      </c>
      <c r="N113" s="2" t="str">
        <f t="shared" si="1"/>
        <v>Paints Paints &amp; Varnishes</v>
      </c>
      <c r="O113" s="2">
        <v>6.7</v>
      </c>
      <c r="P113" s="2">
        <v>6.7</v>
      </c>
      <c r="Q113" s="2"/>
    </row>
    <row r="114" spans="12:17" hidden="1" x14ac:dyDescent="0.2">
      <c r="L114" s="2" t="s">
        <v>165</v>
      </c>
      <c r="M114" s="2" t="s">
        <v>166</v>
      </c>
      <c r="N114" s="2" t="str">
        <f t="shared" si="1"/>
        <v>Paper Paper &amp; Paper Products</v>
      </c>
      <c r="O114" s="2">
        <v>7.61</v>
      </c>
      <c r="P114" s="2">
        <v>7.61</v>
      </c>
      <c r="Q114" s="2"/>
    </row>
    <row r="115" spans="12:17" hidden="1" x14ac:dyDescent="0.2">
      <c r="L115" s="2" t="s">
        <v>167</v>
      </c>
      <c r="M115" s="2" t="s">
        <v>168</v>
      </c>
      <c r="N115" s="2" t="str">
        <f t="shared" si="1"/>
        <v>Petroleum Products LRG Cylinders</v>
      </c>
      <c r="O115" s="2">
        <v>12.07</v>
      </c>
      <c r="P115" s="2"/>
      <c r="Q115" s="2"/>
    </row>
    <row r="116" spans="12:17" hidden="1" x14ac:dyDescent="0.2">
      <c r="L116" s="2" t="s">
        <v>167</v>
      </c>
      <c r="M116" s="2" t="s">
        <v>169</v>
      </c>
      <c r="N116" s="2" t="str">
        <f t="shared" si="1"/>
        <v>Petroleum Products Lubricants</v>
      </c>
      <c r="O116" s="2">
        <v>7.1</v>
      </c>
      <c r="P116" s="2">
        <v>7.1</v>
      </c>
      <c r="Q116" s="2"/>
    </row>
    <row r="117" spans="12:17" hidden="1" x14ac:dyDescent="0.2">
      <c r="L117" s="2" t="s">
        <v>167</v>
      </c>
      <c r="M117" s="2" t="s">
        <v>167</v>
      </c>
      <c r="N117" s="2" t="str">
        <f t="shared" si="1"/>
        <v>Petroleum Products Petroleum Products</v>
      </c>
      <c r="O117" s="2">
        <v>5.0599999999999996</v>
      </c>
      <c r="P117" s="2">
        <v>5.0599999999999996</v>
      </c>
      <c r="Q117" s="2"/>
    </row>
    <row r="118" spans="12:17" hidden="1" x14ac:dyDescent="0.2">
      <c r="L118" s="2" t="s">
        <v>170</v>
      </c>
      <c r="M118" s="2" t="s">
        <v>170</v>
      </c>
      <c r="N118" s="2" t="str">
        <f t="shared" si="1"/>
        <v>Photographic &amp; Allied Products Photographic &amp; Allied Products</v>
      </c>
      <c r="O118" s="2">
        <v>5.98</v>
      </c>
      <c r="P118" s="2">
        <v>5.98</v>
      </c>
      <c r="Q118" s="2"/>
    </row>
    <row r="119" spans="12:17" hidden="1" x14ac:dyDescent="0.2">
      <c r="L119" s="2" t="s">
        <v>171</v>
      </c>
      <c r="M119" s="2" t="s">
        <v>172</v>
      </c>
      <c r="N119" s="2" t="str">
        <f t="shared" si="1"/>
        <v>Plastics Plastics Films</v>
      </c>
      <c r="O119" s="2">
        <v>8.24</v>
      </c>
      <c r="P119" s="2">
        <v>8.24</v>
      </c>
      <c r="Q119" s="2"/>
    </row>
    <row r="120" spans="12:17" hidden="1" x14ac:dyDescent="0.2">
      <c r="L120" s="2" t="s">
        <v>171</v>
      </c>
      <c r="M120" s="2" t="s">
        <v>173</v>
      </c>
      <c r="N120" s="2" t="str">
        <f t="shared" si="1"/>
        <v>Plastics Plastics packaging goods</v>
      </c>
      <c r="O120" s="2">
        <v>9.4499999999999993</v>
      </c>
      <c r="P120" s="2">
        <v>9.4499999999999993</v>
      </c>
      <c r="Q120" s="2"/>
    </row>
    <row r="121" spans="12:17" hidden="1" x14ac:dyDescent="0.2">
      <c r="L121" s="2" t="s">
        <v>171</v>
      </c>
      <c r="M121" s="2" t="s">
        <v>174</v>
      </c>
      <c r="N121" s="2" t="str">
        <f t="shared" si="1"/>
        <v>Plastics Plastics tubes, Pipes, fittings &amp; sheets</v>
      </c>
      <c r="O121" s="2">
        <v>9.01</v>
      </c>
      <c r="P121" s="2">
        <v>9.01</v>
      </c>
      <c r="Q121" s="2"/>
    </row>
    <row r="122" spans="12:17" hidden="1" x14ac:dyDescent="0.2">
      <c r="L122" s="2" t="s">
        <v>43</v>
      </c>
      <c r="M122" s="2" t="s">
        <v>175</v>
      </c>
      <c r="N122" s="2" t="str">
        <f t="shared" si="1"/>
        <v>Professional Services Consultants/Business Consultancy</v>
      </c>
      <c r="O122" s="2"/>
      <c r="P122" s="2"/>
      <c r="Q122" s="2">
        <v>8.0399999999999991</v>
      </c>
    </row>
    <row r="123" spans="12:17" hidden="1" x14ac:dyDescent="0.2">
      <c r="L123" s="2" t="s">
        <v>43</v>
      </c>
      <c r="M123" s="2" t="s">
        <v>176</v>
      </c>
      <c r="N123" s="2" t="str">
        <f t="shared" si="1"/>
        <v>Professional Services Education Consultancy</v>
      </c>
      <c r="O123" s="2"/>
      <c r="P123" s="2"/>
      <c r="Q123" s="2">
        <v>8.75</v>
      </c>
    </row>
    <row r="124" spans="12:17" hidden="1" x14ac:dyDescent="0.2">
      <c r="L124" s="2" t="s">
        <v>43</v>
      </c>
      <c r="M124" s="2" t="s">
        <v>177</v>
      </c>
      <c r="N124" s="2" t="str">
        <f t="shared" si="1"/>
        <v>Professional Services Entertainment and media content provider</v>
      </c>
      <c r="O124" s="2"/>
      <c r="P124" s="2"/>
      <c r="Q124" s="2">
        <v>4.66</v>
      </c>
    </row>
    <row r="125" spans="12:17" hidden="1" x14ac:dyDescent="0.2">
      <c r="L125" s="2" t="s">
        <v>43</v>
      </c>
      <c r="M125" s="2" t="s">
        <v>178</v>
      </c>
      <c r="N125" s="2" t="str">
        <f t="shared" si="1"/>
        <v>Professional Services Event management services</v>
      </c>
      <c r="O125" s="2"/>
      <c r="P125" s="2"/>
      <c r="Q125" s="2">
        <v>15.78</v>
      </c>
    </row>
    <row r="126" spans="12:17" hidden="1" x14ac:dyDescent="0.2">
      <c r="L126" s="2" t="s">
        <v>43</v>
      </c>
      <c r="M126" s="2" t="s">
        <v>179</v>
      </c>
      <c r="N126" s="2" t="str">
        <f t="shared" si="1"/>
        <v>Professional Services Motion Picture production, distribution and exhibition</v>
      </c>
      <c r="O126" s="2"/>
      <c r="P126" s="2"/>
      <c r="Q126" s="2">
        <v>9.4600000000000009</v>
      </c>
    </row>
    <row r="127" spans="12:17" hidden="1" x14ac:dyDescent="0.2">
      <c r="L127" s="2" t="s">
        <v>43</v>
      </c>
      <c r="M127" s="2" t="s">
        <v>180</v>
      </c>
      <c r="N127" s="2" t="str">
        <f t="shared" si="1"/>
        <v>Professional Services Public Relations</v>
      </c>
      <c r="O127" s="2"/>
      <c r="P127" s="2"/>
      <c r="Q127" s="2">
        <v>4.7699999999999996</v>
      </c>
    </row>
    <row r="128" spans="12:17" hidden="1" x14ac:dyDescent="0.2">
      <c r="L128" s="2" t="s">
        <v>43</v>
      </c>
      <c r="M128" s="2" t="s">
        <v>181</v>
      </c>
      <c r="N128" s="2" t="str">
        <f t="shared" si="1"/>
        <v>Professional Services Real estate infrastructure services</v>
      </c>
      <c r="O128" s="2"/>
      <c r="P128" s="2"/>
      <c r="Q128" s="2">
        <v>11.22</v>
      </c>
    </row>
    <row r="129" spans="12:17" hidden="1" x14ac:dyDescent="0.2">
      <c r="L129" s="2" t="s">
        <v>43</v>
      </c>
      <c r="M129" s="2" t="s">
        <v>182</v>
      </c>
      <c r="N129" s="2" t="str">
        <f t="shared" si="1"/>
        <v>Professional Services Technical consultancy and engineering services</v>
      </c>
      <c r="O129" s="2"/>
      <c r="P129" s="2"/>
      <c r="Q129" s="2">
        <v>10.36</v>
      </c>
    </row>
    <row r="130" spans="12:17" hidden="1" x14ac:dyDescent="0.2">
      <c r="L130" s="2" t="s">
        <v>43</v>
      </c>
      <c r="M130" s="2" t="s">
        <v>183</v>
      </c>
      <c r="N130" s="2" t="str">
        <f t="shared" si="1"/>
        <v>Professional Services Placement &amp; HR consultancy services</v>
      </c>
      <c r="O130" s="2"/>
      <c r="P130" s="2"/>
      <c r="Q130" s="2">
        <v>1.95</v>
      </c>
    </row>
    <row r="131" spans="12:17" hidden="1" x14ac:dyDescent="0.2">
      <c r="L131" s="2" t="s">
        <v>184</v>
      </c>
      <c r="M131" s="2" t="s">
        <v>184</v>
      </c>
      <c r="N131" s="2" t="str">
        <f t="shared" ref="N131:N167" si="2">L131&amp;" "&amp;M131</f>
        <v>Radiobroadcasting media Radiobroadcasting media</v>
      </c>
      <c r="O131" s="2"/>
      <c r="P131" s="2"/>
      <c r="Q131" s="2">
        <v>15.93</v>
      </c>
    </row>
    <row r="132" spans="12:17" hidden="1" x14ac:dyDescent="0.2">
      <c r="L132" s="2" t="s">
        <v>185</v>
      </c>
      <c r="M132" s="2" t="s">
        <v>186</v>
      </c>
      <c r="N132" s="2" t="str">
        <f t="shared" si="2"/>
        <v>Retail trading Departmental stores</v>
      </c>
      <c r="O132" s="2"/>
      <c r="P132" s="2">
        <v>2.2599999999999998</v>
      </c>
      <c r="Q132" s="2"/>
    </row>
    <row r="133" spans="12:17" hidden="1" x14ac:dyDescent="0.2">
      <c r="L133" s="2" t="s">
        <v>187</v>
      </c>
      <c r="M133" s="2" t="s">
        <v>188</v>
      </c>
      <c r="N133" s="2" t="str">
        <f t="shared" si="2"/>
        <v>Road Transport Infrastructure services Toll revenue</v>
      </c>
      <c r="O133" s="2"/>
      <c r="P133" s="2"/>
      <c r="Q133" s="2"/>
    </row>
    <row r="134" spans="12:17" hidden="1" x14ac:dyDescent="0.2">
      <c r="L134" s="2" t="s">
        <v>187</v>
      </c>
      <c r="M134" s="2" t="s">
        <v>189</v>
      </c>
      <c r="N134" s="2" t="str">
        <f t="shared" si="2"/>
        <v>Road Transport Infrastructure services Other motor transport services</v>
      </c>
      <c r="O134" s="2"/>
      <c r="P134" s="2"/>
      <c r="Q134" s="2">
        <v>6.5</v>
      </c>
    </row>
    <row r="135" spans="12:17" hidden="1" x14ac:dyDescent="0.2">
      <c r="L135" s="2" t="s">
        <v>190</v>
      </c>
      <c r="M135" s="2" t="s">
        <v>191</v>
      </c>
      <c r="N135" s="2" t="str">
        <f t="shared" si="2"/>
        <v>Rubber Rubber &amp; rubber products</v>
      </c>
      <c r="O135" s="2">
        <v>12.03</v>
      </c>
      <c r="P135" s="2">
        <v>12.03</v>
      </c>
      <c r="Q135" s="2"/>
    </row>
    <row r="136" spans="12:17" hidden="1" x14ac:dyDescent="0.2">
      <c r="L136" s="2" t="s">
        <v>192</v>
      </c>
      <c r="M136" s="2" t="s">
        <v>193</v>
      </c>
      <c r="N136" s="2" t="str">
        <f t="shared" si="2"/>
        <v>Services Renting Services</v>
      </c>
      <c r="O136" s="2"/>
      <c r="P136" s="2"/>
      <c r="Q136" s="2">
        <v>12.7</v>
      </c>
    </row>
    <row r="137" spans="12:17" hidden="1" x14ac:dyDescent="0.2">
      <c r="L137" s="2" t="s">
        <v>194</v>
      </c>
      <c r="M137" s="2" t="s">
        <v>195</v>
      </c>
      <c r="N137" s="2" t="str">
        <f t="shared" si="2"/>
        <v>Services - Communication Communication equipment (other than mobile phone wholesaler, retailer)</v>
      </c>
      <c r="O137" s="2">
        <v>12.8</v>
      </c>
      <c r="P137" s="2"/>
      <c r="Q137" s="2">
        <v>12.8</v>
      </c>
    </row>
    <row r="138" spans="12:17" hidden="1" x14ac:dyDescent="0.2">
      <c r="L138" s="2" t="s">
        <v>194</v>
      </c>
      <c r="M138" s="2" t="s">
        <v>196</v>
      </c>
      <c r="N138" s="2" t="str">
        <f t="shared" si="2"/>
        <v>Services - Communication Internet Services</v>
      </c>
      <c r="O138" s="2"/>
      <c r="P138" s="2"/>
      <c r="Q138" s="2">
        <v>10.88</v>
      </c>
    </row>
    <row r="139" spans="12:17" hidden="1" x14ac:dyDescent="0.2">
      <c r="L139" s="2" t="s">
        <v>194</v>
      </c>
      <c r="M139" s="2" t="s">
        <v>197</v>
      </c>
      <c r="N139" s="2" t="str">
        <f t="shared" si="2"/>
        <v>Services - Communication Other communication services (wireless services, fax services, paper services, other telephone services, other communication services)</v>
      </c>
      <c r="O139" s="2"/>
      <c r="P139" s="2"/>
      <c r="Q139" s="2">
        <v>6.5</v>
      </c>
    </row>
    <row r="140" spans="12:17" hidden="1" x14ac:dyDescent="0.2">
      <c r="L140" s="2" t="s">
        <v>198</v>
      </c>
      <c r="M140" s="2" t="s">
        <v>199</v>
      </c>
      <c r="N140" s="2" t="str">
        <f t="shared" si="2"/>
        <v>Software ITES/ Call Centers</v>
      </c>
      <c r="O140" s="2"/>
      <c r="P140" s="2"/>
      <c r="Q140" s="2">
        <v>7.36</v>
      </c>
    </row>
    <row r="141" spans="12:17" hidden="1" x14ac:dyDescent="0.2">
      <c r="L141" s="2" t="s">
        <v>200</v>
      </c>
      <c r="M141" s="2" t="s">
        <v>201</v>
      </c>
      <c r="N141" s="2" t="str">
        <f t="shared" si="2"/>
        <v>Specially Footwear</v>
      </c>
      <c r="O141" s="2">
        <v>8.6999999999999993</v>
      </c>
      <c r="P141" s="2">
        <v>8.6999999999999993</v>
      </c>
      <c r="Q141" s="2"/>
    </row>
    <row r="142" spans="12:17" hidden="1" x14ac:dyDescent="0.2">
      <c r="L142" s="2" t="s">
        <v>200</v>
      </c>
      <c r="M142" s="2" t="s">
        <v>202</v>
      </c>
      <c r="N142" s="2" t="str">
        <f t="shared" si="2"/>
        <v>Specially Books, Office Suppliers &amp; Stationery</v>
      </c>
      <c r="O142" s="2">
        <v>5.26</v>
      </c>
      <c r="P142" s="2">
        <v>5.26</v>
      </c>
      <c r="Q142" s="2"/>
    </row>
    <row r="143" spans="12:17" hidden="1" x14ac:dyDescent="0.2">
      <c r="L143" s="2" t="s">
        <v>200</v>
      </c>
      <c r="M143" s="2" t="s">
        <v>203</v>
      </c>
      <c r="N143" s="2" t="str">
        <f t="shared" si="2"/>
        <v>Specially Clock &amp; watches</v>
      </c>
      <c r="O143" s="2">
        <v>12.67</v>
      </c>
      <c r="P143" s="2">
        <v>12.67</v>
      </c>
      <c r="Q143" s="2"/>
    </row>
    <row r="144" spans="12:17" hidden="1" x14ac:dyDescent="0.2">
      <c r="L144" s="2" t="s">
        <v>200</v>
      </c>
      <c r="M144" s="2" t="s">
        <v>204</v>
      </c>
      <c r="N144" s="2" t="str">
        <f t="shared" si="2"/>
        <v>Specially Hobby, Toys &amp; Games</v>
      </c>
      <c r="O144" s="2">
        <v>15.87</v>
      </c>
      <c r="P144" s="2">
        <v>15.87</v>
      </c>
      <c r="Q144" s="2"/>
    </row>
    <row r="145" spans="12:17" hidden="1" x14ac:dyDescent="0.2">
      <c r="L145" s="2" t="s">
        <v>200</v>
      </c>
      <c r="M145" s="2" t="s">
        <v>205</v>
      </c>
      <c r="N145" s="2" t="str">
        <f t="shared" si="2"/>
        <v>Specially Home Furniture &amp; Finishing</v>
      </c>
      <c r="O145" s="2">
        <v>4.63</v>
      </c>
      <c r="P145" s="2">
        <v>4.63</v>
      </c>
      <c r="Q145" s="2"/>
    </row>
    <row r="146" spans="12:17" hidden="1" x14ac:dyDescent="0.2">
      <c r="L146" s="2" t="s">
        <v>200</v>
      </c>
      <c r="M146" s="2" t="s">
        <v>206</v>
      </c>
      <c r="N146" s="2" t="str">
        <f t="shared" si="2"/>
        <v>Specially Luggage &amp; Leather Goods</v>
      </c>
      <c r="O146" s="2">
        <v>8.6999999999999993</v>
      </c>
      <c r="P146" s="2">
        <v>8.6999999999999993</v>
      </c>
      <c r="Q146" s="2"/>
    </row>
    <row r="147" spans="12:17" hidden="1" x14ac:dyDescent="0.2">
      <c r="L147" s="2" t="s">
        <v>200</v>
      </c>
      <c r="M147" s="2" t="s">
        <v>207</v>
      </c>
      <c r="N147" s="2" t="str">
        <f t="shared" si="2"/>
        <v>Specially Opticians &amp; Optical instruments</v>
      </c>
      <c r="O147" s="2">
        <v>9.26</v>
      </c>
      <c r="P147" s="2">
        <v>9.26</v>
      </c>
      <c r="Q147" s="2"/>
    </row>
    <row r="148" spans="12:17" hidden="1" x14ac:dyDescent="0.2">
      <c r="L148" s="2" t="s">
        <v>200</v>
      </c>
      <c r="M148" s="2" t="s">
        <v>208</v>
      </c>
      <c r="N148" s="2" t="str">
        <f t="shared" si="2"/>
        <v>Specially Pens and Pencils</v>
      </c>
      <c r="O148" s="2">
        <v>5.72</v>
      </c>
      <c r="P148" s="2">
        <v>5.72</v>
      </c>
      <c r="Q148" s="2"/>
    </row>
    <row r="149" spans="12:17" hidden="1" x14ac:dyDescent="0.2">
      <c r="L149" s="2" t="s">
        <v>200</v>
      </c>
      <c r="M149" s="2" t="s">
        <v>209</v>
      </c>
      <c r="N149" s="2" t="str">
        <f t="shared" si="2"/>
        <v>Specially Sports Goods</v>
      </c>
      <c r="O149" s="2">
        <v>6.54</v>
      </c>
      <c r="P149" s="2">
        <v>6.54</v>
      </c>
      <c r="Q149" s="2"/>
    </row>
    <row r="150" spans="12:17" hidden="1" x14ac:dyDescent="0.2">
      <c r="L150" s="2" t="s">
        <v>200</v>
      </c>
      <c r="M150" s="2" t="s">
        <v>210</v>
      </c>
      <c r="N150" s="2" t="str">
        <f t="shared" si="2"/>
        <v>Specially Wood and wood products / Sports goods</v>
      </c>
      <c r="O150" s="2">
        <v>6.54</v>
      </c>
      <c r="P150" s="2">
        <v>6.54</v>
      </c>
      <c r="Q150" s="2"/>
    </row>
    <row r="151" spans="12:17" hidden="1" x14ac:dyDescent="0.2">
      <c r="L151" s="2" t="s">
        <v>211</v>
      </c>
      <c r="M151" s="2" t="s">
        <v>212</v>
      </c>
      <c r="N151" s="2" t="str">
        <f t="shared" si="2"/>
        <v>Telecommunication services Cellular phone infrastructure</v>
      </c>
      <c r="O151" s="2"/>
      <c r="P151" s="2"/>
      <c r="Q151" s="2">
        <v>12.96</v>
      </c>
    </row>
    <row r="152" spans="12:17" hidden="1" x14ac:dyDescent="0.2">
      <c r="L152" s="2" t="s">
        <v>213</v>
      </c>
      <c r="M152" s="2" t="s">
        <v>213</v>
      </c>
      <c r="N152" s="2" t="str">
        <f t="shared" si="2"/>
        <v>Television broadcasting media Television broadcasting media</v>
      </c>
      <c r="O152" s="2"/>
      <c r="P152" s="2"/>
      <c r="Q152" s="2">
        <v>11.09</v>
      </c>
    </row>
    <row r="153" spans="12:17" hidden="1" x14ac:dyDescent="0.2">
      <c r="L153" s="2" t="s">
        <v>214</v>
      </c>
      <c r="M153" s="2" t="s">
        <v>215</v>
      </c>
      <c r="N153" s="2" t="str">
        <f t="shared" si="2"/>
        <v>Textiles Blankets &amp; Carpets</v>
      </c>
      <c r="O153" s="2">
        <v>9.51</v>
      </c>
      <c r="P153" s="2">
        <v>4.9000000000000004</v>
      </c>
      <c r="Q153" s="2"/>
    </row>
    <row r="154" spans="12:17" hidden="1" x14ac:dyDescent="0.2">
      <c r="L154" s="2" t="s">
        <v>214</v>
      </c>
      <c r="M154" s="2" t="s">
        <v>216</v>
      </c>
      <c r="N154" s="2" t="str">
        <f t="shared" si="2"/>
        <v>Textiles Blended yarn</v>
      </c>
      <c r="O154" s="2">
        <v>8.99</v>
      </c>
      <c r="P154" s="2">
        <v>4.9000000000000004</v>
      </c>
      <c r="Q154" s="2"/>
    </row>
    <row r="155" spans="12:17" hidden="1" x14ac:dyDescent="0.2">
      <c r="L155" s="2" t="s">
        <v>214</v>
      </c>
      <c r="M155" s="2" t="s">
        <v>217</v>
      </c>
      <c r="N155" s="2" t="str">
        <f t="shared" si="2"/>
        <v>Textiles Jute</v>
      </c>
      <c r="O155" s="2">
        <v>4.2300000000000004</v>
      </c>
      <c r="P155" s="2">
        <v>4.9000000000000004</v>
      </c>
      <c r="Q155" s="2"/>
    </row>
    <row r="156" spans="12:17" hidden="1" x14ac:dyDescent="0.2">
      <c r="L156" s="2" t="s">
        <v>214</v>
      </c>
      <c r="M156" s="2" t="s">
        <v>218</v>
      </c>
      <c r="N156" s="2" t="str">
        <f t="shared" si="2"/>
        <v>Textiles Readymade Garments</v>
      </c>
      <c r="O156" s="2">
        <v>8.43</v>
      </c>
      <c r="P156" s="2">
        <v>4.9000000000000004</v>
      </c>
      <c r="Q156" s="2"/>
    </row>
    <row r="157" spans="12:17" hidden="1" x14ac:dyDescent="0.2">
      <c r="L157" s="2" t="s">
        <v>214</v>
      </c>
      <c r="M157" s="2" t="s">
        <v>219</v>
      </c>
      <c r="N157" s="2" t="str">
        <f t="shared" si="2"/>
        <v>Textiles Textiles - Cotton</v>
      </c>
      <c r="O157" s="2">
        <v>9.66</v>
      </c>
      <c r="P157" s="2">
        <v>4.9000000000000004</v>
      </c>
      <c r="Q157" s="2"/>
    </row>
    <row r="158" spans="12:17" hidden="1" x14ac:dyDescent="0.2">
      <c r="L158" s="2" t="s">
        <v>214</v>
      </c>
      <c r="M158" s="2" t="s">
        <v>220</v>
      </c>
      <c r="N158" s="2" t="str">
        <f t="shared" si="2"/>
        <v>Textiles Textiles - Silk</v>
      </c>
      <c r="O158" s="2">
        <v>7</v>
      </c>
      <c r="P158" s="2">
        <v>4.9000000000000004</v>
      </c>
      <c r="Q158" s="2"/>
    </row>
    <row r="159" spans="12:17" hidden="1" x14ac:dyDescent="0.2">
      <c r="L159" s="2" t="s">
        <v>214</v>
      </c>
      <c r="M159" s="2" t="s">
        <v>221</v>
      </c>
      <c r="N159" s="2" t="str">
        <f t="shared" si="2"/>
        <v>Textiles Textiles - Synthetic</v>
      </c>
      <c r="O159" s="2">
        <v>8.0399999999999991</v>
      </c>
      <c r="P159" s="2">
        <v>4.9000000000000004</v>
      </c>
      <c r="Q159" s="2"/>
    </row>
    <row r="160" spans="12:17" hidden="1" x14ac:dyDescent="0.2">
      <c r="L160" s="2" t="s">
        <v>214</v>
      </c>
      <c r="M160" s="2" t="s">
        <v>222</v>
      </c>
      <c r="N160" s="2" t="str">
        <f t="shared" si="2"/>
        <v>Textiles Textiles - Specialized (Other than Cotton, Jute &amp; Yarn, Silk and Synthetic)</v>
      </c>
      <c r="O160" s="2">
        <v>12.36</v>
      </c>
      <c r="P160" s="2">
        <v>4.9000000000000004</v>
      </c>
      <c r="Q160" s="2"/>
    </row>
    <row r="161" spans="12:17" hidden="1" x14ac:dyDescent="0.2">
      <c r="L161" s="2" t="s">
        <v>214</v>
      </c>
      <c r="M161" s="2" t="s">
        <v>223</v>
      </c>
      <c r="N161" s="2" t="str">
        <f t="shared" si="2"/>
        <v>Textiles Woolen Textiles</v>
      </c>
      <c r="O161" s="2">
        <v>9.51</v>
      </c>
      <c r="P161" s="2">
        <v>4.9000000000000004</v>
      </c>
      <c r="Q161" s="2"/>
    </row>
    <row r="162" spans="12:17" hidden="1" x14ac:dyDescent="0.2">
      <c r="L162" s="2" t="s">
        <v>224</v>
      </c>
      <c r="M162" s="2" t="s">
        <v>225</v>
      </c>
      <c r="N162" s="2" t="str">
        <f t="shared" si="2"/>
        <v>Transportation Logistics Cargo (Cargo Handling air &amp; water)</v>
      </c>
      <c r="O162" s="2"/>
      <c r="P162" s="2"/>
      <c r="Q162" s="2">
        <v>9.64</v>
      </c>
    </row>
    <row r="163" spans="12:17" hidden="1" x14ac:dyDescent="0.2">
      <c r="L163" s="2" t="s">
        <v>224</v>
      </c>
      <c r="M163" s="2" t="s">
        <v>226</v>
      </c>
      <c r="N163" s="2" t="str">
        <f t="shared" si="2"/>
        <v>Transportation Logistics Courier</v>
      </c>
      <c r="O163" s="2"/>
      <c r="P163" s="2"/>
      <c r="Q163" s="2">
        <v>6.48</v>
      </c>
    </row>
    <row r="164" spans="12:17" hidden="1" x14ac:dyDescent="0.2">
      <c r="L164" s="2" t="s">
        <v>224</v>
      </c>
      <c r="M164" s="2" t="s">
        <v>227</v>
      </c>
      <c r="N164" s="2" t="str">
        <f t="shared" si="2"/>
        <v>Transportation Logistics Goods Transport Services (Road)</v>
      </c>
      <c r="O164" s="2"/>
      <c r="P164" s="2"/>
      <c r="Q164" s="2">
        <v>8.3800000000000008</v>
      </c>
    </row>
    <row r="165" spans="12:17" hidden="1" x14ac:dyDescent="0.2">
      <c r="L165" s="2" t="s">
        <v>224</v>
      </c>
      <c r="M165" s="2" t="s">
        <v>228</v>
      </c>
      <c r="N165" s="2" t="str">
        <f t="shared" si="2"/>
        <v>Transportation Logistics Passenger Transport Services (Road)</v>
      </c>
      <c r="O165" s="2"/>
      <c r="P165" s="2"/>
      <c r="Q165" s="2">
        <v>8.3800000000000008</v>
      </c>
    </row>
    <row r="166" spans="12:17" hidden="1" x14ac:dyDescent="0.2">
      <c r="L166" s="2" t="s">
        <v>224</v>
      </c>
      <c r="M166" s="2" t="s">
        <v>229</v>
      </c>
      <c r="N166" s="2" t="str">
        <f t="shared" si="2"/>
        <v>Transportation Logistics Storage &amp; Warehousing</v>
      </c>
      <c r="O166" s="2"/>
      <c r="P166" s="2"/>
      <c r="Q166" s="2">
        <v>13.17</v>
      </c>
    </row>
    <row r="167" spans="12:17" hidden="1" x14ac:dyDescent="0.2">
      <c r="L167" s="2" t="s">
        <v>224</v>
      </c>
      <c r="M167" s="2" t="s">
        <v>230</v>
      </c>
      <c r="N167" s="2" t="str">
        <f t="shared" si="2"/>
        <v>Transportation Logistics Portal</v>
      </c>
      <c r="O167" s="2"/>
      <c r="P167" s="2"/>
      <c r="Q167" s="2">
        <v>18.86</v>
      </c>
    </row>
  </sheetData>
  <mergeCells count="38">
    <mergeCell ref="R16:S16"/>
    <mergeCell ref="R10:S10"/>
    <mergeCell ref="R11:S11"/>
    <mergeCell ref="R13:S13"/>
    <mergeCell ref="A10:H10"/>
    <mergeCell ref="R14:S14"/>
    <mergeCell ref="B13:B14"/>
    <mergeCell ref="A1:H1"/>
    <mergeCell ref="A2:B2"/>
    <mergeCell ref="A3:B3"/>
    <mergeCell ref="A4:B4"/>
    <mergeCell ref="C2:H2"/>
    <mergeCell ref="C3:H3"/>
    <mergeCell ref="C4:H4"/>
    <mergeCell ref="C5:H5"/>
    <mergeCell ref="C6:H6"/>
    <mergeCell ref="C7:H7"/>
    <mergeCell ref="A8:H8"/>
    <mergeCell ref="A9:B9"/>
    <mergeCell ref="C9:H9"/>
    <mergeCell ref="A5:B5"/>
    <mergeCell ref="A6:B6"/>
    <mergeCell ref="A7:B7"/>
    <mergeCell ref="A17:B17"/>
    <mergeCell ref="C17:H17"/>
    <mergeCell ref="A18:B18"/>
    <mergeCell ref="C18:H18"/>
    <mergeCell ref="A11:A14"/>
    <mergeCell ref="A15:B15"/>
    <mergeCell ref="C15:H15"/>
    <mergeCell ref="A16:B16"/>
    <mergeCell ref="C16:H16"/>
    <mergeCell ref="A19:B19"/>
    <mergeCell ref="C19:H19"/>
    <mergeCell ref="A20:B20"/>
    <mergeCell ref="A21:B21"/>
    <mergeCell ref="C20:H20"/>
    <mergeCell ref="C21:H21"/>
  </mergeCells>
  <dataValidations count="5">
    <dataValidation type="whole" allowBlank="1" showInputMessage="1" showErrorMessage="1" sqref="C4" xr:uid="{00000000-0002-0000-1800-000000000000}">
      <formula1>12</formula1>
      <formula2>60</formula2>
    </dataValidation>
    <dataValidation type="list" allowBlank="1" showInputMessage="1" showErrorMessage="1" sqref="B12" xr:uid="{00000000-0002-0000-1800-000001000000}">
      <formula1>"Monthly,Quarterly,Half-yearly,Yearly"</formula1>
    </dataValidation>
    <dataValidation operator="greaterThanOrEqual" showInputMessage="1" showErrorMessage="1" sqref="C19 C3:H3" xr:uid="{00000000-0002-0000-1800-000002000000}"/>
    <dataValidation type="list" allowBlank="1" showInputMessage="1" showErrorMessage="1" sqref="C6" xr:uid="{00000000-0002-0000-1800-000003000000}">
      <formula1>$N$2:$N$166</formula1>
    </dataValidation>
    <dataValidation type="list" allowBlank="1" showInputMessage="1" showErrorMessage="1" sqref="C5" xr:uid="{00000000-0002-0000-1800-000004000000}">
      <formula1>"Manufacturer,Trader, Service"</formula1>
    </dataValidation>
  </dataValidations>
  <pageMargins left="0.7" right="0.7" top="0.75" bottom="0.75" header="0.3" footer="0.3"/>
  <pageSetup paperSize="9" orientation="portrait" horizontalDpi="4294967295" verticalDpi="4294967295"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N30"/>
  <sheetViews>
    <sheetView workbookViewId="0">
      <selection sqref="A1:B1"/>
    </sheetView>
  </sheetViews>
  <sheetFormatPr defaultColWidth="0" defaultRowHeight="15" zeroHeight="1" x14ac:dyDescent="0.25"/>
  <cols>
    <col min="1" max="1" width="46.7109375" style="13" customWidth="1"/>
    <col min="2" max="2" width="36.85546875" style="13" customWidth="1"/>
    <col min="3" max="3" width="2" style="13" customWidth="1"/>
    <col min="4" max="6" width="9.140625" style="13" hidden="1" customWidth="1"/>
    <col min="7" max="14" width="0" style="13" hidden="1" customWidth="1"/>
    <col min="15" max="16384" width="9.140625" style="13" hidden="1"/>
  </cols>
  <sheetData>
    <row r="1" spans="1:6" ht="20.25" x14ac:dyDescent="0.3">
      <c r="A1" s="481" t="s">
        <v>479</v>
      </c>
      <c r="B1" s="481"/>
    </row>
    <row r="2" spans="1:6" ht="15" customHeight="1" x14ac:dyDescent="0.25">
      <c r="A2" s="126" t="s">
        <v>0</v>
      </c>
      <c r="B2" s="107">
        <f>'Loan Details'!B3</f>
        <v>0</v>
      </c>
    </row>
    <row r="3" spans="1:6" x14ac:dyDescent="0.25">
      <c r="A3" s="126" t="s">
        <v>2</v>
      </c>
      <c r="B3" s="108">
        <f>'Loan Details'!B4</f>
        <v>0.19</v>
      </c>
      <c r="F3" s="13" t="s">
        <v>698</v>
      </c>
    </row>
    <row r="4" spans="1:6" ht="15" customHeight="1" x14ac:dyDescent="0.25">
      <c r="A4" s="126" t="s">
        <v>3</v>
      </c>
      <c r="B4" s="109">
        <f>'Loan Details'!B5</f>
        <v>36</v>
      </c>
      <c r="F4" s="13" t="s">
        <v>697</v>
      </c>
    </row>
    <row r="5" spans="1:6" ht="15" customHeight="1" x14ac:dyDescent="0.25">
      <c r="A5" s="126" t="s">
        <v>485</v>
      </c>
      <c r="B5" s="128">
        <f>PMT(B3/12,B4,-B2)</f>
        <v>0</v>
      </c>
      <c r="F5" s="13" t="s">
        <v>704</v>
      </c>
    </row>
    <row r="6" spans="1:6" x14ac:dyDescent="0.25">
      <c r="A6" s="120" t="s">
        <v>775</v>
      </c>
      <c r="B6" s="130" t="s">
        <v>787</v>
      </c>
      <c r="F6" s="13" t="s">
        <v>705</v>
      </c>
    </row>
    <row r="7" spans="1:6" ht="15" customHeight="1" x14ac:dyDescent="0.25">
      <c r="A7" s="120" t="s">
        <v>806</v>
      </c>
      <c r="B7" s="129"/>
      <c r="F7" s="13" t="s">
        <v>701</v>
      </c>
    </row>
    <row r="8" spans="1:6" ht="15" customHeight="1" x14ac:dyDescent="0.25">
      <c r="A8" s="120" t="s">
        <v>807</v>
      </c>
      <c r="B8" s="129"/>
      <c r="F8" s="13" t="s">
        <v>699</v>
      </c>
    </row>
    <row r="9" spans="1:6" ht="15.75" x14ac:dyDescent="0.25">
      <c r="A9" s="701" t="s">
        <v>721</v>
      </c>
      <c r="B9" s="701"/>
      <c r="F9" s="13" t="s">
        <v>703</v>
      </c>
    </row>
    <row r="10" spans="1:6" ht="15" customHeight="1" x14ac:dyDescent="0.25">
      <c r="A10" s="126" t="s">
        <v>720</v>
      </c>
      <c r="B10" s="109">
        <v>0</v>
      </c>
      <c r="F10" s="13" t="s">
        <v>709</v>
      </c>
    </row>
    <row r="11" spans="1:6" ht="15" customHeight="1" x14ac:dyDescent="0.25">
      <c r="A11" s="126" t="s">
        <v>523</v>
      </c>
      <c r="B11" s="107">
        <v>0</v>
      </c>
      <c r="F11" s="13" t="s">
        <v>696</v>
      </c>
    </row>
    <row r="12" spans="1:6" ht="15" customHeight="1" x14ac:dyDescent="0.25">
      <c r="A12" s="126" t="s">
        <v>522</v>
      </c>
      <c r="B12" s="114">
        <f>B11*B10</f>
        <v>0</v>
      </c>
      <c r="F12" s="13" t="s">
        <v>706</v>
      </c>
    </row>
    <row r="13" spans="1:6" ht="15" customHeight="1" x14ac:dyDescent="0.25">
      <c r="A13" s="126" t="s">
        <v>524</v>
      </c>
      <c r="B13" s="114">
        <f>MIN(B12,B2)</f>
        <v>0</v>
      </c>
      <c r="F13" s="13" t="s">
        <v>702</v>
      </c>
    </row>
    <row r="14" spans="1:6" ht="15" customHeight="1" x14ac:dyDescent="0.25">
      <c r="A14" s="126" t="s">
        <v>12</v>
      </c>
      <c r="B14" s="114">
        <f>PMT(B3/12,B4,-B13)</f>
        <v>0</v>
      </c>
    </row>
    <row r="15" spans="1:6" ht="15.75" x14ac:dyDescent="0.25">
      <c r="A15" s="701" t="s">
        <v>722</v>
      </c>
      <c r="B15" s="701"/>
    </row>
    <row r="16" spans="1:6" ht="15" customHeight="1" x14ac:dyDescent="0.25">
      <c r="A16" s="126" t="s">
        <v>710</v>
      </c>
      <c r="B16" s="109">
        <v>0</v>
      </c>
    </row>
    <row r="17" spans="1:2" ht="15" customHeight="1" x14ac:dyDescent="0.25">
      <c r="A17" s="126" t="s">
        <v>711</v>
      </c>
      <c r="B17" s="107">
        <v>0</v>
      </c>
    </row>
    <row r="18" spans="1:2" ht="15" customHeight="1" x14ac:dyDescent="0.25">
      <c r="A18" s="126" t="s">
        <v>712</v>
      </c>
      <c r="B18" s="109">
        <v>0</v>
      </c>
    </row>
    <row r="19" spans="1:2" ht="15" customHeight="1" x14ac:dyDescent="0.25">
      <c r="A19" s="126" t="s">
        <v>713</v>
      </c>
      <c r="B19" s="107">
        <v>0</v>
      </c>
    </row>
    <row r="20" spans="1:2" ht="15" customHeight="1" x14ac:dyDescent="0.25">
      <c r="A20" s="126" t="s">
        <v>714</v>
      </c>
      <c r="B20" s="109">
        <v>0</v>
      </c>
    </row>
    <row r="21" spans="1:2" ht="15" customHeight="1" x14ac:dyDescent="0.25">
      <c r="A21" s="126" t="s">
        <v>715</v>
      </c>
      <c r="B21" s="107">
        <v>0</v>
      </c>
    </row>
    <row r="22" spans="1:2" ht="15" customHeight="1" x14ac:dyDescent="0.25">
      <c r="A22" s="126" t="s">
        <v>716</v>
      </c>
      <c r="B22" s="109">
        <v>0</v>
      </c>
    </row>
    <row r="23" spans="1:2" ht="15" customHeight="1" x14ac:dyDescent="0.25">
      <c r="A23" s="126" t="s">
        <v>717</v>
      </c>
      <c r="B23" s="107">
        <v>0</v>
      </c>
    </row>
    <row r="24" spans="1:2" ht="15" customHeight="1" x14ac:dyDescent="0.25">
      <c r="A24" s="126" t="s">
        <v>718</v>
      </c>
      <c r="B24" s="109">
        <v>0</v>
      </c>
    </row>
    <row r="25" spans="1:2" ht="15" customHeight="1" x14ac:dyDescent="0.25">
      <c r="A25" s="126" t="s">
        <v>719</v>
      </c>
      <c r="B25" s="107">
        <v>0</v>
      </c>
    </row>
    <row r="26" spans="1:2" ht="15" customHeight="1" x14ac:dyDescent="0.25">
      <c r="A26" s="126" t="s">
        <v>522</v>
      </c>
      <c r="B26" s="114">
        <f>(B17*B16)+(B18*B19)+(B20*B21)+(B22*B23)+(B24+B25)</f>
        <v>0</v>
      </c>
    </row>
    <row r="27" spans="1:2" ht="15" customHeight="1" x14ac:dyDescent="0.25">
      <c r="A27" s="126" t="s">
        <v>524</v>
      </c>
      <c r="B27" s="114">
        <f>MIN(B26,B2)</f>
        <v>0</v>
      </c>
    </row>
    <row r="28" spans="1:2" x14ac:dyDescent="0.25">
      <c r="A28" s="126" t="s">
        <v>12</v>
      </c>
      <c r="B28" s="114">
        <f>PMT(B3/12,B4,-B27)</f>
        <v>0</v>
      </c>
    </row>
    <row r="29" spans="1:2" ht="6.75" customHeight="1" x14ac:dyDescent="0.25"/>
    <row r="30" spans="1:2" ht="6" hidden="1" customHeight="1" x14ac:dyDescent="0.25"/>
  </sheetData>
  <sortState xmlns:xlrd2="http://schemas.microsoft.com/office/spreadsheetml/2017/richdata2" ref="F3:F13">
    <sortCondition ref="F3"/>
  </sortState>
  <mergeCells count="3">
    <mergeCell ref="A9:B9"/>
    <mergeCell ref="A15:B15"/>
    <mergeCell ref="A1:B1"/>
  </mergeCells>
  <dataValidations count="4">
    <dataValidation operator="greaterThanOrEqual" showInputMessage="1" showErrorMessage="1" sqref="B3" xr:uid="{00000000-0002-0000-1900-000000000000}"/>
    <dataValidation type="list" allowBlank="1" showInputMessage="1" showErrorMessage="1" sqref="B6" xr:uid="{00000000-0002-0000-1900-000001000000}">
      <formula1>"Regular,Structured"</formula1>
    </dataValidation>
    <dataValidation type="list" allowBlank="1" showInputMessage="1" showErrorMessage="1" sqref="B8" xr:uid="{00000000-0002-0000-1900-000002000000}">
      <formula1>$F$3:$F$13</formula1>
    </dataValidation>
    <dataValidation type="whole" allowBlank="1" showInputMessage="1" showErrorMessage="1" sqref="B4" xr:uid="{00000000-0002-0000-1900-000003000000}">
      <formula1>12</formula1>
      <formula2>60</formula2>
    </dataValidation>
  </dataValidation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CUSTOMER DETAIL</vt:lpstr>
      <vt:lpstr>Loan Details</vt:lpstr>
      <vt:lpstr>MSME_Detail</vt:lpstr>
      <vt:lpstr>MSME Detail</vt:lpstr>
      <vt:lpstr>ROC</vt:lpstr>
      <vt:lpstr>Average Banking</vt:lpstr>
      <vt:lpstr>DSCR Method</vt:lpstr>
      <vt:lpstr>Existing Borrower Top-up</vt:lpstr>
      <vt:lpstr>ITR Program</vt:lpstr>
      <vt:lpstr>Gross Receipts</vt:lpstr>
      <vt:lpstr>Income Multiplier</vt:lpstr>
      <vt:lpstr>Details</vt:lpstr>
      <vt:lpstr>Banking</vt:lpstr>
      <vt:lpstr>Financial</vt:lpstr>
      <vt:lpstr>Sheet1</vt:lpstr>
      <vt:lpstr>Banking Cashflow</vt:lpstr>
      <vt:lpstr>Banking Trend</vt:lpstr>
      <vt:lpstr>Repayment</vt:lpstr>
      <vt:lpstr>NC-RTR</vt:lpstr>
      <vt:lpstr>Observation Sheet</vt:lpstr>
      <vt:lpstr>SHP</vt:lpstr>
      <vt:lpstr>GSTR CY</vt:lpstr>
      <vt:lpstr>GSTR PY</vt:lpstr>
      <vt:lpstr>Gross Margin</vt:lpstr>
      <vt:lpstr>Gross Profit</vt:lpstr>
      <vt:lpstr>Projected Turnover</vt:lpstr>
      <vt:lpstr>Turnover Multiplier</vt:lpstr>
      <vt:lpstr>GST TO Surrogate</vt:lpstr>
      <vt:lpstr>Repayment Surrogate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AmitDas</dc:creator>
  <cp:lastModifiedBy>Mahesh Shetty</cp:lastModifiedBy>
  <dcterms:created xsi:type="dcterms:W3CDTF">2015-08-18T10:39:40Z</dcterms:created>
  <dcterms:modified xsi:type="dcterms:W3CDTF">2021-03-17T10:46:04Z</dcterms:modified>
</cp:coreProperties>
</file>