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New folder\clix\NEW FORMAT\"/>
    </mc:Choice>
  </mc:AlternateContent>
  <xr:revisionPtr revIDLastSave="0" documentId="13_ncr:1_{6674B479-284D-400A-831F-0C18E09A976B}" xr6:coauthVersionLast="45" xr6:coauthVersionMax="45" xr10:uidLastSave="{00000000-0000-0000-0000-000000000000}"/>
  <bookViews>
    <workbookView xWindow="-120" yWindow="-120" windowWidth="20730" windowHeight="11160" tabRatio="500" xr2:uid="{00000000-000D-0000-FFFF-FFFF00000000}"/>
  </bookViews>
  <sheets>
    <sheet name="Policy Checks on recent changes" sheetId="1" r:id="rId1"/>
    <sheet name="Customer Details" sheetId="9" r:id="rId2"/>
    <sheet name="Scorecard" sheetId="2" state="hidden" r:id="rId3"/>
    <sheet name="CAM" sheetId="6" r:id="rId4"/>
    <sheet name="Fin-1" sheetId="3" r:id="rId5"/>
    <sheet name="Fin-3" sheetId="4" state="hidden" r:id="rId6"/>
    <sheet name="Fin-2" sheetId="5" r:id="rId7"/>
    <sheet name="DSCR" sheetId="7" r:id="rId8"/>
    <sheet name="Banking" sheetId="8" r:id="rId9"/>
    <sheet name="VAT" sheetId="10" r:id="rId10"/>
    <sheet name="Existing Loans" sheetId="11" r:id="rId11"/>
    <sheet name="Step Down EMI Calculator" sheetId="12" r:id="rId12"/>
    <sheet name="Amort-Step Down" sheetId="13" r:id="rId13"/>
    <sheet name="Deviation Sheet" sheetId="14" r:id="rId14"/>
    <sheet name="Industry Margin - Mfg" sheetId="15" r:id="rId15"/>
    <sheet name="Industry Margin - Trading" sheetId="16" r:id="rId16"/>
    <sheet name="Industry Margin - Service" sheetId="17" r:id="rId17"/>
    <sheet name="Sheet1" sheetId="18" state="hidden"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___xlfn_IFERROR">#N/A</definedName>
    <definedName name="___xlfn_IFERROR">#N/A</definedName>
    <definedName name="__xlfn_IFERROR">#N/A</definedName>
    <definedName name="_xlnm._FilterDatabase" localSheetId="13">'Deviation Sheet'!$A$1:$E$30</definedName>
    <definedName name="_xlnm._FilterDatabase" localSheetId="14">'Industry Margin - Mfg'!$A$1:$HU$84</definedName>
    <definedName name="_xlnm._FilterDatabase" localSheetId="16">'Industry Margin - Service'!$A$1:$CD$39</definedName>
    <definedName name="_xlnm._FilterDatabase" localSheetId="15">'Industry Margin - Trading'!$A$1:$BJ$65</definedName>
    <definedName name="_Key1" localSheetId="6">#REF!</definedName>
    <definedName name="_Key1">#REF!</definedName>
    <definedName name="_Key2" localSheetId="6">#REF!</definedName>
    <definedName name="_Key2">#REF!</definedName>
    <definedName name="_Order1">255</definedName>
    <definedName name="_Order2">255</definedName>
    <definedName name="_Parse_In" localSheetId="6">#REF!</definedName>
    <definedName name="_Parse_In">#REF!</definedName>
    <definedName name="_Parse_Out" localSheetId="6">#REF!</definedName>
    <definedName name="_Parse_Out">#REF!</definedName>
    <definedName name="_Sort" localSheetId="6">#REF!</definedName>
    <definedName name="_Sort">#REF!</definedName>
    <definedName name="a" localSheetId="6">OFFSET(#REF!,0,0,COUNTA(#REF!),1)</definedName>
    <definedName name="a">OFFSET(#REF!,0,0,COUNTA(#REF!),1)</definedName>
    <definedName name="Abrasives_and_Grinding__Mfg_Segment_" localSheetId="4">'[1]industry margin - mfg'!#REF!</definedName>
    <definedName name="Abrasives_and_Grinding__Mfg_Segment_" localSheetId="6">'[1]industry margin - mfg'!#REF!</definedName>
    <definedName name="Abrasives_and_Grinding__Mfg_Segment_">'Industry Margin - Mfg'!#REF!</definedName>
    <definedName name="Abrasives_and_Grinding_Service_Segment" localSheetId="4">'[1]industry margin - service'!#REF!</definedName>
    <definedName name="Abrasives_and_Grinding_Service_Segment" localSheetId="6">'[1]industry margin - service'!#REF!</definedName>
    <definedName name="Abrasives_and_Grinding_Service_Segment">'Industry Margin - Service'!#REF!</definedName>
    <definedName name="Abrasives_and_Grinding_Trading_Segment" localSheetId="4">'[1]industry margin - trading'!#REF!</definedName>
    <definedName name="Abrasives_and_Grinding_Trading_Segment" localSheetId="6">'[1]industry margin - trading'!#REF!</definedName>
    <definedName name="Abrasives_and_Grinding_Trading_Segment">'Industry Margin - Trading'!#REF!</definedName>
    <definedName name="Acc_Type" localSheetId="6">OFFSET(#REF!,0,0,COUNTA(#REF!),1)</definedName>
    <definedName name="Acc_Type">OFFSET(#REF!,0,0,COUNTA(#REF!),1)</definedName>
    <definedName name="Accnt_Holder" localSheetId="4">'[1]Customer Details'!$B$8:$B$13</definedName>
    <definedName name="Accnt_Holder" localSheetId="6">'[1]Customer Details'!$B$8:$B$13</definedName>
    <definedName name="Accnt_Holder" localSheetId="2">'[2]Customer Details'!$B$8:$B$13</definedName>
    <definedName name="Accnt_Holder">'Customer Details'!$B$8:$B$13</definedName>
    <definedName name="ADBSA" localSheetId="6">'[3]hdfc life'!#REF!</definedName>
    <definedName name="ADBSA">'[3]hdfc life'!#REF!</definedName>
    <definedName name="Age">'[3]hdfc life'!$D$16</definedName>
    <definedName name="Age_Proof" localSheetId="6">OFFSET(#REF!,0,0,COUNTA(#REF!),1)</definedName>
    <definedName name="Age_Proof">OFFSET(#REF!,0,0,COUNTA(#REF!),1)</definedName>
    <definedName name="Agriculture_M">'Industry Margin - Mfg'!$C$2:$C$6</definedName>
    <definedName name="Agriculture_Services_Industry" localSheetId="4">'[1]industry margin - service'!#REF!</definedName>
    <definedName name="Agriculture_Services_Industry" localSheetId="6">'[1]industry margin - service'!#REF!</definedName>
    <definedName name="Agriculture_Services_Industry">'Industry Margin - Service'!#REF!</definedName>
    <definedName name="Agriculture_Trading">'Industry Margin - Trading'!$B$2:$B$5</definedName>
    <definedName name="Aluminium_and_Aluminium_Products__manufacturers___Mfg_Segment_">'Industry Margin - Mfg'!$D$41:$DL$41</definedName>
    <definedName name="Aluminium_and_Aluminium_Products__manufacturers__Service_Segment" localSheetId="4">'[1]industry margin - service'!#REF!</definedName>
    <definedName name="Aluminium_and_Aluminium_Products__manufacturers__Service_Segment" localSheetId="6">'[1]industry margin - service'!#REF!</definedName>
    <definedName name="Aluminium_and_Aluminium_Products__manufacturers__Service_Segment">'Industry Margin - Service'!#REF!</definedName>
    <definedName name="Aluminium_and_Aluminium_Products__manufacturers__Trading_Segment">'Industry Margin - Trading'!$C$33:$AF$33</definedName>
    <definedName name="Animal_Feed__Mfg_Segment_">'Industry Margin - Mfg'!$D$40:$DL$40</definedName>
    <definedName name="Animal_Feed_Service_Segment" localSheetId="4">'[1]industry margin - service'!#REF!</definedName>
    <definedName name="Animal_Feed_Service_Segment" localSheetId="6">'[1]industry margin - service'!#REF!</definedName>
    <definedName name="Animal_Feed_Service_Segment">'Industry Margin - Service'!#REF!</definedName>
    <definedName name="Animal_Feed_Trading_Segment" localSheetId="4">'[1]industry margin - trading'!#REF!</definedName>
    <definedName name="Animal_Feed_Trading_Segment" localSheetId="6">'[1]industry margin - trading'!#REF!</definedName>
    <definedName name="Animal_Feed_Trading_Segment">'Industry Margin - Trading'!#REF!</definedName>
    <definedName name="Applicant" localSheetId="4">[1]Sheet1!$F$3:$F$5</definedName>
    <definedName name="Applicant" localSheetId="6">[1]Sheet1!$F$3:$F$5</definedName>
    <definedName name="Applicant" localSheetId="2">[4]Sheet1!$F$3:$F$5</definedName>
    <definedName name="Applicant">#REF!</definedName>
    <definedName name="Asset_Description" localSheetId="6">#REF!</definedName>
    <definedName name="Asset_Description">#REF!</definedName>
    <definedName name="Authorised_car_dealers__servicing__manufacturers_Service_Segment">'Industry Margin - Service'!$C$2:$AP$2</definedName>
    <definedName name="Authorised_car_dealers_servicing_manufacturers__Mfg_Segment_">'Industry Margin - Mfg'!$D$10:$DL$10</definedName>
    <definedName name="Authorised_car_dealers_servicing_manufacturers_Trading_Segment">'Industry Margin - Trading'!$C$10:$AF$10</definedName>
    <definedName name="Auto_Ancilliaries__Mfg_Segment_">'Industry Margin - Mfg'!$D$7:$DL$7</definedName>
    <definedName name="Auto_Ancilliaries_M">'Industry Margin - Mfg'!$C$7:$C$9</definedName>
    <definedName name="Auto_Ancilliaries_Service_Segment" localSheetId="4">'[1]industry margin - service'!#REF!</definedName>
    <definedName name="Auto_Ancilliaries_Service_Segment" localSheetId="6">'[1]industry margin - service'!#REF!</definedName>
    <definedName name="Auto_Ancilliaries_Service_Segment">'Industry Margin - Service'!#REF!</definedName>
    <definedName name="Auto_Ancilliaries_Services_Industry" localSheetId="4">'[1]industry margin - service'!#REF!</definedName>
    <definedName name="Auto_Ancilliaries_Services_Industry" localSheetId="6">'[1]industry margin - service'!#REF!</definedName>
    <definedName name="Auto_Ancilliaries_Services_Industry">'Industry Margin - Service'!#REF!</definedName>
    <definedName name="Auto_Ancilliaries_Trading">'Industry Margin - Trading'!$B$6:$B$8</definedName>
    <definedName name="Auto_Ancilliaries_Trading_Segment">'Industry Margin - Trading'!$C$6:$AF$6</definedName>
    <definedName name="Automobile_2W_M" localSheetId="4">'[1]industry margin - mfg'!#REF!</definedName>
    <definedName name="Automobile_2W_M" localSheetId="6">'[1]industry margin - mfg'!#REF!</definedName>
    <definedName name="Automobile_2W_M">'Industry Margin - Mfg'!#REF!</definedName>
    <definedName name="Automobile_2W_Services_Industry" localSheetId="4">'[1]industry margin - service'!#REF!</definedName>
    <definedName name="Automobile_2W_Services_Industry" localSheetId="6">'[1]industry margin - service'!#REF!</definedName>
    <definedName name="Automobile_2W_Services_Industry">'Industry Margin - Service'!#REF!</definedName>
    <definedName name="Automobile_2W_Trading">'Industry Margin - Trading'!$B$9</definedName>
    <definedName name="Automobile_4W_M">'Industry Margin - Mfg'!$C$10</definedName>
    <definedName name="Automobile_4W_Services_Industry">'Industry Margin - Service'!$B$2</definedName>
    <definedName name="Automobile_4W_Trading">'Industry Margin - Trading'!$B$10</definedName>
    <definedName name="Aviation_M" localSheetId="4">'[1]industry margin - mfg'!#REF!</definedName>
    <definedName name="Aviation_M" localSheetId="6">'[1]industry margin - mfg'!#REF!</definedName>
    <definedName name="Aviation_M">'Industry Margin - Mfg'!#REF!</definedName>
    <definedName name="Aviation_Services_Industry">'Industry Margin - Service'!$B$3:$B$3</definedName>
    <definedName name="Aviation_Trading" localSheetId="4">'[1]industry margin - trading'!#REF!</definedName>
    <definedName name="Aviation_Trading" localSheetId="6">'[1]industry margin - trading'!#REF!</definedName>
    <definedName name="Aviation_Trading">'Industry Margin - Trading'!#REF!</definedName>
    <definedName name="Bank_Accs" localSheetId="6">OFFSET(#REF!,0,0,COUNTA(#REF!),1)</definedName>
    <definedName name="Bank_Accs">OFFSET(#REF!,0,0,COUNTA(#REF!),1)</definedName>
    <definedName name="Bank_AcType" localSheetId="6">OFFSET(#REF!,0,0,COUNTA(#REF!),1)</definedName>
    <definedName name="Bank_AcType">OFFSET(#REF!,0,0,COUNTA(#REF!),1)</definedName>
    <definedName name="Bank_Category" localSheetId="6">OFFSET(#REF!,0,0,COUNTA(#REF!),1)</definedName>
    <definedName name="Bank_Category">OFFSET(#REF!,0,0,COUNTA(#REF!),1)</definedName>
    <definedName name="Bank_Verification" localSheetId="6">OFFSET(#REF!,0,0,COUNTA(#REF!),1)</definedName>
    <definedName name="Bank_Verification">OFFSET(#REF!,0,0,COUNTA(#REF!),1)</definedName>
    <definedName name="BankChart1" localSheetId="6">OFFSET(#REF!,0,0,3,COUNTIFS(#REF!,"&gt;0"))</definedName>
    <definedName name="BankChart1">OFFSET(#REF!,0,0,3,COUNTIFS(#REF!,"&gt;0"))</definedName>
    <definedName name="Banking_1" localSheetId="6">#REF!</definedName>
    <definedName name="Banking_1">#REF!</definedName>
    <definedName name="BankNames" localSheetId="4">[1]Banking!$AA$25:$AA$28</definedName>
    <definedName name="BankNames" localSheetId="6">[1]Banking!$AA$25:$AA$28</definedName>
    <definedName name="BankNames" localSheetId="2">[2]Banking!$Z$16:$Z$19</definedName>
    <definedName name="BankNames">Banking!$O$25:$O$28</definedName>
    <definedName name="BankTable" localSheetId="6">OFFSET(#REF!,0,0,COUNTA(#REF!:#REF!),5)</definedName>
    <definedName name="BankTable">OFFSET(#REF!,0,0,COUNTA(#REF!:#REF!),5)</definedName>
    <definedName name="Bearings__Mfg_Segment_">'Industry Margin - Mfg'!$D$8:$DL$8</definedName>
    <definedName name="Bearings_Service_Segment" localSheetId="4">'[1]industry margin - service'!#REF!</definedName>
    <definedName name="Bearings_Service_Segment" localSheetId="6">'[1]industry margin - service'!#REF!</definedName>
    <definedName name="Bearings_Service_Segment">'Industry Margin - Service'!#REF!</definedName>
    <definedName name="Bearings_Trading_Segment" localSheetId="4">'[1]industry margin - trading'!#REF!</definedName>
    <definedName name="Bearings_Trading_Segment" localSheetId="6">'[1]industry margin - trading'!#REF!</definedName>
    <definedName name="Bearings_Trading_Segment">'Industry Margin - Trading'!#REF!</definedName>
    <definedName name="Beer__Wine_and_Distilled_Alcoholic_Beverages_Service_Segment" localSheetId="4">'[1]industry margin - service'!#REF!</definedName>
    <definedName name="Beer__Wine_and_Distilled_Alcoholic_Beverages_Service_Segment" localSheetId="6">'[1]industry margin - service'!#REF!</definedName>
    <definedName name="Beer__Wine_and_Distilled_Alcoholic_Beverages_Service_Segment">'Industry Margin - Service'!#REF!</definedName>
    <definedName name="Beer_Wine_and_Distilled_Alcoholic_Beverages__Mfg_Segment_">'Industry Margin - Mfg'!$D$39:$DL$39</definedName>
    <definedName name="Beer_Wine_and_Distilled_Alcoholic_Beverages_Trading_Segment">'Industry Margin - Trading'!$C$31:$AF$31</definedName>
    <definedName name="Beg_Bal" localSheetId="6">#REF!</definedName>
    <definedName name="Beg_Bal">#REF!</definedName>
    <definedName name="Benefit">[3]LISTS!$P$3:$P$4</definedName>
    <definedName name="Benefit_Sch" localSheetId="6">#REF!</definedName>
    <definedName name="Benefit_Sch">#REF!</definedName>
    <definedName name="Bicycle_M" localSheetId="4">'[1]industry margin - mfg'!#REF!</definedName>
    <definedName name="Bicycle_M" localSheetId="6">'[1]industry margin - mfg'!#REF!</definedName>
    <definedName name="Bicycle_M">'Industry Margin - Mfg'!#REF!</definedName>
    <definedName name="Bicycle_Services_Industry" localSheetId="4">'[1]industry margin - service'!#REF!</definedName>
    <definedName name="Bicycle_Services_Industry" localSheetId="6">'[1]industry margin - service'!#REF!</definedName>
    <definedName name="Bicycle_Services_Industry">'Industry Margin - Service'!#REF!</definedName>
    <definedName name="Bicycle_Trading" localSheetId="4">'[1]industry margin - trading'!#REF!</definedName>
    <definedName name="Bicycle_Trading" localSheetId="6">'[1]industry margin - trading'!#REF!</definedName>
    <definedName name="Bicycle_Trading">'Industry Margin - Trading'!#REF!</definedName>
    <definedName name="Biotech__Research_Service_Segment" localSheetId="4">'[1]industry margin - service'!#REF!</definedName>
    <definedName name="Biotech__Research_Service_Segment" localSheetId="6">'[1]industry margin - service'!#REF!</definedName>
    <definedName name="Biotech__Research_Service_Segment">'Industry Margin - Service'!#REF!</definedName>
    <definedName name="Biotech_Research__Mfg_Segment_">'Industry Margin - Mfg'!$D$53:$DL$53</definedName>
    <definedName name="Biotech_Research_Trading_Segment" localSheetId="4">'[1]industry margin - trading'!#REF!</definedName>
    <definedName name="Biotech_Research_Trading_Segment" localSheetId="6">'[1]industry margin - trading'!#REF!</definedName>
    <definedName name="Biotech_Research_Trading_Segment">'Industry Margin - Trading'!#REF!</definedName>
    <definedName name="Biz_Type" localSheetId="4">'[1]Customer Details'!$Z$8:$Z$10</definedName>
    <definedName name="Biz_Type" localSheetId="6">'[1]Customer Details'!$Z$8:$Z$10</definedName>
    <definedName name="Biz_Type" localSheetId="2">'[2]Industry Margin'!$C$1:$E$1</definedName>
    <definedName name="Biz_Type">'Customer Details'!$Z$8:$Z$10</definedName>
    <definedName name="Bkg_Surr" localSheetId="6">#REF!</definedName>
    <definedName name="Bkg_Surr">#REF!</definedName>
    <definedName name="Blank" localSheetId="6">#REF!</definedName>
    <definedName name="Blank">#REF!</definedName>
    <definedName name="Books__office_supplies_and_stationery_Service_Segment" localSheetId="4">'[1]industry margin - service'!#REF!</definedName>
    <definedName name="Books__office_supplies_and_stationery_Service_Segment" localSheetId="6">'[1]industry margin - service'!#REF!</definedName>
    <definedName name="Books__office_supplies_and_stationery_Service_Segment">'Industry Margin - Service'!#REF!</definedName>
    <definedName name="Books_office_supplies_and_stationery__Mfg_Segment_" localSheetId="4">'[1]industry margin - mfg'!#REF!</definedName>
    <definedName name="Books_office_supplies_and_stationery__Mfg_Segment_" localSheetId="6">'[1]industry margin - mfg'!#REF!</definedName>
    <definedName name="Books_office_supplies_and_stationery__Mfg_Segment_">'Industry Margin - Mfg'!#REF!</definedName>
    <definedName name="Books_office_supplies_and_stationery_Trading_Segment">'Industry Margin - Trading'!$C$49:$AF$49</definedName>
    <definedName name="Borrowers" localSheetId="6">OFFSET(#REF!,0,0,1,COUNTA(#REF!))</definedName>
    <definedName name="Borrowers">OFFSET(#REF!,0,0,1,COUNTA(#REF!))</definedName>
    <definedName name="Bounce" localSheetId="4">[1]Sheet8!$B$2:$B$3</definedName>
    <definedName name="Bounce" localSheetId="6">[1]Sheet8!$B$2:$B$3</definedName>
    <definedName name="Bounce">#REF!</definedName>
    <definedName name="Branch">'Customer Details'!$V$8:$V$15</definedName>
    <definedName name="Branches" localSheetId="4">'[1]Customer Details'!$V$8:$V$18</definedName>
    <definedName name="Branches" localSheetId="6">'[1]Customer Details'!$V$8:$V$18</definedName>
    <definedName name="Branches" localSheetId="2">'[2]Customer Details'!$R$8:$R$16</definedName>
    <definedName name="Branches">'Customer Details'!$V$8:$V$18</definedName>
    <definedName name="Breweries__Distilleries_Service_Segment" localSheetId="4">'[1]industry margin - service'!#REF!</definedName>
    <definedName name="Breweries__Distilleries_Service_Segment" localSheetId="6">'[1]industry margin - service'!#REF!</definedName>
    <definedName name="Breweries__Distilleries_Service_Segment">'Industry Margin - Service'!#REF!</definedName>
    <definedName name="Breweries_Distilleries__Mfg_Segment_" localSheetId="4">'[1]industry margin - mfg'!#REF!</definedName>
    <definedName name="Breweries_Distilleries__Mfg_Segment_" localSheetId="6">'[1]industry margin - mfg'!#REF!</definedName>
    <definedName name="Breweries_Distilleries__Mfg_Segment_">'Industry Margin - Mfg'!#REF!</definedName>
    <definedName name="Breweries_Distilleries_Trading_Segment" localSheetId="4">'[1]industry margin - trading'!#REF!</definedName>
    <definedName name="Breweries_Distilleries_Trading_Segment" localSheetId="6">'[1]industry margin - trading'!#REF!</definedName>
    <definedName name="Breweries_Distilleries_Trading_Segment">'Industry Margin - Trading'!#REF!</definedName>
    <definedName name="Brokers_and_Agents__Mfg_Segment_" localSheetId="4">'[1]industry margin - mfg'!#REF!</definedName>
    <definedName name="Brokers_and_Agents__Mfg_Segment_" localSheetId="6">'[1]industry margin - mfg'!#REF!</definedName>
    <definedName name="Brokers_and_Agents__Mfg_Segment_">'Industry Margin - Mfg'!#REF!</definedName>
    <definedName name="Brokers_and_Agents_Service_Segment" localSheetId="4">'[1]industry margin - service'!#REF!</definedName>
    <definedName name="Brokers_and_Agents_Service_Segment" localSheetId="6">'[1]industry margin - service'!#REF!</definedName>
    <definedName name="Brokers_and_Agents_Service_Segment">'Industry Margin - Service'!#REF!</definedName>
    <definedName name="Brokers_and_Agents_Trading_Segment" localSheetId="4">'[1]industry margin - trading'!#REF!</definedName>
    <definedName name="Brokers_and_Agents_Trading_Segment" localSheetId="6">'[1]industry margin - trading'!#REF!</definedName>
    <definedName name="Brokers_and_Agents_Trading_Segment">'Industry Margin - Trading'!#REF!</definedName>
    <definedName name="Bureau_Dev1" localSheetId="6">OFFSET(#REF!,0,0,COUNTA(#REF!),1)</definedName>
    <definedName name="Bureau_Dev1">OFFSET(#REF!,0,0,COUNTA(#REF!),1)</definedName>
    <definedName name="Bureau_Dev2" localSheetId="6">OFFSET(#REF!,0,0,COUNTA(#REF!),1)</definedName>
    <definedName name="Bureau_Dev2">OFFSET(#REF!,0,0,COUNTA(#REF!),1)</definedName>
    <definedName name="Bureau_Dev3" localSheetId="6">OFFSET(#REF!,0,0,COUNTA(#REF!),1)</definedName>
    <definedName name="Bureau_Dev3">OFFSET(#REF!,0,0,COUNTA(#REF!),1)</definedName>
    <definedName name="C_ADB">'[5]Lists &amp; Working'!$H$3</definedName>
    <definedName name="C_CI10">'[5]Lists &amp; Working'!$K$3</definedName>
    <definedName name="C_CI5">'[5]Lists &amp; Working'!$J$3</definedName>
    <definedName name="C_TI">'[5]Lists &amp; Working'!$L$3</definedName>
    <definedName name="C_TPD">'[5]Lists &amp; Working'!$I$3</definedName>
    <definedName name="Cable_and_other_pay_TV_services__Mfg_Segment_" localSheetId="4">'[1]industry margin - mfg'!#REF!</definedName>
    <definedName name="Cable_and_other_pay_TV_services__Mfg_Segment_" localSheetId="6">'[1]industry margin - mfg'!#REF!</definedName>
    <definedName name="Cable_and_other_pay_TV_services__Mfg_Segment_">'Industry Margin - Mfg'!#REF!</definedName>
    <definedName name="Cable_and_other_pay_TV_services_Service_Segment">'Industry Margin - Service'!$C$4:$AP$4</definedName>
    <definedName name="Cable_and_other_pay_TV_services_Trading_Segment" localSheetId="4">'[1]industry margin - trading'!#REF!</definedName>
    <definedName name="Cable_and_other_pay_TV_services_Trading_Segment" localSheetId="6">'[1]industry margin - trading'!#REF!</definedName>
    <definedName name="Cable_and_other_pay_TV_services_Trading_Segment">'Industry Margin - Trading'!#REF!</definedName>
    <definedName name="Cable_TV_M" localSheetId="4">'[1]industry margin - mfg'!#REF!</definedName>
    <definedName name="Cable_TV_M" localSheetId="6">'[1]industry margin - mfg'!#REF!</definedName>
    <definedName name="Cable_TV_M">'Industry Margin - Mfg'!#REF!</definedName>
    <definedName name="Cable_TV_Services_Industry">'Industry Margin - Service'!$B$4</definedName>
    <definedName name="Cable_TV_Trading" localSheetId="4">'[1]industry margin - trading'!#REF!</definedName>
    <definedName name="Cable_TV_Trading" localSheetId="6">'[1]industry margin - trading'!#REF!</definedName>
    <definedName name="Cable_TV_Trading">'Industry Margin - Trading'!#REF!</definedName>
    <definedName name="Carbon_black__Mfg_Segment_" localSheetId="4">'[1]industry margin - mfg'!#REF!</definedName>
    <definedName name="Carbon_black__Mfg_Segment_" localSheetId="6">'[1]industry margin - mfg'!#REF!</definedName>
    <definedName name="Carbon_black__Mfg_Segment_">'Industry Margin - Mfg'!#REF!</definedName>
    <definedName name="Carbon_black_Service_Segment" localSheetId="4">'[1]industry margin - service'!#REF!</definedName>
    <definedName name="Carbon_black_Service_Segment" localSheetId="6">'[1]industry margin - service'!#REF!</definedName>
    <definedName name="Carbon_black_Service_Segment">'Industry Margin - Service'!#REF!</definedName>
    <definedName name="Carbon_black_Trading_Segment" localSheetId="4">'[1]industry margin - trading'!#REF!</definedName>
    <definedName name="Carbon_black_Trading_Segment" localSheetId="6">'[1]industry margin - trading'!#REF!</definedName>
    <definedName name="Carbon_black_Trading_Segment">'Industry Margin - Trading'!#REF!</definedName>
    <definedName name="Casting_and_Forgings_M">'Industry Margin - Mfg'!$C$11</definedName>
    <definedName name="Casting_and_Forgings_Services_Industry" localSheetId="4">'[1]industry margin - service'!#REF!</definedName>
    <definedName name="Casting_and_Forgings_Services_Industry" localSheetId="6">'[1]industry margin - service'!#REF!</definedName>
    <definedName name="Casting_and_Forgings_Services_Industry">'Industry Margin - Service'!#REF!</definedName>
    <definedName name="Casting_and_Forgings_Trading" localSheetId="4">'[1]industry margin - trading'!#REF!</definedName>
    <definedName name="Casting_and_Forgings_Trading" localSheetId="6">'[1]industry margin - trading'!#REF!</definedName>
    <definedName name="Casting_and_Forgings_Trading">'Industry Margin - Trading'!#REF!</definedName>
    <definedName name="Castings_and_Forgings__Mfg_Segment_">'Industry Margin - Mfg'!$D$11:$DL$11</definedName>
    <definedName name="Castings_and_Forgings_Service_Segment" localSheetId="4">'[1]industry margin - service'!#REF!</definedName>
    <definedName name="Castings_and_Forgings_Service_Segment" localSheetId="6">'[1]industry margin - service'!#REF!</definedName>
    <definedName name="Castings_and_Forgings_Service_Segment">'Industry Margin - Service'!#REF!</definedName>
    <definedName name="Castings_and_Forgings_Trading_Segment" localSheetId="4">'[1]industry margin - trading'!#REF!</definedName>
    <definedName name="Castings_and_Forgings_Trading_Segment" localSheetId="6">'[1]industry margin - trading'!#REF!</definedName>
    <definedName name="Castings_and_Forgings_Trading_Segment">'Industry Margin - Trading'!#REF!</definedName>
    <definedName name="Caustic_Soda__Mfg_Segment_" localSheetId="4">'[1]industry margin - mfg'!#REF!</definedName>
    <definedName name="Caustic_Soda__Mfg_Segment_" localSheetId="6">'[1]industry margin - mfg'!#REF!</definedName>
    <definedName name="Caustic_Soda__Mfg_Segment_">'Industry Margin - Mfg'!#REF!</definedName>
    <definedName name="Caustic_Soda_Service_Segment" localSheetId="4">'[1]industry margin - service'!#REF!</definedName>
    <definedName name="Caustic_Soda_Service_Segment" localSheetId="6">'[1]industry margin - service'!#REF!</definedName>
    <definedName name="Caustic_Soda_Service_Segment">'Industry Margin - Service'!#REF!</definedName>
    <definedName name="Caustic_Soda_Trading_Segment" localSheetId="4">'[1]industry margin - trading'!#REF!</definedName>
    <definedName name="Caustic_Soda_Trading_Segment" localSheetId="6">'[1]industry margin - trading'!#REF!</definedName>
    <definedName name="Caustic_Soda_Trading_Segment">'Industry Margin - Trading'!#REF!</definedName>
    <definedName name="Cement_and_Asbestos_Products__Mfg_Segment_">'Industry Margin - Mfg'!$D$12:$DL$12</definedName>
    <definedName name="Cement_and_Asbestos_Products_Service_Segment" localSheetId="4">'[1]industry margin - service'!#REF!</definedName>
    <definedName name="Cement_and_Asbestos_Products_Service_Segment" localSheetId="6">'[1]industry margin - service'!#REF!</definedName>
    <definedName name="Cement_and_Asbestos_Products_Service_Segment">'Industry Margin - Service'!#REF!</definedName>
    <definedName name="Cement_and_Asbestos_Products_Trading_Segment">'Industry Margin - Trading'!$C$11:$AF$11</definedName>
    <definedName name="Cement_M">'Industry Margin - Mfg'!$C$12</definedName>
    <definedName name="Cement_Services_Industry" localSheetId="4">'[1]industry margin - service'!#REF!</definedName>
    <definedName name="Cement_Services_Industry" localSheetId="6">'[1]industry margin - service'!#REF!</definedName>
    <definedName name="Cement_Services_Industry">'Industry Margin - Service'!#REF!</definedName>
    <definedName name="Cement_Trading">'Industry Margin - Trading'!$B$11</definedName>
    <definedName name="Chemical_Machinery_M" localSheetId="4">'[1]industry margin - mfg'!#REF!</definedName>
    <definedName name="Chemical_Machinery_M" localSheetId="6">'[1]industry margin - mfg'!#REF!</definedName>
    <definedName name="Chemical_Machinery_M">'Industry Margin - Mfg'!#REF!</definedName>
    <definedName name="Chemical_Machinery_Services_Industry" localSheetId="4">'[1]industry margin - service'!#REF!</definedName>
    <definedName name="Chemical_Machinery_Services_Industry" localSheetId="6">'[1]industry margin - service'!#REF!</definedName>
    <definedName name="Chemical_Machinery_Services_Industry">'Industry Margin - Service'!#REF!</definedName>
    <definedName name="Chemical_Machinery_Trading" localSheetId="4">'[1]industry margin - trading'!#REF!</definedName>
    <definedName name="Chemical_Machinery_Trading" localSheetId="6">'[1]industry margin - trading'!#REF!</definedName>
    <definedName name="Chemical_Machinery_Trading">'Industry Margin - Trading'!#REF!</definedName>
    <definedName name="Chemicals__petrochemicals__specility_chemicals_Service_Segment" localSheetId="4">'[1]industry margin - service'!#REF!</definedName>
    <definedName name="Chemicals__petrochemicals__specility_chemicals_Service_Segment" localSheetId="6">'[1]industry margin - service'!#REF!</definedName>
    <definedName name="Chemicals__petrochemicals__specility_chemicals_Service_Segment">'Industry Margin - Service'!#REF!</definedName>
    <definedName name="Chemicals_M">'Industry Margin - Mfg'!$C$13:$C$13</definedName>
    <definedName name="Chemicals_petrochemicals_specility_chemicals__Mfg_Segment_">'Industry Margin - Mfg'!$D$13:$DL$13</definedName>
    <definedName name="Chemicals_petrochemicals_specility_chemicals_Trading_Segment">'Industry Margin - Trading'!$C$12:$AF$12</definedName>
    <definedName name="Chemicals_Services_Industry" localSheetId="4">'[1]industry margin - service'!#REF!</definedName>
    <definedName name="Chemicals_Services_Industry" localSheetId="6">'[1]industry margin - service'!#REF!</definedName>
    <definedName name="Chemicals_Services_Industry">'Industry Margin - Service'!#REF!</definedName>
    <definedName name="Chemicals_Trading">'Industry Margin - Trading'!$B$12:$B$12</definedName>
    <definedName name="CIBIL_Individual" localSheetId="6">#REF!</definedName>
    <definedName name="CIBIL_Individual">#REF!</definedName>
    <definedName name="CIBIL_Score" localSheetId="6">OFFSET(#REF!,0,0,COUNTA(#REF!),1)</definedName>
    <definedName name="CIBIL_Score">OFFSET(#REF!,0,0,COUNTA(#REF!),1)</definedName>
    <definedName name="CISA" localSheetId="6">'[3]hdfc life'!#REF!</definedName>
    <definedName name="CISA">'[3]hdfc life'!#REF!</definedName>
    <definedName name="Clearing_and_Forwarding__Storage_and_Warehouding_agents_Service_Segment" localSheetId="4">'[1]industry margin - service'!#REF!</definedName>
    <definedName name="Clearing_and_Forwarding__Storage_and_Warehouding_agents_Service_Segment" localSheetId="6">'[1]industry margin - service'!#REF!</definedName>
    <definedName name="Clearing_and_Forwarding__Storage_and_Warehouding_agents_Service_Segment">'Industry Margin - Service'!#REF!</definedName>
    <definedName name="Clearing_and_Forwarding_Storage_and_Warehouding_agents__Mfg_Segment_" localSheetId="4">'[1]industry margin - mfg'!#REF!</definedName>
    <definedName name="Clearing_and_Forwarding_Storage_and_Warehouding_agents__Mfg_Segment_" localSheetId="6">'[1]industry margin - mfg'!#REF!</definedName>
    <definedName name="Clearing_and_Forwarding_Storage_and_Warehouding_agents__Mfg_Segment_">'Industry Margin - Mfg'!#REF!</definedName>
    <definedName name="Clearing_and_Forwarding_Storage_and_Warehouding_agents_Trading_Segment" localSheetId="4">'[1]industry margin - trading'!#REF!</definedName>
    <definedName name="Clearing_and_Forwarding_Storage_and_Warehouding_agents_Trading_Segment" localSheetId="6">'[1]industry margin - trading'!#REF!</definedName>
    <definedName name="Clearing_and_Forwarding_Storage_and_Warehouding_agents_Trading_Segment">'Industry Margin - Trading'!#REF!</definedName>
    <definedName name="Clocks_and_Watches__Mfg_Segment_">'Industry Margin - Mfg'!$D$84:$DL$84</definedName>
    <definedName name="Clocks_and_Watches_Service_Segment" localSheetId="4">'[1]industry margin - service'!#REF!</definedName>
    <definedName name="Clocks_and_Watches_Service_Segment" localSheetId="6">'[1]industry margin - service'!#REF!</definedName>
    <definedName name="Clocks_and_Watches_Service_Segment">'Industry Margin - Service'!#REF!</definedName>
    <definedName name="Clocks_and_Watches_Trading_Segment">'Industry Margin - Trading'!$C$65:$AF$65</definedName>
    <definedName name="Coaching_Classes__Mfg_Segment_" localSheetId="4">'[1]industry margin - mfg'!#REF!</definedName>
    <definedName name="Coaching_Classes__Mfg_Segment_" localSheetId="6">'[1]industry margin - mfg'!#REF!</definedName>
    <definedName name="Coaching_Classes__Mfg_Segment_">'Industry Margin - Mfg'!#REF!</definedName>
    <definedName name="Coaching_Classes_Service_Segment" localSheetId="4">'[1]industry margin - service'!#REF!</definedName>
    <definedName name="Coaching_Classes_Service_Segment" localSheetId="6">'[1]industry margin - service'!#REF!</definedName>
    <definedName name="Coaching_Classes_Service_Segment">'Industry Margin - Service'!#REF!</definedName>
    <definedName name="Coaching_Classes_Trading_Segment" localSheetId="4">'[1]industry margin - trading'!#REF!</definedName>
    <definedName name="Coaching_Classes_Trading_Segment" localSheetId="6">'[1]industry margin - trading'!#REF!</definedName>
    <definedName name="Coaching_Classes_Trading_Segment">'Industry Margin - Trading'!#REF!</definedName>
    <definedName name="Coal_and_Lignite__Minerals_Service_Segment" localSheetId="4">'[1]industry margin - service'!#REF!</definedName>
    <definedName name="Coal_and_Lignite__Minerals_Service_Segment" localSheetId="6">'[1]industry margin - service'!#REF!</definedName>
    <definedName name="Coal_and_Lignite__Minerals_Service_Segment">'Industry Margin - Service'!#REF!</definedName>
    <definedName name="Coal_and_Lignite_Minerals__Mfg_Segment_">'Industry Margin - Mfg'!$D$14:$DL$14</definedName>
    <definedName name="Coal_and_Lignite_Minerals_Trading_Segment">'Industry Margin - Trading'!$C$13:$AF$13</definedName>
    <definedName name="Coal_M">'Industry Margin - Mfg'!$C$14</definedName>
    <definedName name="Coal_Services_Industry" localSheetId="4">'[1]industry margin - service'!#REF!</definedName>
    <definedName name="Coal_Services_Industry" localSheetId="6">'[1]industry margin - service'!#REF!</definedName>
    <definedName name="Coal_Services_Industry">'Industry Margin - Service'!#REF!</definedName>
    <definedName name="Coal_Trading">'Industry Margin - Trading'!$B$13</definedName>
    <definedName name="Cocoa__Confectionary__Dairy_packaged_food__bakery_Service_Segment" localSheetId="4">'[1]industry margin - service'!#REF!</definedName>
    <definedName name="Cocoa__Confectionary__Dairy_packaged_food__bakery_Service_Segment" localSheetId="6">'[1]industry margin - service'!#REF!</definedName>
    <definedName name="Cocoa__Confectionary__Dairy_packaged_food__bakery_Service_Segment">'Industry Margin - Service'!#REF!</definedName>
    <definedName name="Cocoa_Confectionary_Dairy_packaged_food_bakery__Mfg_Segment_">'Industry Margin - Mfg'!$D$25:$DL$25</definedName>
    <definedName name="Cocoa_Confectionary_Dairy_packaged_food_bakery_Trading_Segment">'Industry Margin - Trading'!$C$25:$AF$25</definedName>
    <definedName name="Coffee_M">'Industry Margin - Mfg'!$C$15</definedName>
    <definedName name="Coffee_Producers_and_coffee_chains__Mfg_Segment_">'Industry Margin - Mfg'!$D$15:$DL$15</definedName>
    <definedName name="Coffee_Producers_and_coffee_chains_Service_Segment" localSheetId="4">'[1]industry margin - service'!#REF!</definedName>
    <definedName name="Coffee_Producers_and_coffee_chains_Service_Segment" localSheetId="6">'[1]industry margin - service'!#REF!</definedName>
    <definedName name="Coffee_Producers_and_coffee_chains_Service_Segment">'Industry Margin - Service'!#REF!</definedName>
    <definedName name="Coffee_Producers_and_coffee_chains_Trading_Segment">'Industry Margin - Trading'!$C$14:$AF$14</definedName>
    <definedName name="Coffee_Services_Industry" localSheetId="4">'[1]industry margin - service'!#REF!</definedName>
    <definedName name="Coffee_Services_Industry" localSheetId="6">'[1]industry margin - service'!#REF!</definedName>
    <definedName name="Coffee_Services_Industry">'Industry Margin - Service'!#REF!</definedName>
    <definedName name="Coffee_Trading">'Industry Margin - Trading'!$B$14</definedName>
    <definedName name="Cold_storage_chains__Mfg_Segment_" localSheetId="4">'[1]industry margin - mfg'!#REF!</definedName>
    <definedName name="Cold_storage_chains__Mfg_Segment_" localSheetId="6">'[1]industry margin - mfg'!#REF!</definedName>
    <definedName name="Cold_storage_chains__Mfg_Segment_">'Industry Margin - Mfg'!#REF!</definedName>
    <definedName name="Cold_storage_chains_Service_Segment">'Industry Margin - Service'!$C$5:$AP$5</definedName>
    <definedName name="Cold_storage_chains_Trading_Segment" localSheetId="4">'[1]industry margin - trading'!#REF!</definedName>
    <definedName name="Cold_storage_chains_Trading_Segment" localSheetId="6">'[1]industry margin - trading'!#REF!</definedName>
    <definedName name="Cold_storage_chains_Trading_Segment">'Industry Margin - Trading'!#REF!</definedName>
    <definedName name="Cold_Storage_M" localSheetId="4">'[1]industry margin - mfg'!#REF!</definedName>
    <definedName name="Cold_Storage_M" localSheetId="6">'[1]industry margin - mfg'!#REF!</definedName>
    <definedName name="Cold_Storage_M">'Industry Margin - Mfg'!#REF!</definedName>
    <definedName name="Cold_Storage_Services_Industry">'Industry Margin - Service'!$B$5</definedName>
    <definedName name="Cold_Storage_Trading" localSheetId="4">'[1]industry margin - trading'!#REF!</definedName>
    <definedName name="Cold_Storage_Trading" localSheetId="6">'[1]industry margin - trading'!#REF!</definedName>
    <definedName name="Cold_Storage_Trading">'Industry Margin - Trading'!#REF!</definedName>
    <definedName name="Commercial_CIBIL" localSheetId="6">OFFSET(#REF!,0,0,COUNTA(#REF!),1)</definedName>
    <definedName name="Commercial_CIBIL">OFFSET(#REF!,0,0,COUNTA(#REF!),1)</definedName>
    <definedName name="Commercial_CIBIL_Scores" localSheetId="6">OFFSET(#REF!,0,0,COUNTA(#REF!),1)</definedName>
    <definedName name="Commercial_CIBIL_Scores">OFFSET(#REF!,0,0,COUNTA(#REF!),1)</definedName>
    <definedName name="Commercial_residential_industrial_buildings__Mfg_Segment_" localSheetId="4">'[1]industry margin - mfg'!#REF!</definedName>
    <definedName name="Commercial_residential_industrial_buildings__Mfg_Segment_" localSheetId="6">'[1]industry margin - mfg'!#REF!</definedName>
    <definedName name="Commercial_residential_industrial_buildings__Mfg_Segment_">'Industry Margin - Mfg'!#REF!</definedName>
    <definedName name="Commercial_residential_industrial_buildings_Service_Segment">'Industry Margin - Service'!$C$37:$AP$37</definedName>
    <definedName name="Commercial_residential_industrial_buildings_Trading_Segment" localSheetId="4">'[1]industry margin - trading'!#REF!</definedName>
    <definedName name="Commercial_residential_industrial_buildings_Trading_Segment" localSheetId="6">'[1]industry margin - trading'!#REF!</definedName>
    <definedName name="Commercial_residential_industrial_buildings_Trading_Segment">'Industry Margin - Trading'!#REF!</definedName>
    <definedName name="Commercial_Vehicle_M">'Industry Margin - Mfg'!$C$16</definedName>
    <definedName name="Commercial_Vehicle_Services_Industry">'Industry Margin - Service'!$B$6</definedName>
    <definedName name="Commercial_Vehicle_Trading">'Industry Margin - Trading'!$B$15</definedName>
    <definedName name="Companyname">[6]FAT!$B$4</definedName>
    <definedName name="Compressors__Mfg_Segment_">'Industry Margin - Mfg'!$D$29:$DL$29</definedName>
    <definedName name="Compressors_Service_Segment" localSheetId="4">'[1]industry margin - service'!#REF!</definedName>
    <definedName name="Compressors_Service_Segment" localSheetId="6">'[1]industry margin - service'!#REF!</definedName>
    <definedName name="Compressors_Service_Segment">'Industry Margin - Service'!#REF!</definedName>
    <definedName name="Compressors_Trading_Segment" localSheetId="4">'[1]industry margin - trading'!#REF!</definedName>
    <definedName name="Compressors_Trading_Segment" localSheetId="6">'[1]industry margin - trading'!#REF!</definedName>
    <definedName name="Compressors_Trading_Segment">'Industry Margin - Trading'!#REF!</definedName>
    <definedName name="Computer_and_Peripherals_M" localSheetId="4">'[1]industry margin - mfg'!#REF!</definedName>
    <definedName name="Computer_and_Peripherals_M" localSheetId="6">'[1]industry margin - mfg'!#REF!</definedName>
    <definedName name="Computer_and_Peripherals_M">'Industry Margin - Mfg'!#REF!</definedName>
    <definedName name="Computer_and_Peripherals_Services_Industry">'Industry Margin - Service'!$B$7:$B$7</definedName>
    <definedName name="Computer_and_Peripherals_Trading" localSheetId="4">'[1]industry margin - trading'!#REF!</definedName>
    <definedName name="Computer_and_Peripherals_Trading" localSheetId="6">'[1]industry margin - trading'!#REF!</definedName>
    <definedName name="Computer_and_Peripherals_Trading">'Industry Margin - Trading'!#REF!</definedName>
    <definedName name="Computer_Software_and_Education_and_post_production_animation__Mfg_Segment_" localSheetId="4">'[1]industry margin - mfg'!#REF!</definedName>
    <definedName name="Computer_Software_and_Education_and_post_production_animation__Mfg_Segment_" localSheetId="6">'[1]industry margin - mfg'!#REF!</definedName>
    <definedName name="Computer_Software_and_Education_and_post_production_animation__Mfg_Segment_">'Industry Margin - Mfg'!#REF!</definedName>
    <definedName name="Computer_Software_and_Education_and_post_production_animation_Service_Segment">'Industry Margin - Service'!$C$21:$AP$21</definedName>
    <definedName name="Computer_Software_and_Education_and_post_production_animation_Trading_Segment" localSheetId="4">'[1]industry margin - trading'!#REF!</definedName>
    <definedName name="Computer_Software_and_Education_and_post_production_animation_Trading_Segment" localSheetId="6">'[1]industry margin - trading'!#REF!</definedName>
    <definedName name="Computer_Software_and_Education_and_post_production_animation_Trading_Segment">'Industry Margin - Trading'!#REF!</definedName>
    <definedName name="Computers___Hardware_Sales_and_service__networking_and_peripheral_sales_like_UPS_monitor_etc_Service_Segment" localSheetId="4">'[1]industry margin - service'!#REF!</definedName>
    <definedName name="Computers___Hardware_Sales_and_service__networking_and_peripheral_sales_like_UPS_monitor_etc_Service_Segment" localSheetId="6">'[1]industry margin - service'!#REF!</definedName>
    <definedName name="Computers___Hardware_Sales_and_service__networking_and_peripheral_sales_like_UPS_monitor_etc_Service_Segment">'Industry Margin - Service'!#REF!</definedName>
    <definedName name="Computers__Hardware_Sales_and_service_networking_and_peripheral_sales_like_UPS_monitor_etc__Mfg_Segment_" localSheetId="4">'[1]industry margin - mfg'!#REF!</definedName>
    <definedName name="Computers__Hardware_Sales_and_service_networking_and_peripheral_sales_like_UPS_monitor_etc__Mfg_Segment_" localSheetId="6">'[1]industry margin - mfg'!#REF!</definedName>
    <definedName name="Computers__Hardware_Sales_and_service_networking_and_peripheral_sales_like_UPS_monitor_etc__Mfg_Segment_">'Industry Margin - Mfg'!#REF!</definedName>
    <definedName name="Computers__Hardware_Sales_and_service_networking_and_peripheral_sales_like_UPS_monitor_etc_Trading_Segment" localSheetId="4">'[1]industry margin - trading'!#REF!</definedName>
    <definedName name="Computers__Hardware_Sales_and_service_networking_and_peripheral_sales_like_UPS_monitor_etc_Trading_Segment" localSheetId="6">'[1]industry margin - trading'!#REF!</definedName>
    <definedName name="Computers__Hardware_Sales_and_service_networking_and_peripheral_sales_like_UPS_monitor_etc_Trading_Segment">'Industry Margin - Trading'!#REF!</definedName>
    <definedName name="Constitution" localSheetId="6">OFFSET(#REF!,0,0,COUNTA(#REF!),1)</definedName>
    <definedName name="Constitution">OFFSET(#REF!,0,0,COUNTA(#REF!),1)</definedName>
    <definedName name="Construction_Equipment__Mfg_Segment_" localSheetId="4">'[1]industry margin - mfg'!#REF!</definedName>
    <definedName name="Construction_Equipment__Mfg_Segment_" localSheetId="6">'[1]industry margin - mfg'!#REF!</definedName>
    <definedName name="Construction_Equipment__Mfg_Segment_">'Industry Margin - Mfg'!#REF!</definedName>
    <definedName name="Construction_Equipment_M" localSheetId="4">'[1]industry margin - mfg'!#REF!</definedName>
    <definedName name="Construction_Equipment_M" localSheetId="6">'[1]industry margin - mfg'!#REF!</definedName>
    <definedName name="Construction_Equipment_M">'Industry Margin - Mfg'!#REF!</definedName>
    <definedName name="Construction_Equipment_Service_Segment" localSheetId="4">'[1]industry margin - service'!#REF!</definedName>
    <definedName name="Construction_Equipment_Service_Segment" localSheetId="6">'[1]industry margin - service'!#REF!</definedName>
    <definedName name="Construction_Equipment_Service_Segment">'Industry Margin - Service'!#REF!</definedName>
    <definedName name="Construction_Equipment_Services_Industry">'Industry Margin - Service'!$B$10:$B$10</definedName>
    <definedName name="Construction_Equipment_Trading" localSheetId="4">'[1]industry margin - trading'!#REF!</definedName>
    <definedName name="Construction_Equipment_Trading" localSheetId="6">'[1]industry margin - trading'!#REF!</definedName>
    <definedName name="Construction_Equipment_Trading">'Industry Margin - Trading'!#REF!</definedName>
    <definedName name="Construction_Equipment_Trading_Segment" localSheetId="4">'[1]industry margin - trading'!#REF!</definedName>
    <definedName name="Construction_Equipment_Trading_Segment" localSheetId="6">'[1]industry margin - trading'!#REF!</definedName>
    <definedName name="Construction_Equipment_Trading_Segment">'Industry Margin - Trading'!#REF!</definedName>
    <definedName name="Construction_M" localSheetId="4">'[1]industry margin - mfg'!#REF!</definedName>
    <definedName name="Construction_M" localSheetId="6">'[1]industry margin - mfg'!#REF!</definedName>
    <definedName name="Construction_M">'Industry Margin - Mfg'!#REF!</definedName>
    <definedName name="Construction_materials__ceramic_tiles_Service_Segment" localSheetId="4">'[1]industry margin - service'!#REF!</definedName>
    <definedName name="Construction_materials__ceramic_tiles_Service_Segment" localSheetId="6">'[1]industry margin - service'!#REF!</definedName>
    <definedName name="Construction_materials__ceramic_tiles_Service_Segment">'Industry Margin - Service'!#REF!</definedName>
    <definedName name="Construction_materials_ceramic_tiles__Mfg_Segment_">'Industry Margin - Mfg'!$D$78:$DL$78</definedName>
    <definedName name="Construction_materials_ceramic_tiles_Trading_Segment">'Industry Margin - Trading'!$C$60:$AF$60</definedName>
    <definedName name="Construction_Services_Industry">'Industry Margin - Service'!$B$8:$B$9</definedName>
    <definedName name="Construction_Trading" localSheetId="4">'[1]industry margin - trading'!#REF!</definedName>
    <definedName name="Construction_Trading" localSheetId="6">'[1]industry margin - trading'!#REF!</definedName>
    <definedName name="Construction_Trading">'Industry Margin - Trading'!#REF!</definedName>
    <definedName name="Consumer_Durables_M" localSheetId="4">'[1]industry margin - mfg'!#REF!</definedName>
    <definedName name="Consumer_Durables_M" localSheetId="6">'[1]industry margin - mfg'!#REF!</definedName>
    <definedName name="Consumer_Durables_M">'Industry Margin - Mfg'!#REF!</definedName>
    <definedName name="Consumer_Durables_Services_Industry">'Industry Margin - Service'!$B$11:$B$11</definedName>
    <definedName name="Consumer_Durables_Trading">'Industry Margin - Trading'!$B$16:$B$17</definedName>
    <definedName name="Consumer_Electronic_Spares___Components_Trading_Segment">'Industry Margin - Trading'!$C$17:$AF$17</definedName>
    <definedName name="Consumer_Electronic_Spares_or_Components__Mfg_Segment_" localSheetId="4">'[1]industry margin - mfg'!#REF!</definedName>
    <definedName name="Consumer_Electronic_Spares_or_Components__Mfg_Segment_" localSheetId="6">'[1]industry margin - mfg'!#REF!</definedName>
    <definedName name="Consumer_Electronic_Spares_or_Components__Mfg_Segment_">'Industry Margin - Mfg'!#REF!</definedName>
    <definedName name="Consumer_Electronic_Spares_or_Components_Service_Segment" localSheetId="4">'[1]industry margin - service'!#REF!</definedName>
    <definedName name="Consumer_Electronic_Spares_or_Components_Service_Segment" localSheetId="6">'[1]industry margin - service'!#REF!</definedName>
    <definedName name="Consumer_Electronic_Spares_or_Components_Service_Segment">'Industry Margin - Service'!#REF!</definedName>
    <definedName name="Contractor__Mfg_Segment_" localSheetId="4">'[1]industry margin - mfg'!#REF!</definedName>
    <definedName name="Contractor__Mfg_Segment_" localSheetId="6">'[1]industry margin - mfg'!#REF!</definedName>
    <definedName name="Contractor__Mfg_Segment_">'Industry Margin - Mfg'!#REF!</definedName>
    <definedName name="Contractor_Service_Segment">'Industry Margin - Service'!$C$8:$AP$8</definedName>
    <definedName name="Contractor_Trading_Segment" localSheetId="4">'[1]industry margin - trading'!#REF!</definedName>
    <definedName name="Contractor_Trading_Segment" localSheetId="6">'[1]industry margin - trading'!#REF!</definedName>
    <definedName name="Contractor_Trading_Segment">'Industry Margin - Trading'!#REF!</definedName>
    <definedName name="Copper_and_Copper_Products__Mfg_Segment_">'Industry Margin - Mfg'!$D$42:$DL$42</definedName>
    <definedName name="Copper_and_Copper_Products_Service_Segment" localSheetId="4">'[1]industry margin - service'!#REF!</definedName>
    <definedName name="Copper_and_Copper_Products_Service_Segment" localSheetId="6">'[1]industry margin - service'!#REF!</definedName>
    <definedName name="Copper_and_Copper_Products_Service_Segment">'Industry Margin - Service'!#REF!</definedName>
    <definedName name="Copper_and_Copper_Products_Trading_Segment">'Industry Margin - Trading'!$C$34:$AF$34</definedName>
    <definedName name="Cosmetics_and_Toiletries_M">'Industry Margin - Mfg'!$C$17</definedName>
    <definedName name="Cosmetics_and_Toiletries_Services_Industry" localSheetId="4">'[1]industry margin - service'!#REF!</definedName>
    <definedName name="Cosmetics_and_Toiletries_Services_Industry" localSheetId="6">'[1]industry margin - service'!#REF!</definedName>
    <definedName name="Cosmetics_and_Toiletries_Services_Industry">'Industry Margin - Service'!#REF!</definedName>
    <definedName name="Cosmetics_and_Toiletries_Trading">'Industry Margin - Trading'!$B$18</definedName>
    <definedName name="Cotton__synthetic__blended__knitted_and_silk_fabric_or_cloth_Service_Segment" localSheetId="4">'[1]industry margin - service'!#REF!</definedName>
    <definedName name="Cotton__synthetic__blended__knitted_and_silk_fabric_or_cloth_Service_Segment" localSheetId="6">'[1]industry margin - service'!#REF!</definedName>
    <definedName name="Cotton__synthetic__blended__knitted_and_silk_fabric_or_cloth_Service_Segment">'Industry Margin - Service'!#REF!</definedName>
    <definedName name="Cotton_synthetic_blended_knitted_and_silk_fabric_or_cloth__Mfg_Segment_">'Industry Margin - Mfg'!$D$73:$DL$73</definedName>
    <definedName name="Cotton_synthetic_blended_knitted_and_silk_fabric_or_cloth_Trading_Segment">'Industry Margin - Trading'!$C$58:$AF$58</definedName>
    <definedName name="Courier___Local_Service_Segment" localSheetId="4">'[1]industry margin - service'!#REF!</definedName>
    <definedName name="Courier___Local_Service_Segment" localSheetId="6">'[1]industry margin - service'!#REF!</definedName>
    <definedName name="Courier___Local_Service_Segment">'Industry Margin - Service'!#REF!</definedName>
    <definedName name="Courier___Local_Trading_Segment" localSheetId="4">'[1]industry margin - trading'!#REF!</definedName>
    <definedName name="Courier___Local_Trading_Segment" localSheetId="6">'[1]industry margin - trading'!#REF!</definedName>
    <definedName name="Courier___Local_Trading_Segment">'Industry Margin - Trading'!#REF!</definedName>
    <definedName name="Courier___MNC_Cos__Trading_Segment" localSheetId="4">'[1]industry margin - trading'!#REF!</definedName>
    <definedName name="Courier___MNC_Cos__Trading_Segment" localSheetId="6">'[1]industry margin - trading'!#REF!</definedName>
    <definedName name="Courier___MNC_Cos__Trading_Segment">'Industry Margin - Trading'!#REF!</definedName>
    <definedName name="Courier___MNC_Cosor_Service_Segment" localSheetId="4">'[1]industry margin - service'!#REF!</definedName>
    <definedName name="Courier___MNC_Cosor_Service_Segment" localSheetId="6">'[1]industry margin - service'!#REF!</definedName>
    <definedName name="Courier___MNC_Cosor_Service_Segment">'Industry Margin - Service'!#REF!</definedName>
    <definedName name="Courier__Local__Mfg_Segment_" localSheetId="4">'[1]industry margin - mfg'!#REF!</definedName>
    <definedName name="Courier__Local__Mfg_Segment_" localSheetId="6">'[1]industry margin - mfg'!#REF!</definedName>
    <definedName name="Courier__Local__Mfg_Segment_">'Industry Margin - Mfg'!#REF!</definedName>
    <definedName name="Courier__MNC_Cosor__Mfg_Segment_" localSheetId="4">'[1]industry margin - mfg'!#REF!</definedName>
    <definedName name="Courier__MNC_Cosor__Mfg_Segment_" localSheetId="6">'[1]industry margin - mfg'!#REF!</definedName>
    <definedName name="Courier__MNC_Cosor__Mfg_Segment_">'Industry Margin - Mfg'!#REF!</definedName>
    <definedName name="CRAMS___Formulations___API___Ayurveda___Bulk_Drugs_Trading_Segment" localSheetId="4">'[1]industry margin - trading'!#REF!</definedName>
    <definedName name="CRAMS___Formulations___API___Ayurveda___Bulk_Drugs_Trading_Segment" localSheetId="6">'[1]industry margin - trading'!#REF!</definedName>
    <definedName name="CRAMS___Formulations___API___Ayurveda___Bulk_Drugs_Trading_Segment">'Industry Margin - Trading'!#REF!</definedName>
    <definedName name="CRAMS_or_Formulations_or_API_or_Ayurveda_or_Bulk_Drugs__Mfg_Segment_">'Industry Margin - Mfg'!$D$54:$DL$54</definedName>
    <definedName name="CRAMS_or_Formulations_or_API_or_Ayurveda_or_Bulk_Drugs_Service_Segment" localSheetId="4">'[1]industry margin - service'!#REF!</definedName>
    <definedName name="CRAMS_or_Formulations_or_API_or_Ayurveda_or_Bulk_Drugs_Service_Segment" localSheetId="6">'[1]industry margin - service'!#REF!</definedName>
    <definedName name="CRAMS_or_Formulations_or_API_or_Ayurveda_or_Bulk_Drugs_Service_Segment">'Industry Margin - Service'!#REF!</definedName>
    <definedName name="Crude_Oil_and_Natural_Gas__Mfg_Segment_" localSheetId="4">'[1]industry margin - mfg'!#REF!</definedName>
    <definedName name="Crude_Oil_and_Natural_Gas__Mfg_Segment_" localSheetId="6">'[1]industry margin - mfg'!#REF!</definedName>
    <definedName name="Crude_Oil_and_Natural_Gas__Mfg_Segment_">'Industry Margin - Mfg'!#REF!</definedName>
    <definedName name="Crude_Oil_and_Natural_Gas_Service_Segment" localSheetId="4">'[1]industry margin - service'!#REF!</definedName>
    <definedName name="Crude_Oil_and_Natural_Gas_Service_Segment" localSheetId="6">'[1]industry margin - service'!#REF!</definedName>
    <definedName name="Crude_Oil_and_Natural_Gas_Service_Segment">'Industry Margin - Service'!#REF!</definedName>
    <definedName name="Crude_Oil_and_Natural_Gas_Trading_Segment" localSheetId="4">'[1]industry margin - trading'!#REF!</definedName>
    <definedName name="Crude_Oil_and_Natural_Gas_Trading_Segment" localSheetId="6">'[1]industry margin - trading'!#REF!</definedName>
    <definedName name="Crude_Oil_and_Natural_Gas_Trading_Segment">'Industry Margin - Trading'!#REF!</definedName>
    <definedName name="Cum_Int" localSheetId="6">#REF!</definedName>
    <definedName name="Cum_Int">#REF!</definedName>
    <definedName name="Curr_Accs" localSheetId="6">#REF!</definedName>
    <definedName name="Curr_Accs">#REF!</definedName>
    <definedName name="Customer_Category" localSheetId="6">OFFSET(#REF!,0,0,COUNTA(#REF!),1)</definedName>
    <definedName name="Customer_Category">OFFSET(#REF!,0,0,COUNTA(#REF!),1)</definedName>
    <definedName name="Customer_Type" localSheetId="6">'[7]cam-ni'!#REF!</definedName>
    <definedName name="Customer_Type">'[7]cam-ni'!#REF!</definedName>
    <definedName name="Cycle_and_Accessories__Mfg_Segment_" localSheetId="4">'[1]industry margin - mfg'!#REF!</definedName>
    <definedName name="Cycle_and_Accessories__Mfg_Segment_" localSheetId="6">'[1]industry margin - mfg'!#REF!</definedName>
    <definedName name="Cycle_and_Accessories__Mfg_Segment_">'Industry Margin - Mfg'!#REF!</definedName>
    <definedName name="Cycle_and_Accessories_Service_Segment" localSheetId="4">'[1]industry margin - service'!#REF!</definedName>
    <definedName name="Cycle_and_Accessories_Service_Segment" localSheetId="6">'[1]industry margin - service'!#REF!</definedName>
    <definedName name="Cycle_and_Accessories_Service_Segment">'Industry Margin - Service'!#REF!</definedName>
    <definedName name="Cycle_and_Accessories_Trading_Segment" localSheetId="4">'[1]industry margin - trading'!#REF!</definedName>
    <definedName name="Cycle_and_Accessories_Trading_Segment" localSheetId="6">'[1]industry margin - trading'!#REF!</definedName>
    <definedName name="Cycle_and_Accessories_Trading_Segment">'Industry Margin - Trading'!#REF!</definedName>
    <definedName name="Data" localSheetId="6">#REF!</definedName>
    <definedName name="Data">#REF!</definedName>
    <definedName name="Designation" localSheetId="6">OFFSET(#REF!,0,0,COUNTA(#REF!),1)</definedName>
    <definedName name="Designation">OFFSET(#REF!,0,0,COUNTA(#REF!),1)</definedName>
    <definedName name="Detergent_and_intermediaries__Mfg_Segment_" localSheetId="4">'[1]industry margin - mfg'!#REF!</definedName>
    <definedName name="Detergent_and_intermediaries__Mfg_Segment_" localSheetId="6">'[1]industry margin - mfg'!#REF!</definedName>
    <definedName name="Detergent_and_intermediaries__Mfg_Segment_">'Industry Margin - Mfg'!#REF!</definedName>
    <definedName name="Detergent_and_intermediaries_Service_Segment" localSheetId="4">'[1]industry margin - service'!#REF!</definedName>
    <definedName name="Detergent_and_intermediaries_Service_Segment" localSheetId="6">'[1]industry margin - service'!#REF!</definedName>
    <definedName name="Detergent_and_intermediaries_Service_Segment">'Industry Margin - Service'!#REF!</definedName>
    <definedName name="Detergent_and_intermediaries_Trading_Segment" localSheetId="4">'[1]industry margin - trading'!#REF!</definedName>
    <definedName name="Detergent_and_intermediaries_Trading_Segment" localSheetId="6">'[1]industry margin - trading'!#REF!</definedName>
    <definedName name="Detergent_and_intermediaries_Trading_Segment">'Industry Margin - Trading'!#REF!</definedName>
    <definedName name="Deviation" localSheetId="4">'[1]Deviation Sheet'!$I$5:$I$7</definedName>
    <definedName name="Deviation" localSheetId="6">'[1]Deviation Sheet'!$I$5:$I$7</definedName>
    <definedName name="Deviation">'Deviation Sheet'!$I$5:$I$6</definedName>
    <definedName name="Diagnostic_Centre__Hospitals_or_Gyms_or_health_Centre_Service_Segment">'Industry Margin - Service'!$C$18:$AP$18</definedName>
    <definedName name="Diagnostic_Centre_Hospitals___Gyms___health_Centre_Trading_Segment" localSheetId="4">'[1]industry margin - trading'!#REF!</definedName>
    <definedName name="Diagnostic_Centre_Hospitals___Gyms___health_Centre_Trading_Segment" localSheetId="6">'[1]industry margin - trading'!#REF!</definedName>
    <definedName name="Diagnostic_Centre_Hospitals___Gyms___health_Centre_Trading_Segment">'Industry Margin - Trading'!#REF!</definedName>
    <definedName name="Diagnostic_Centre_Hospitals_or_Gyms_or_health_Centre__Mfg_Segment_" localSheetId="4">'[1]industry margin - mfg'!#REF!</definedName>
    <definedName name="Diagnostic_Centre_Hospitals_or_Gyms_or_health_Centre__Mfg_Segment_" localSheetId="6">'[1]industry margin - mfg'!#REF!</definedName>
    <definedName name="Diagnostic_Centre_Hospitals_or_Gyms_or_health_Centre__Mfg_Segment_">'Industry Margin - Mfg'!#REF!</definedName>
    <definedName name="Disbursement_Mode" localSheetId="6">OFFSET(#REF!,0,0,COUNTA(#REF!),1)</definedName>
    <definedName name="Disbursement_Mode">OFFSET(#REF!,0,0,COUNTA(#REF!),1)</definedName>
    <definedName name="Disributor_Dealers_Trading_Segment" localSheetId="4">'[1]industry margin - trading'!#REF!</definedName>
    <definedName name="Disributor_Dealers_Trading_Segment" localSheetId="6">'[1]industry margin - trading'!#REF!</definedName>
    <definedName name="Disributor_Dealers_Trading_Segment">'Industry Margin - Trading'!#REF!</definedName>
    <definedName name="Disributor_or_Dealers__Mfg_Segment_" localSheetId="4">'[1]industry margin - mfg'!#REF!</definedName>
    <definedName name="Disributor_or_Dealers__Mfg_Segment_" localSheetId="6">'[1]industry margin - mfg'!#REF!</definedName>
    <definedName name="Disributor_or_Dealers__Mfg_Segment_">'Industry Margin - Mfg'!#REF!</definedName>
    <definedName name="Disributor_or_Dealers_Service_Segment" localSheetId="4">'[1]industry margin - service'!#REF!</definedName>
    <definedName name="Disributor_or_Dealers_Service_Segment" localSheetId="6">'[1]industry margin - service'!#REF!</definedName>
    <definedName name="Disributor_or_Dealers_Service_Segment">'Industry Margin - Service'!#REF!</definedName>
    <definedName name="Drug_Stores_M">'Industry Margin - Mfg'!$C$18</definedName>
    <definedName name="Drug_Stores_Services_Industry" localSheetId="4">'[1]industry margin - service'!#REF!</definedName>
    <definedName name="Drug_Stores_Services_Industry" localSheetId="6">'[1]industry margin - service'!#REF!</definedName>
    <definedName name="Drug_Stores_Services_Industry">'Industry Margin - Service'!#REF!</definedName>
    <definedName name="Drug_Stores_Trading">'Industry Margin - Trading'!$B$19</definedName>
    <definedName name="Drugs_and_pharmaceuticals__drug_proprietaries_and_druggists_sundries_Service_Segment" localSheetId="4">'[1]industry margin - service'!#REF!</definedName>
    <definedName name="Drugs_and_pharmaceuticals__drug_proprietaries_and_druggists_sundries_Service_Segment" localSheetId="6">'[1]industry margin - service'!#REF!</definedName>
    <definedName name="Drugs_and_pharmaceuticals__drug_proprietaries_and_druggists_sundries_Service_Segment">'Industry Margin - Service'!#REF!</definedName>
    <definedName name="Drugs_and_pharmaceuticals_drug_proprietaries_and_druggists_sundries__Mfg_Segment_">'Industry Margin - Mfg'!$D$18:$DL$18</definedName>
    <definedName name="Drugs_and_pharmaceuticals_drug_proprietaries_and_druggists_sundries_Trading_Segment">'Industry Margin - Trading'!$C$19:$AF$19</definedName>
    <definedName name="Dry_Fruits__Mfg_Segment_">'Industry Margin - Mfg'!$D$4:$DL$4</definedName>
    <definedName name="Dry_Fruits_Service_Segment" localSheetId="4">'[1]industry margin - service'!#REF!</definedName>
    <definedName name="Dry_Fruits_Service_Segment" localSheetId="6">'[1]industry margin - service'!#REF!</definedName>
    <definedName name="Dry_Fruits_Service_Segment">'Industry Margin - Service'!#REF!</definedName>
    <definedName name="Dry_Fruits_Trading_Segment">'Industry Margin - Trading'!$C$3:$AF$3</definedName>
    <definedName name="Dyeing__cutting__stitching__any_other_process_Service_Segment" localSheetId="4">'[1]industry margin - service'!#REF!</definedName>
    <definedName name="Dyeing__cutting__stitching__any_other_process_Service_Segment" localSheetId="6">'[1]industry margin - service'!#REF!</definedName>
    <definedName name="Dyeing__cutting__stitching__any_other_process_Service_Segment">'Industry Margin - Service'!#REF!</definedName>
    <definedName name="Dyeing_cutting_stitching_any_other_process__Mfg_Segment_" localSheetId="4">'[1]industry margin - mfg'!#REF!</definedName>
    <definedName name="Dyeing_cutting_stitching_any_other_process__Mfg_Segment_" localSheetId="6">'[1]industry margin - mfg'!#REF!</definedName>
    <definedName name="Dyeing_cutting_stitching_any_other_process__Mfg_Segment_">'Industry Margin - Mfg'!#REF!</definedName>
    <definedName name="Dyeing_cutting_stitching_any_other_process_Trading_Segment" localSheetId="4">'[1]industry margin - trading'!#REF!</definedName>
    <definedName name="Dyeing_cutting_stitching_any_other_process_Trading_Segment" localSheetId="6">'[1]industry margin - trading'!#REF!</definedName>
    <definedName name="Dyeing_cutting_stitching_any_other_process_Trading_Segment">'Industry Margin - Trading'!#REF!</definedName>
    <definedName name="Dyes_and_Pigments__Mfg_Segment_">'Industry Margin - Mfg'!$D$19:$DL$19</definedName>
    <definedName name="Dyes_and_Pigments_M">'Industry Margin - Mfg'!$C$19</definedName>
    <definedName name="Dyes_and_Pigments_Service_Segment" localSheetId="4">'[1]industry margin - service'!#REF!</definedName>
    <definedName name="Dyes_and_Pigments_Service_Segment" localSheetId="6">'[1]industry margin - service'!#REF!</definedName>
    <definedName name="Dyes_and_Pigments_Service_Segment">'Industry Margin - Service'!#REF!</definedName>
    <definedName name="Dyes_and_Pigments_Services_Industry" localSheetId="4">'[1]industry margin - service'!#REF!</definedName>
    <definedName name="Dyes_and_Pigments_Services_Industry" localSheetId="6">'[1]industry margin - service'!#REF!</definedName>
    <definedName name="Dyes_and_Pigments_Services_Industry">'Industry Margin - Service'!#REF!</definedName>
    <definedName name="Dyes_and_Pigments_Trading">'Industry Margin - Trading'!$B$20</definedName>
    <definedName name="Dyes_and_Pigments_Trading_Segment">'Industry Margin - Trading'!$C$20:$AF$20</definedName>
    <definedName name="Edible_Oils__Mfg_Segment_" localSheetId="4">'[1]industry margin - mfg'!#REF!</definedName>
    <definedName name="Edible_Oils__Mfg_Segment_" localSheetId="6">'[1]industry margin - mfg'!#REF!</definedName>
    <definedName name="Edible_Oils__Mfg_Segment_">'Industry Margin - Mfg'!#REF!</definedName>
    <definedName name="Edible_Oils_M" localSheetId="4">'[1]industry margin - mfg'!#REF!</definedName>
    <definedName name="Edible_Oils_M" localSheetId="6">'[1]industry margin - mfg'!#REF!</definedName>
    <definedName name="Edible_Oils_M">'Industry Margin - Mfg'!#REF!</definedName>
    <definedName name="Edible_Oils_Service_Segment" localSheetId="4">'[1]industry margin - service'!#REF!</definedName>
    <definedName name="Edible_Oils_Service_Segment" localSheetId="6">'[1]industry margin - service'!#REF!</definedName>
    <definedName name="Edible_Oils_Service_Segment">'Industry Margin - Service'!#REF!</definedName>
    <definedName name="Edible_Oils_Services_Industry" localSheetId="4">'[1]industry margin - service'!#REF!</definedName>
    <definedName name="Edible_Oils_Services_Industry" localSheetId="6">'[1]industry margin - service'!#REF!</definedName>
    <definedName name="Edible_Oils_Services_Industry">'Industry Margin - Service'!#REF!</definedName>
    <definedName name="Edible_Oils_Trading">'Industry Margin - Trading'!$B$21</definedName>
    <definedName name="Edible_Oils_Trading_Segment">'Industry Margin - Trading'!$C$21:$AF$21</definedName>
    <definedName name="Education__Mfg_Segment_" localSheetId="4">'[1]industry margin - mfg'!#REF!</definedName>
    <definedName name="Education__Mfg_Segment_" localSheetId="6">'[1]industry margin - mfg'!#REF!</definedName>
    <definedName name="Education__Mfg_Segment_">'Industry Margin - Mfg'!#REF!</definedName>
    <definedName name="Education_Consulting__Mfg_Segment_" localSheetId="4">'[1]industry margin - mfg'!#REF!</definedName>
    <definedName name="Education_Consulting__Mfg_Segment_" localSheetId="6">'[1]industry margin - mfg'!#REF!</definedName>
    <definedName name="Education_Consulting__Mfg_Segment_">'Industry Margin - Mfg'!#REF!</definedName>
    <definedName name="Education_Consulting_Service_Segment" localSheetId="4">'[1]industry margin - service'!#REF!</definedName>
    <definedName name="Education_Consulting_Service_Segment" localSheetId="6">'[1]industry margin - service'!#REF!</definedName>
    <definedName name="Education_Consulting_Service_Segment">'Industry Margin - Service'!#REF!</definedName>
    <definedName name="Education_Consulting_Trading_Segment" localSheetId="4">'[1]industry margin - trading'!#REF!</definedName>
    <definedName name="Education_Consulting_Trading_Segment" localSheetId="6">'[1]industry margin - trading'!#REF!</definedName>
    <definedName name="Education_Consulting_Trading_Segment">'Industry Margin - Trading'!#REF!</definedName>
    <definedName name="Education_M" localSheetId="4">'[1]industry margin - mfg'!#REF!</definedName>
    <definedName name="Education_M" localSheetId="6">'[1]industry margin - mfg'!#REF!</definedName>
    <definedName name="Education_M">'Industry Margin - Mfg'!#REF!</definedName>
    <definedName name="Education_Service_Segment">'Industry Margin - Service'!$C$12:$AP$12</definedName>
    <definedName name="Education_Services_Industry">'Industry Margin - Service'!$B$12:$B$13</definedName>
    <definedName name="Education_Trading" localSheetId="4">'[1]industry margin - trading'!#REF!</definedName>
    <definedName name="Education_Trading" localSheetId="6">'[1]industry margin - trading'!#REF!</definedName>
    <definedName name="Education_Trading">'Industry Margin - Trading'!#REF!</definedName>
    <definedName name="Education_Trading_Segment" localSheetId="4">'[1]industry margin - trading'!#REF!</definedName>
    <definedName name="Education_Trading_Segment" localSheetId="6">'[1]industry margin - trading'!#REF!</definedName>
    <definedName name="Education_Trading_Segment">'Industry Margin - Trading'!#REF!</definedName>
    <definedName name="Eff_STax">[3]WKG!$N$2</definedName>
    <definedName name="Electrical_equipments__Mfg_Segment_" localSheetId="4">'[1]industry margin - mfg'!#REF!</definedName>
    <definedName name="Electrical_equipments__Mfg_Segment_" localSheetId="6">'[1]industry margin - mfg'!#REF!</definedName>
    <definedName name="Electrical_equipments__Mfg_Segment_">'Industry Margin - Mfg'!#REF!</definedName>
    <definedName name="Electrical_equipments_Service_Segment" localSheetId="4">'[1]industry margin - service'!#REF!</definedName>
    <definedName name="Electrical_equipments_Service_Segment" localSheetId="6">'[1]industry margin - service'!#REF!</definedName>
    <definedName name="Electrical_equipments_Service_Segment">'Industry Margin - Service'!#REF!</definedName>
    <definedName name="Electrical_equipments_Trading_Segment" localSheetId="4">'[1]industry margin - trading'!#REF!</definedName>
    <definedName name="Electrical_equipments_Trading_Segment" localSheetId="6">'[1]industry margin - trading'!#REF!</definedName>
    <definedName name="Electrical_equipments_Trading_Segment">'Industry Margin - Trading'!#REF!</definedName>
    <definedName name="Electrical_good_and_equipments__Mfg_Segment_">'Industry Margin - Mfg'!$D$20:$DL$20</definedName>
    <definedName name="Electrical_good_and_equipments_Service_Segment" localSheetId="4">'[1]industry margin - service'!#REF!</definedName>
    <definedName name="Electrical_good_and_equipments_Service_Segment" localSheetId="6">'[1]industry margin - service'!#REF!</definedName>
    <definedName name="Electrical_good_and_equipments_Service_Segment">'Industry Margin - Service'!#REF!</definedName>
    <definedName name="Electrical_good_and_equipments_Trading_Segment">'Industry Margin - Trading'!$C$22:$AF$22</definedName>
    <definedName name="Electricals_M">'Industry Margin - Mfg'!$C$20:$C$20</definedName>
    <definedName name="Electricals_Trading">'Industry Margin - Trading'!$B$22:$B$22</definedName>
    <definedName name="Electrodes_and_Graphite__Mfg_Segment_" localSheetId="4">'[1]industry margin - mfg'!#REF!</definedName>
    <definedName name="Electrodes_and_Graphite__Mfg_Segment_" localSheetId="6">'[1]industry margin - mfg'!#REF!</definedName>
    <definedName name="Electrodes_and_Graphite__Mfg_Segment_">'Industry Margin - Mfg'!#REF!</definedName>
    <definedName name="Electrodes_and_Graphite_Service_Segment" localSheetId="4">'[1]industry margin - service'!#REF!</definedName>
    <definedName name="Electrodes_and_Graphite_Service_Segment" localSheetId="6">'[1]industry margin - service'!#REF!</definedName>
    <definedName name="Electrodes_and_Graphite_Service_Segment">'Industry Margin - Service'!#REF!</definedName>
    <definedName name="Electrodes_and_Graphite_Trading_Segment" localSheetId="4">'[1]industry margin - trading'!#REF!</definedName>
    <definedName name="Electrodes_and_Graphite_Trading_Segment" localSheetId="6">'[1]industry margin - trading'!#REF!</definedName>
    <definedName name="Electrodes_and_Graphite_Trading_Segment">'Industry Margin - Trading'!#REF!</definedName>
    <definedName name="Electronic_Equipment__Mfg_Segment_" localSheetId="4">'[1]industry margin - mfg'!#REF!</definedName>
    <definedName name="Electronic_Equipment__Mfg_Segment_" localSheetId="6">'[1]industry margin - mfg'!#REF!</definedName>
    <definedName name="Electronic_Equipment__Mfg_Segment_">'Industry Margin - Mfg'!#REF!</definedName>
    <definedName name="Electronic_Equipment_Service_Segment">'Industry Margin - Service'!$C$11:$AP$11</definedName>
    <definedName name="Electronic_Equipment_Trading_Segment">'Industry Margin - Trading'!$C$16:$AF$16</definedName>
    <definedName name="EMI_Returns_per_Track" localSheetId="6">OFFSET(#REF!,0,0,COUNTA(#REF!),1)</definedName>
    <definedName name="EMI_Returns_per_Track">OFFSET(#REF!,0,0,COUNTA(#REF!),1)</definedName>
    <definedName name="End_Bal" localSheetId="6">#REF!</definedName>
    <definedName name="End_Bal">#REF!</definedName>
    <definedName name="Engineering__Mfg_Segment_" localSheetId="4">'[1]industry margin - mfg'!#REF!</definedName>
    <definedName name="Engineering__Mfg_Segment_" localSheetId="6">'[1]industry margin - mfg'!#REF!</definedName>
    <definedName name="Engineering__Mfg_Segment_">'Industry Margin - Mfg'!#REF!</definedName>
    <definedName name="Engineering_M">'Industry Margin - Mfg'!$C$21:$C$21</definedName>
    <definedName name="Engineering_Service_Segment">'Industry Margin - Service'!$C$13:$AP$13</definedName>
    <definedName name="Engineering_Services_Industry">'Industry Margin - Service'!$B$13</definedName>
    <definedName name="Engineering_Trading" localSheetId="4">'[1]industry margin - trading'!#REF!</definedName>
    <definedName name="Engineering_Trading" localSheetId="6">'[1]industry margin - trading'!#REF!</definedName>
    <definedName name="Engineering_Trading">'Industry Margin - Trading'!#REF!</definedName>
    <definedName name="Engineering_Trading_Segment" localSheetId="4">'[1]industry margin - trading'!#REF!</definedName>
    <definedName name="Engineering_Trading_Segment" localSheetId="6">'[1]industry margin - trading'!#REF!</definedName>
    <definedName name="Engineering_Trading_Segment">'Industry Margin - Trading'!#REF!</definedName>
    <definedName name="Engines__Mfg_Segment_">'Industry Margin - Mfg'!$D$32:$DL$32</definedName>
    <definedName name="Engines_Service_Segment" localSheetId="4">'[1]industry margin - service'!#REF!</definedName>
    <definedName name="Engines_Service_Segment" localSheetId="6">'[1]industry margin - service'!#REF!</definedName>
    <definedName name="Engines_Service_Segment">'Industry Margin - Service'!#REF!</definedName>
    <definedName name="Engines_Trading_Segment" localSheetId="4">'[1]industry margin - trading'!#REF!</definedName>
    <definedName name="Engines_Trading_Segment" localSheetId="6">'[1]industry margin - trading'!#REF!</definedName>
    <definedName name="Engines_Trading_Segment">'Industry Margin - Trading'!#REF!</definedName>
    <definedName name="Enterprises_Segment" localSheetId="6">OFFSET(#REF!,0,0,COUNTA(#REF!),1)</definedName>
    <definedName name="Enterprises_Segment">OFFSET(#REF!,0,0,COUNTA(#REF!),1)</definedName>
    <definedName name="Entertainment_and_Leisure_M" localSheetId="4">'[1]industry margin - mfg'!#REF!</definedName>
    <definedName name="Entertainment_and_Leisure_M" localSheetId="6">'[1]industry margin - mfg'!#REF!</definedName>
    <definedName name="Entertainment_and_Leisure_M">'Industry Margin - Mfg'!#REF!</definedName>
    <definedName name="Entertainment_and_Leisure_Services_Industry">'Industry Margin - Service'!$B$14</definedName>
    <definedName name="Entertainment_and_Leisure_Trading" localSheetId="4">'[1]industry margin - trading'!#REF!</definedName>
    <definedName name="Entertainment_and_Leisure_Trading" localSheetId="6">'[1]industry margin - trading'!#REF!</definedName>
    <definedName name="Entertainment_and_Leisure_Trading">'Industry Margin - Trading'!#REF!</definedName>
    <definedName name="Entertainment_and_Medic_content_provider__motion_picture_production__distribution__exhibition_Service_Segment">'Industry Margin - Service'!$C$15:$AP$15</definedName>
    <definedName name="Entertainment_and_Medic_content_provider_motion_picture_production_distribution_exhibition__Mfg_Segment_" localSheetId="4">'[1]industry margin - mfg'!#REF!</definedName>
    <definedName name="Entertainment_and_Medic_content_provider_motion_picture_production_distribution_exhibition__Mfg_Segment_" localSheetId="6">'[1]industry margin - mfg'!#REF!</definedName>
    <definedName name="Entertainment_and_Medic_content_provider_motion_picture_production_distribution_exhibition__Mfg_Segment_">'Industry Margin - Mfg'!#REF!</definedName>
    <definedName name="Entertainment_and_Medic_content_provider_motion_picture_production_distribution_exhibition_Trading_Segment" localSheetId="4">'[1]industry margin - trading'!#REF!</definedName>
    <definedName name="Entertainment_and_Medic_content_provider_motion_picture_production_distribution_exhibition_Trading_Segment" localSheetId="6">'[1]industry margin - trading'!#REF!</definedName>
    <definedName name="Entertainment_and_Medic_content_provider_motion_picture_production_distribution_exhibition_Trading_Segment">'Industry Margin - Trading'!#REF!</definedName>
    <definedName name="ERP___any_type_of_protecting_systems___anti_virus_Trading_Segment" localSheetId="4">'[1]industry margin - trading'!#REF!</definedName>
    <definedName name="ERP___any_type_of_protecting_systems___anti_virus_Trading_Segment" localSheetId="6">'[1]industry margin - trading'!#REF!</definedName>
    <definedName name="ERP___any_type_of_protecting_systems___anti_virus_Trading_Segment">'Industry Margin - Trading'!#REF!</definedName>
    <definedName name="ERP_or_any_type_of_protecting_systems_or_anti_virus__Mfg_Segment_" localSheetId="4">'[1]industry margin - mfg'!#REF!</definedName>
    <definedName name="ERP_or_any_type_of_protecting_systems_or_anti_virus__Mfg_Segment_" localSheetId="6">'[1]industry margin - mfg'!#REF!</definedName>
    <definedName name="ERP_or_any_type_of_protecting_systems_or_anti_virus__Mfg_Segment_">'Industry Margin - Mfg'!#REF!</definedName>
    <definedName name="ERP_or_any_type_of_protecting_systems_or_anti_virus_Service_Segment">'Industry Margin - Service'!$C$23:$AP$23</definedName>
    <definedName name="Excel_BuiltIn__FilterDatabase_1" localSheetId="6">#REF!</definedName>
    <definedName name="Excel_BuiltIn__FilterDatabase_1">#REF!</definedName>
    <definedName name="Executive_search___manpower_servicess_hostel_management_Trading_Segment" localSheetId="4">'[1]industry margin - trading'!#REF!</definedName>
    <definedName name="Executive_search___manpower_servicess_hostel_management_Trading_Segment" localSheetId="6">'[1]industry margin - trading'!#REF!</definedName>
    <definedName name="Executive_search___manpower_servicess_hostel_management_Trading_Segment">'Industry Margin - Trading'!#REF!</definedName>
    <definedName name="Executive_search_or_manpower_servicess__hostel_management_Service_Segment">'Industry Margin - Service'!$C$34:$AP$34</definedName>
    <definedName name="Executive_search_or_manpower_servicess_hostel_management__Mfg_Segment_" localSheetId="4">'[1]industry margin - mfg'!#REF!</definedName>
    <definedName name="Executive_search_or_manpower_servicess_hostel_management__Mfg_Segment_" localSheetId="6">'[1]industry margin - mfg'!#REF!</definedName>
    <definedName name="Executive_search_or_manpower_servicess_hostel_management__Mfg_Segment_">'Industry Margin - Mfg'!#REF!</definedName>
    <definedName name="Existing_Loan_Conduct" localSheetId="6">OFFSET(#REF!,0,0,COUNTA(#REF!),1)</definedName>
    <definedName name="Existing_Loan_Conduct">OFFSET(#REF!,0,0,COUNTA(#REF!),1)</definedName>
    <definedName name="Extra_Pay" localSheetId="6">#REF!</definedName>
    <definedName name="Extra_Pay">#REF!</definedName>
    <definedName name="F_Interest">[5]FACTOR_INT!$D$7:$AF$63</definedName>
    <definedName name="F_Moratorium">[5]FACTOR_MORATORIUM!$D$7:$AF$63</definedName>
    <definedName name="F_Mortality">[5]FACTOR_MORT!$D$7:$AF$63</definedName>
    <definedName name="F_TI">[5]FACTOR_TI!$D$7:$AF$63</definedName>
    <definedName name="fatversion">[6]PD!$G$1</definedName>
    <definedName name="FCU_Waived" localSheetId="6">OFFSET(#REF!,0,0,COUNTA(#REF!),1)</definedName>
    <definedName name="FCU_Waived">OFFSET(#REF!,0,0,COUNTA(#REF!),1)</definedName>
    <definedName name="Fertiliser_M">'Industry Margin - Mfg'!$C$22</definedName>
    <definedName name="Fertiliser_Services_Industry" localSheetId="4">'[1]industry margin - service'!#REF!</definedName>
    <definedName name="Fertiliser_Services_Industry" localSheetId="6">'[1]industry margin - service'!#REF!</definedName>
    <definedName name="Fertiliser_Services_Industry">'Industry Margin - Service'!#REF!</definedName>
    <definedName name="Fertiliser_Trading">'Industry Margin - Trading'!$B$23</definedName>
    <definedName name="Fertilisers__Mfg_Segment_">'Industry Margin - Mfg'!$D$22:$DL$22</definedName>
    <definedName name="Fertilisers_Service_Segment" localSheetId="4">'[1]industry margin - service'!#REF!</definedName>
    <definedName name="Fertilisers_Service_Segment" localSheetId="6">'[1]industry margin - service'!#REF!</definedName>
    <definedName name="Fertilisers_Service_Segment">'Industry Margin - Service'!#REF!</definedName>
    <definedName name="Fertilisers_Trading_Segment">'Industry Margin - Trading'!$C$23:$AF$23</definedName>
    <definedName name="FI" localSheetId="4">[1]Sheet1!$K$5:$K$8</definedName>
    <definedName name="FI" localSheetId="6">[1]Sheet1!$K$5:$K$8</definedName>
    <definedName name="FI" localSheetId="2">[4]Sheet1!$K$5:$K$8</definedName>
    <definedName name="FI">#REF!</definedName>
    <definedName name="FI_Verification" localSheetId="6">OFFSET(#REF!,0,0,COUNTA(#REF!),1)</definedName>
    <definedName name="FI_Verification">OFFSET(#REF!,0,0,COUNTA(#REF!),1)</definedName>
    <definedName name="Film_Industry_M" localSheetId="4">'[1]industry margin - mfg'!#REF!</definedName>
    <definedName name="Film_Industry_M" localSheetId="6">'[1]industry margin - mfg'!#REF!</definedName>
    <definedName name="Film_Industry_M">'Industry Margin - Mfg'!#REF!</definedName>
    <definedName name="Film_Industry_Services_Industry">'Industry Margin - Service'!$B$15</definedName>
    <definedName name="Film_Industry_Trading" localSheetId="4">'[1]industry margin - trading'!#REF!</definedName>
    <definedName name="Film_Industry_Trading" localSheetId="6">'[1]industry margin - trading'!#REF!</definedName>
    <definedName name="Film_Industry_Trading">'Industry Margin - Trading'!#REF!</definedName>
    <definedName name="Finance_relared_companies_and_consultancies__advisory_firms_Service_Segment">'Industry Margin - Service'!$C$16:$AP$16</definedName>
    <definedName name="Finance_relared_companies_and_consultancies__advisory_firms_Trading_Segment" localSheetId="4">'[1]industry margin - trading'!#REF!</definedName>
    <definedName name="Finance_relared_companies_and_consultancies__advisory_firms_Trading_Segment" localSheetId="6">'[1]industry margin - trading'!#REF!</definedName>
    <definedName name="Finance_relared_companies_and_consultancies__advisory_firms_Trading_Segment">'Industry Margin - Trading'!#REF!</definedName>
    <definedName name="Finance_relared_companies_and_consultancies_advisory_firms__Mfg_Segment_" localSheetId="4">'[1]industry margin - mfg'!#REF!</definedName>
    <definedName name="Finance_relared_companies_and_consultancies_advisory_firms__Mfg_Segment_" localSheetId="6">'[1]industry margin - mfg'!#REF!</definedName>
    <definedName name="Finance_relared_companies_and_consultancies_advisory_firms__Mfg_Segment_">'Industry Margin - Mfg'!#REF!</definedName>
    <definedName name="Financers" localSheetId="6">OFFSET(#REF!,0,0,COUNTA(#REF!),1)</definedName>
    <definedName name="Financers">OFFSET(#REF!,0,0,COUNTA(#REF!),1)</definedName>
    <definedName name="Financial_Services_M" localSheetId="4">'[1]industry margin - mfg'!#REF!</definedName>
    <definedName name="Financial_Services_M" localSheetId="6">'[1]industry margin - mfg'!#REF!</definedName>
    <definedName name="Financial_Services_M">'Industry Margin - Mfg'!#REF!</definedName>
    <definedName name="Financial_Services_Services_Industry">'Industry Margin - Service'!$B$16</definedName>
    <definedName name="Financial_Services_Trading" localSheetId="4">'[1]industry margin - trading'!#REF!</definedName>
    <definedName name="Financial_Services_Trading" localSheetId="6">'[1]industry margin - trading'!#REF!</definedName>
    <definedName name="Financial_Services_Trading">'Industry Margin - Trading'!#REF!</definedName>
    <definedName name="Financial_Year" localSheetId="6">OFFSET(#REF!,0,0,COUNTA(#REF!),1)</definedName>
    <definedName name="Financial_Year">OFFSET(#REF!,0,0,COUNTA(#REF!),1)</definedName>
    <definedName name="FirmType" localSheetId="4">[1]Sheet8!$D$2:$D$9</definedName>
    <definedName name="FirmType" localSheetId="6">[1]Sheet8!$D$2:$D$9</definedName>
    <definedName name="FirmType">#REF!</definedName>
    <definedName name="Flight_operator__Mfg_Segment_" localSheetId="4">'[1]industry margin - mfg'!#REF!</definedName>
    <definedName name="Flight_operator__Mfg_Segment_" localSheetId="6">'[1]industry margin - mfg'!#REF!</definedName>
    <definedName name="Flight_operator__Mfg_Segment_">'Industry Margin - Mfg'!#REF!</definedName>
    <definedName name="Flight_operator_Service_Segment" localSheetId="4">'[1]industry margin - service'!#REF!</definedName>
    <definedName name="Flight_operator_Service_Segment" localSheetId="6">'[1]industry margin - service'!#REF!</definedName>
    <definedName name="Flight_operator_Service_Segment">'Industry Margin - Service'!#REF!</definedName>
    <definedName name="Flight_operator_Trading_Segment" localSheetId="4">'[1]industry margin - trading'!#REF!</definedName>
    <definedName name="Flight_operator_Trading_Segment" localSheetId="6">'[1]industry margin - trading'!#REF!</definedName>
    <definedName name="Flight_operator_Trading_Segment">'Industry Margin - Trading'!#REF!</definedName>
    <definedName name="Floriculture__Mfg_Segment_" localSheetId="4">'[1]industry margin - mfg'!#REF!</definedName>
    <definedName name="Floriculture__Mfg_Segment_" localSheetId="6">'[1]industry margin - mfg'!#REF!</definedName>
    <definedName name="Floriculture__Mfg_Segment_">'Industry Margin - Mfg'!#REF!</definedName>
    <definedName name="Floriculture_Service_Segment" localSheetId="4">'[1]industry margin - service'!#REF!</definedName>
    <definedName name="Floriculture_Service_Segment" localSheetId="6">'[1]industry margin - service'!#REF!</definedName>
    <definedName name="Floriculture_Service_Segment">'Industry Margin - Service'!#REF!</definedName>
    <definedName name="Floriculture_Trading_Segment">'Industry Margin - Trading'!$C$4:$AF$4</definedName>
    <definedName name="FMCG_M" localSheetId="4">'[1]industry margin - mfg'!#REF!</definedName>
    <definedName name="FMCG_M" localSheetId="6">'[1]industry margin - mfg'!#REF!</definedName>
    <definedName name="FMCG_M">'Industry Margin - Mfg'!#REF!</definedName>
    <definedName name="FMCG_Services_Industry" localSheetId="4">'[1]industry margin - service'!#REF!</definedName>
    <definedName name="FMCG_Services_Industry" localSheetId="6">'[1]industry margin - service'!#REF!</definedName>
    <definedName name="FMCG_Services_Industry">'Industry Margin - Service'!#REF!</definedName>
    <definedName name="FMCG_Trading">'Industry Margin - Trading'!$B$24:$B$24</definedName>
    <definedName name="Food_other_than_poultary_and_meat__Mfg_Segment_" localSheetId="4">'[1]industry margin - mfg'!#REF!</definedName>
    <definedName name="Food_other_than_poultary_and_meat__Mfg_Segment_" localSheetId="6">'[1]industry margin - mfg'!#REF!</definedName>
    <definedName name="Food_other_than_poultary_and_meat__Mfg_Segment_">'Industry Margin - Mfg'!#REF!</definedName>
    <definedName name="Food_other_than_poultary_and_meat_Service_Segment" localSheetId="4">'[1]industry margin - service'!#REF!</definedName>
    <definedName name="Food_other_than_poultary_and_meat_Service_Segment" localSheetId="6">'[1]industry margin - service'!#REF!</definedName>
    <definedName name="Food_other_than_poultary_and_meat_Service_Segment">'Industry Margin - Service'!#REF!</definedName>
    <definedName name="Food_other_than_poultary_and_meat_Trading_Segment" localSheetId="4">'[1]industry margin - trading'!#REF!</definedName>
    <definedName name="Food_other_than_poultary_and_meat_Trading_Segment" localSheetId="6">'[1]industry margin - trading'!#REF!</definedName>
    <definedName name="Food_other_than_poultary_and_meat_Trading_Segment">'Industry Margin - Trading'!#REF!</definedName>
    <definedName name="Food_processing__Mfg_Segment_">'Industry Margin - Mfg'!$D$24:$DL$24</definedName>
    <definedName name="Food_Processing_M">'Industry Margin - Mfg'!$C$23:$C$26</definedName>
    <definedName name="Food_processing_Service_Segment" localSheetId="4">'[1]industry margin - service'!#REF!</definedName>
    <definedName name="Food_processing_Service_Segment" localSheetId="6">'[1]industry margin - service'!#REF!</definedName>
    <definedName name="Food_processing_Service_Segment">'Industry Margin - Service'!#REF!</definedName>
    <definedName name="Food_Processing_Services_Industry" localSheetId="4">'[1]industry margin - service'!#REF!</definedName>
    <definedName name="Food_Processing_Services_Industry" localSheetId="6">'[1]industry margin - service'!#REF!</definedName>
    <definedName name="Food_Processing_Services_Industry">'Industry Margin - Service'!#REF!</definedName>
    <definedName name="Food_Processing_Trading">'Industry Margin - Trading'!$B$25:$B$26</definedName>
    <definedName name="Food_processing_Trading_Segment" localSheetId="4">'[1]industry margin - trading'!#REF!</definedName>
    <definedName name="Food_processing_Trading_Segment" localSheetId="6">'[1]industry margin - trading'!#REF!</definedName>
    <definedName name="Food_processing_Trading_Segment">'Industry Margin - Trading'!#REF!</definedName>
    <definedName name="Foorwear_bags__Mfg_Segment_" localSheetId="4">'[1]industry margin - mfg'!#REF!</definedName>
    <definedName name="Foorwear_bags__Mfg_Segment_" localSheetId="6">'[1]industry margin - mfg'!#REF!</definedName>
    <definedName name="Foorwear_bags__Mfg_Segment_">'Industry Margin - Mfg'!#REF!</definedName>
    <definedName name="Foorwear_bags_Service_Segment" localSheetId="4">'[1]industry margin - service'!#REF!</definedName>
    <definedName name="Foorwear_bags_Service_Segment" localSheetId="6">'[1]industry margin - service'!#REF!</definedName>
    <definedName name="Foorwear_bags_Service_Segment">'Industry Margin - Service'!#REF!</definedName>
    <definedName name="Foorwear_bags_Trading_Segment" localSheetId="4">'[1]industry margin - trading'!#REF!</definedName>
    <definedName name="Foorwear_bags_Trading_Segment" localSheetId="6">'[1]industry margin - trading'!#REF!</definedName>
    <definedName name="Foorwear_bags_Trading_Segment">'Industry Margin - Trading'!#REF!</definedName>
    <definedName name="Fruits_and_Nurts_and_Vegatables__Mfg_Segment_">'Industry Margin - Mfg'!$D$5:$DL$5</definedName>
    <definedName name="Fruits_and_Nurts_and_Vegatables_Service_Segment" localSheetId="4">'[1]industry margin - service'!#REF!</definedName>
    <definedName name="Fruits_and_Nurts_and_Vegatables_Service_Segment" localSheetId="6">'[1]industry margin - service'!#REF!</definedName>
    <definedName name="Fruits_and_Nurts_and_Vegatables_Service_Segment">'Industry Margin - Service'!#REF!</definedName>
    <definedName name="Fruits_and_Nurts_and_Vegatables_Trading_Segment" localSheetId="4">'[1]industry margin - trading'!#REF!</definedName>
    <definedName name="Fruits_and_Nurts_and_Vegatables_Trading_Segment" localSheetId="6">'[1]industry margin - trading'!#REF!</definedName>
    <definedName name="Fruits_and_Nurts_and_Vegatables_Trading_Segment">'Industry Margin - Trading'!#REF!</definedName>
    <definedName name="Full_Print" localSheetId="6">#REF!</definedName>
    <definedName name="Full_Print">#REF!</definedName>
    <definedName name="Future_Rentals_M" localSheetId="4">'[1]industry margin - mfg'!#REF!</definedName>
    <definedName name="Future_Rentals_M" localSheetId="6">'[1]industry margin - mfg'!#REF!</definedName>
    <definedName name="Future_Rentals_M">'Industry Margin - Mfg'!#REF!</definedName>
    <definedName name="Future_Rentals_Services_Industry">'Industry Margin - Service'!$B$17</definedName>
    <definedName name="Future_Rentals_Trading" localSheetId="4">'[1]industry margin - trading'!#REF!</definedName>
    <definedName name="Future_Rentals_Trading" localSheetId="6">'[1]industry margin - trading'!#REF!</definedName>
    <definedName name="Future_Rentals_Trading">'Industry Margin - Trading'!#REF!</definedName>
    <definedName name="FY_Ended" localSheetId="6">OFFSET(#REF!,0,0,COUNTA(#REF!),1)</definedName>
    <definedName name="FY_Ended">OFFSET(#REF!,0,0,COUNTA(#REF!),1)</definedName>
    <definedName name="Gems_and_jewellery__Mfg_Segment_">'Industry Margin - Mfg'!$D$27:$DL$27</definedName>
    <definedName name="Gems_and_Jewellery_M">'Industry Margin - Mfg'!$C$27</definedName>
    <definedName name="Gems_and_jewellery_Service_Segment" localSheetId="4">'[1]industry margin - service'!#REF!</definedName>
    <definedName name="Gems_and_jewellery_Service_Segment" localSheetId="6">'[1]industry margin - service'!#REF!</definedName>
    <definedName name="Gems_and_jewellery_Service_Segment">'Industry Margin - Service'!#REF!</definedName>
    <definedName name="Gems_and_Jewellery_Services_Industry" localSheetId="4">'[1]industry margin - service'!#REF!</definedName>
    <definedName name="Gems_and_Jewellery_Services_Industry" localSheetId="6">'[1]industry margin - service'!#REF!</definedName>
    <definedName name="Gems_and_Jewellery_Services_Industry">'Industry Margin - Service'!#REF!</definedName>
    <definedName name="Gems_and_Jewellery_Trading">'Industry Margin - Trading'!$B$27</definedName>
    <definedName name="Gems_and_jewellery_Trading_Segment">'Industry Margin - Trading'!$C$27:$AF$27</definedName>
    <definedName name="General_Merchandise_Stores___Kiryana_Stores_grocery_stores_etc_Trading_Segment">'Industry Margin - Trading'!$C$47:$AF$47</definedName>
    <definedName name="General_Merchandise_stores__Mfg_Segment_" localSheetId="4">'[1]industry margin - mfg'!#REF!</definedName>
    <definedName name="General_Merchandise_stores__Mfg_Segment_" localSheetId="6">'[1]industry margin - mfg'!#REF!</definedName>
    <definedName name="General_Merchandise_stores__Mfg_Segment_">'Industry Margin - Mfg'!#REF!</definedName>
    <definedName name="General_Merchandise_Stores_or_Kiryana_Stores__grocery_stores_etc_Service_Segment" localSheetId="4">'[1]industry margin - service'!#REF!</definedName>
    <definedName name="General_Merchandise_Stores_or_Kiryana_Stores__grocery_stores_etc_Service_Segment" localSheetId="6">'[1]industry margin - service'!#REF!</definedName>
    <definedName name="General_Merchandise_Stores_or_Kiryana_Stores__grocery_stores_etc_Service_Segment">'Industry Margin - Service'!#REF!</definedName>
    <definedName name="General_Merchandise_Stores_or_Kiryana_Stores_grocery_stores_etc__Mfg_Segment_" localSheetId="4">'[1]industry margin - mfg'!#REF!</definedName>
    <definedName name="General_Merchandise_Stores_or_Kiryana_Stores_grocery_stores_etc__Mfg_Segment_" localSheetId="6">'[1]industry margin - mfg'!#REF!</definedName>
    <definedName name="General_Merchandise_Stores_or_Kiryana_Stores_grocery_stores_etc__Mfg_Segment_">'Industry Margin - Mfg'!#REF!</definedName>
    <definedName name="General_Merchandise_stores_Service_Segment" localSheetId="4">'[1]industry margin - service'!#REF!</definedName>
    <definedName name="General_Merchandise_stores_Service_Segment" localSheetId="6">'[1]industry margin - service'!#REF!</definedName>
    <definedName name="General_Merchandise_stores_Service_Segment">'Industry Margin - Service'!#REF!</definedName>
    <definedName name="General_Merchandise_stores_Trading_Segment" localSheetId="4">'[1]industry margin - trading'!#REF!</definedName>
    <definedName name="General_Merchandise_stores_Trading_Segment" localSheetId="6">'[1]industry margin - trading'!#REF!</definedName>
    <definedName name="General_Merchandise_stores_Trading_Segment">'Industry Margin - Trading'!#REF!</definedName>
    <definedName name="General_Purpose_Machinery__Mfg_Segment_">'Industry Margin - Mfg'!$D$36:$DL$36</definedName>
    <definedName name="General_Purpose_Machinery_Service_Segment" localSheetId="4">'[1]industry margin - service'!#REF!</definedName>
    <definedName name="General_Purpose_Machinery_Service_Segment" localSheetId="6">'[1]industry margin - service'!#REF!</definedName>
    <definedName name="General_Purpose_Machinery_Service_Segment">'Industry Margin - Service'!#REF!</definedName>
    <definedName name="General_Purpose_Machinery_Trading_Segment" localSheetId="4">'[1]industry margin - trading'!#REF!</definedName>
    <definedName name="General_Purpose_Machinery_Trading_Segment" localSheetId="6">'[1]industry margin - trading'!#REF!</definedName>
    <definedName name="General_Purpose_Machinery_Trading_Segment">'Industry Margin - Trading'!#REF!</definedName>
    <definedName name="Ginning_of_cotton__Mfg_Segment_">'Industry Margin - Mfg'!$D$74:$DL$74</definedName>
    <definedName name="Ginning_of_cotton_Service_Segment" localSheetId="4">'[1]industry margin - service'!#REF!</definedName>
    <definedName name="Ginning_of_cotton_Service_Segment" localSheetId="6">'[1]industry margin - service'!#REF!</definedName>
    <definedName name="Ginning_of_cotton_Service_Segment">'Industry Margin - Service'!#REF!</definedName>
    <definedName name="Ginning_of_cotton_Trading_Segment" localSheetId="4">'[1]industry margin - trading'!#REF!</definedName>
    <definedName name="Ginning_of_cotton_Trading_Segment" localSheetId="6">'[1]industry margin - trading'!#REF!</definedName>
    <definedName name="Ginning_of_cotton_Trading_Segment">'Industry Margin - Trading'!#REF!</definedName>
    <definedName name="Glass_and_Glass_Products___Labware_Service_Segment" localSheetId="4">'[1]industry margin - service'!#REF!</definedName>
    <definedName name="Glass_and_Glass_Products___Labware_Service_Segment" localSheetId="6">'[1]industry margin - service'!#REF!</definedName>
    <definedName name="Glass_and_Glass_Products___Labware_Service_Segment">'Industry Margin - Service'!#REF!</definedName>
    <definedName name="Glass_and_Glass_Products___Labware_Trading_Segment" localSheetId="4">'[1]industry margin - trading'!#REF!</definedName>
    <definedName name="Glass_and_Glass_Products___Labware_Trading_Segment" localSheetId="6">'[1]industry margin - trading'!#REF!</definedName>
    <definedName name="Glass_and_Glass_Products___Labware_Trading_Segment">'Industry Margin - Trading'!#REF!</definedName>
    <definedName name="Glass_and_Glass_Products__Labware__Mfg_Segment_" localSheetId="4">'[1]industry margin - mfg'!#REF!</definedName>
    <definedName name="Glass_and_Glass_Products__Labware__Mfg_Segment_" localSheetId="6">'[1]industry margin - mfg'!#REF!</definedName>
    <definedName name="Glass_and_Glass_Products__Labware__Mfg_Segment_">'Industry Margin - Mfg'!#REF!</definedName>
    <definedName name="Glass_and_Glass_Products__Mfg_Segment_">'Industry Margin - Mfg'!$D$28:$DL$28</definedName>
    <definedName name="Glass_and_Glass_Products_Service_Segment" localSheetId="4">'[1]industry margin - service'!#REF!</definedName>
    <definedName name="Glass_and_Glass_Products_Service_Segment" localSheetId="6">'[1]industry margin - service'!#REF!</definedName>
    <definedName name="Glass_and_Glass_Products_Service_Segment">'Industry Margin - Service'!#REF!</definedName>
    <definedName name="Glass_and_Glass_Products_Trading_Segment" localSheetId="4">'[1]industry margin - trading'!#REF!</definedName>
    <definedName name="Glass_and_Glass_Products_Trading_Segment" localSheetId="6">'[1]industry margin - trading'!#REF!</definedName>
    <definedName name="Glass_and_Glass_Products_Trading_Segment">'Industry Margin - Trading'!#REF!</definedName>
    <definedName name="Glass_M">'Industry Margin - Mfg'!$C$28:$C$28</definedName>
    <definedName name="Glass_Services_Industry" localSheetId="4">'[1]industry margin - service'!#REF!</definedName>
    <definedName name="Glass_Services_Industry" localSheetId="6">'[1]industry margin - service'!#REF!</definedName>
    <definedName name="Glass_Services_Industry">'Industry Margin - Service'!#REF!</definedName>
    <definedName name="Glass_Trading" localSheetId="4">'[1]industry margin - trading'!#REF!</definedName>
    <definedName name="Glass_Trading" localSheetId="6">'[1]industry margin - trading'!#REF!</definedName>
    <definedName name="Glass_Trading">'Industry Margin - Trading'!#REF!</definedName>
    <definedName name="Goods_Transport_Services__Road___Mfg_Segment_" localSheetId="4">'[1]industry margin - mfg'!#REF!</definedName>
    <definedName name="Goods_Transport_Services__Road___Mfg_Segment_" localSheetId="6">'[1]industry margin - mfg'!#REF!</definedName>
    <definedName name="Goods_Transport_Services__Road___Mfg_Segment_">'Industry Margin - Mfg'!#REF!</definedName>
    <definedName name="Goods_Transport_Services__Road__Service_Segment" localSheetId="4">'[1]industry margin - service'!#REF!</definedName>
    <definedName name="Goods_Transport_Services__Road__Service_Segment" localSheetId="6">'[1]industry margin - service'!#REF!</definedName>
    <definedName name="Goods_Transport_Services__Road__Service_Segment">'Industry Margin - Service'!#REF!</definedName>
    <definedName name="Goods_Transport_Services__Road__Trading_Segment" localSheetId="4">'[1]industry margin - trading'!#REF!</definedName>
    <definedName name="Goods_Transport_Services__Road__Trading_Segment" localSheetId="6">'[1]industry margin - trading'!#REF!</definedName>
    <definedName name="Goods_Transport_Services__Road__Trading_Segment">'Industry Margin - Trading'!#REF!</definedName>
    <definedName name="Grocery_and_starch_related_products__Mfg_Segment_" localSheetId="4">'[1]industry margin - mfg'!#REF!</definedName>
    <definedName name="Grocery_and_starch_related_products__Mfg_Segment_" localSheetId="6">'[1]industry margin - mfg'!#REF!</definedName>
    <definedName name="Grocery_and_starch_related_products__Mfg_Segment_">'Industry Margin - Mfg'!#REF!</definedName>
    <definedName name="Grocery_and_starch_related_products_Service_Segment" localSheetId="4">'[1]industry margin - service'!#REF!</definedName>
    <definedName name="Grocery_and_starch_related_products_Service_Segment" localSheetId="6">'[1]industry margin - service'!#REF!</definedName>
    <definedName name="Grocery_and_starch_related_products_Service_Segment">'Industry Margin - Service'!#REF!</definedName>
    <definedName name="Grocery_and_starch_related_products_Trading_Segment" localSheetId="4">'[1]industry margin - trading'!#REF!</definedName>
    <definedName name="Grocery_and_starch_related_products_Trading_Segment" localSheetId="6">'[1]industry margin - trading'!#REF!</definedName>
    <definedName name="Grocery_and_starch_related_products_Trading_Segment">'Industry Margin - Trading'!#REF!</definedName>
    <definedName name="Haha">'Policy Checks on recent changes'!$XAC$58:$XAC$59</definedName>
    <definedName name="Handicrafts_M" localSheetId="4">'[1]industry margin - mfg'!#REF!</definedName>
    <definedName name="Handicrafts_M" localSheetId="6">'[1]industry margin - mfg'!#REF!</definedName>
    <definedName name="Handicrafts_M">'Industry Margin - Mfg'!#REF!</definedName>
    <definedName name="Handicrafts_Services_Industry" localSheetId="4">'[1]industry margin - service'!#REF!</definedName>
    <definedName name="Handicrafts_Services_Industry" localSheetId="6">'[1]industry margin - service'!#REF!</definedName>
    <definedName name="Handicrafts_Services_Industry">'Industry Margin - Service'!#REF!</definedName>
    <definedName name="Handicrafts_Trading" localSheetId="4">'[1]industry margin - trading'!#REF!</definedName>
    <definedName name="Handicrafts_Trading" localSheetId="6">'[1]industry margin - trading'!#REF!</definedName>
    <definedName name="Handicrafts_Trading">'Industry Margin - Trading'!#REF!</definedName>
    <definedName name="HdfcLifeSA">'[3]hdfc life'!$L$13</definedName>
    <definedName name="Header_Row" localSheetId="6">ROW(#REF!)</definedName>
    <definedName name="Header_Row">ROW(#REF!)</definedName>
    <definedName name="Hobby__Toy__Game__Camera_and_Photographic_Supply_Stores_Service_Segment" localSheetId="4">'[1]industry margin - service'!#REF!</definedName>
    <definedName name="Hobby__Toy__Game__Camera_and_Photographic_Supply_Stores_Service_Segment" localSheetId="6">'[1]industry margin - service'!#REF!</definedName>
    <definedName name="Hobby__Toy__Game__Camera_and_Photographic_Supply_Stores_Service_Segment">'Industry Margin - Service'!#REF!</definedName>
    <definedName name="Hobby_Toy_Game_Camera_and_Photographic_Supply_Stores__Mfg_Segment_" localSheetId="4">'[1]industry margin - mfg'!#REF!</definedName>
    <definedName name="Hobby_Toy_Game_Camera_and_Photographic_Supply_Stores__Mfg_Segment_" localSheetId="6">'[1]industry margin - mfg'!#REF!</definedName>
    <definedName name="Hobby_Toy_Game_Camera_and_Photographic_Supply_Stores__Mfg_Segment_">'Industry Margin - Mfg'!#REF!</definedName>
    <definedName name="Hobby_Toy_Game_Camera_and_Photographic_Supply_Stores_Trading_Segment" localSheetId="4">'[1]industry margin - trading'!#REF!</definedName>
    <definedName name="Hobby_Toy_Game_Camera_and_Photographic_Supply_Stores_Trading_Segment" localSheetId="6">'[1]industry margin - trading'!#REF!</definedName>
    <definedName name="Hobby_Toy_Game_Camera_and_Photographic_Supply_Stores_Trading_Segment">'Industry Margin - Trading'!#REF!</definedName>
    <definedName name="Home_Appliances___Kitchen_Appliances_Trading_Segment">'Industry Margin - Trading'!$C$52:$AF$52</definedName>
    <definedName name="Home_Appliances_or_Kitchen_Appliances__Mfg_Segment_" localSheetId="4">'[1]industry margin - mfg'!#REF!</definedName>
    <definedName name="Home_Appliances_or_Kitchen_Appliances__Mfg_Segment_" localSheetId="6">'[1]industry margin - mfg'!#REF!</definedName>
    <definedName name="Home_Appliances_or_Kitchen_Appliances__Mfg_Segment_">'Industry Margin - Mfg'!#REF!</definedName>
    <definedName name="Home_Appliances_or_Kitchen_Appliances_Service_Segment" localSheetId="4">'[1]industry margin - service'!#REF!</definedName>
    <definedName name="Home_Appliances_or_Kitchen_Appliances_Service_Segment" localSheetId="6">'[1]industry margin - service'!#REF!</definedName>
    <definedName name="Home_Appliances_or_Kitchen_Appliances_Service_Segment">'Industry Margin - Service'!#REF!</definedName>
    <definedName name="Home_Furnishing___Kitchen_and_household_hardware_Trading_Segment">'Industry Margin - Trading'!$C$51:$AF$51</definedName>
    <definedName name="Home_furnishing__Mfg_Segment_">'Industry Margin - Mfg'!$D$70:$DL$70</definedName>
    <definedName name="Home_Furnishing_or_Kitchen_and_household_hardware__Mfg_Segment_">'Industry Margin - Mfg'!$D$66:$DL$66</definedName>
    <definedName name="Home_Furnishing_or_Kitchen_and_household_hardware_Service_Segment" localSheetId="4">'[1]industry margin - service'!#REF!</definedName>
    <definedName name="Home_Furnishing_or_Kitchen_and_household_hardware_Service_Segment" localSheetId="6">'[1]industry margin - service'!#REF!</definedName>
    <definedName name="Home_Furnishing_or_Kitchen_and_household_hardware_Service_Segment">'Industry Margin - Service'!#REF!</definedName>
    <definedName name="Home_furnishing_Service_Segment" localSheetId="4">'[1]industry margin - service'!#REF!</definedName>
    <definedName name="Home_furnishing_Service_Segment" localSheetId="6">'[1]industry margin - service'!#REF!</definedName>
    <definedName name="Home_furnishing_Service_Segment">'Industry Margin - Service'!#REF!</definedName>
    <definedName name="Home_furnishing_Trading_Segment" localSheetId="4">'[1]industry margin - trading'!#REF!</definedName>
    <definedName name="Home_furnishing_Trading_Segment" localSheetId="6">'[1]industry margin - trading'!#REF!</definedName>
    <definedName name="Home_furnishing_Trading_Segment">'Industry Margin - Trading'!#REF!</definedName>
    <definedName name="Hospitals_and_Clinics_M" localSheetId="4">'[1]industry margin - mfg'!#REF!</definedName>
    <definedName name="Hospitals_and_Clinics_M" localSheetId="6">'[1]industry margin - mfg'!#REF!</definedName>
    <definedName name="Hospitals_and_Clinics_M">'Industry Margin - Mfg'!#REF!</definedName>
    <definedName name="Hospitals_and_Clinics_Services_Industry">'Industry Margin - Service'!$B$18</definedName>
    <definedName name="Hospitals_and_Clinics_Trading" localSheetId="4">'[1]industry margin - trading'!#REF!</definedName>
    <definedName name="Hospitals_and_Clinics_Trading" localSheetId="6">'[1]industry margin - trading'!#REF!</definedName>
    <definedName name="Hospitals_and_Clinics_Trading">'Industry Margin - Trading'!#REF!</definedName>
    <definedName name="Hotel_and_Restaurants_M" localSheetId="4">'[1]industry margin - mfg'!#REF!</definedName>
    <definedName name="Hotel_and_Restaurants_M" localSheetId="6">'[1]industry margin - mfg'!#REF!</definedName>
    <definedName name="Hotel_and_Restaurants_M">'Industry Margin - Mfg'!#REF!</definedName>
    <definedName name="Hotel_and_Restaurants_Services_Industry">'Industry Margin - Service'!$B$19</definedName>
    <definedName name="Hotel_and_Restaurants_Trading" localSheetId="4">'[1]industry margin - trading'!#REF!</definedName>
    <definedName name="Hotel_and_Restaurants_Trading" localSheetId="6">'[1]industry margin - trading'!#REF!</definedName>
    <definedName name="Hotel_and_Restaurants_Trading">'Industry Margin - Trading'!#REF!</definedName>
    <definedName name="Hotels_and_Restaurants__Mfg_Segment_" localSheetId="4">'[1]industry margin - mfg'!#REF!</definedName>
    <definedName name="Hotels_and_Restaurants__Mfg_Segment_" localSheetId="6">'[1]industry margin - mfg'!#REF!</definedName>
    <definedName name="Hotels_and_Restaurants__Mfg_Segment_">'Industry Margin - Mfg'!#REF!</definedName>
    <definedName name="Hotels_and_Restaurants_Service_Segment">'Industry Margin - Service'!$C$19:$AP$19</definedName>
    <definedName name="Hotels_and_Restaurants_Trading_Segment" localSheetId="4">'[1]industry margin - trading'!#REF!</definedName>
    <definedName name="Hotels_and_Restaurants_Trading_Segment" localSheetId="6">'[1]industry margin - trading'!#REF!</definedName>
    <definedName name="Hotels_and_Restaurants_Trading_Segment">'Industry Margin - Trading'!#REF!</definedName>
    <definedName name="HR_and_A___Medical_Transcriptions_Trading_Segment" localSheetId="4">'[1]industry margin - trading'!#REF!</definedName>
    <definedName name="HR_and_A___Medical_Transcriptions_Trading_Segment" localSheetId="6">'[1]industry margin - trading'!#REF!</definedName>
    <definedName name="HR_and_A___Medical_Transcriptions_Trading_Segment">'Industry Margin - Trading'!#REF!</definedName>
    <definedName name="HR_and_A_or_Medical_Transcriptions__Mfg_Segment_" localSheetId="4">'[1]industry margin - mfg'!#REF!</definedName>
    <definedName name="HR_and_A_or_Medical_Transcriptions__Mfg_Segment_" localSheetId="6">'[1]industry margin - mfg'!#REF!</definedName>
    <definedName name="HR_and_A_or_Medical_Transcriptions__Mfg_Segment_">'Industry Margin - Mfg'!#REF!</definedName>
    <definedName name="HR_and_A_or_Medical_Transcriptions_Service_Segment">'Industry Margin - Service'!$C$36:$AP$36</definedName>
    <definedName name="Hunter_Match" localSheetId="6">OFFSET(#REF!,0,0,COUNTA(#REF!),1)</definedName>
    <definedName name="Hunter_Match">OFFSET(#REF!,0,0,COUNTA(#REF!),1)</definedName>
    <definedName name="ID_Proof" localSheetId="6">OFFSET(#REF!,0,0,COUNTA(#REF!),1)</definedName>
    <definedName name="ID_Proof">OFFSET(#REF!,0,0,COUNTA(#REF!),1)</definedName>
    <definedName name="iIndicator">[5]Input!$D$4</definedName>
    <definedName name="IndMarginAllowed" localSheetId="6">#REF!</definedName>
    <definedName name="IndMarginAllowed">#REF!</definedName>
    <definedName name="Industrial_Equipment_or_Machinery_M">'Industry Margin - Mfg'!$C$29:$C$36</definedName>
    <definedName name="Industrial_Equipment_or_Machinery_Services_Industry">'Industry Margin - Service'!$B$20:$B$20</definedName>
    <definedName name="Industrial_Equipment_or_Machinery_Trading">'Industry Margin - Trading'!$B$28:$B$30</definedName>
    <definedName name="Industrial_Furnaces__Mfg_Segment_">'Industry Margin - Mfg'!$D$33:$DL$33</definedName>
    <definedName name="Industrial_Furnaces_Service_Segment" localSheetId="4">'[1]industry margin - service'!#REF!</definedName>
    <definedName name="Industrial_Furnaces_Service_Segment" localSheetId="6">'[1]industry margin - service'!#REF!</definedName>
    <definedName name="Industrial_Furnaces_Service_Segment">'Industry Margin - Service'!#REF!</definedName>
    <definedName name="Industrial_Furnaces_Trading_Segment" localSheetId="4">'[1]industry margin - trading'!#REF!</definedName>
    <definedName name="Industrial_Furnaces_Trading_Segment" localSheetId="6">'[1]industry margin - trading'!#REF!</definedName>
    <definedName name="Industrial_Furnaces_Trading_Segment">'Industry Margin - Trading'!#REF!</definedName>
    <definedName name="Industrial_Machincery___Chemicals_Service_Segment" localSheetId="4">'[1]industry margin - service'!#REF!</definedName>
    <definedName name="Industrial_Machincery___Chemicals_Service_Segment" localSheetId="6">'[1]industry margin - service'!#REF!</definedName>
    <definedName name="Industrial_Machincery___Chemicals_Service_Segment">'Industry Margin - Service'!#REF!</definedName>
    <definedName name="Industrial_Machincery__Chemicals__Mfg_Segment_" localSheetId="4">'[1]industry margin - mfg'!#REF!</definedName>
    <definedName name="Industrial_Machincery__Chemicals__Mfg_Segment_" localSheetId="6">'[1]industry margin - mfg'!#REF!</definedName>
    <definedName name="Industrial_Machincery__Chemicals__Mfg_Segment_">'Industry Margin - Mfg'!#REF!</definedName>
    <definedName name="Industrial_Machincery__Chemicals_Trading_Segment" localSheetId="4">'[1]industry margin - trading'!#REF!</definedName>
    <definedName name="Industrial_Machincery__Chemicals_Trading_Segment" localSheetId="6">'[1]industry margin - trading'!#REF!</definedName>
    <definedName name="Industrial_Machincery__Chemicals_Trading_Segment">'Industry Margin - Trading'!#REF!</definedName>
    <definedName name="Industrial_Machinery__Mfg_Segment_">'Industry Margin - Mfg'!$D$30:$DL$30</definedName>
    <definedName name="Industrial_Machinery_Service_Segment">'Industry Margin - Service'!$C$20:$AP$20</definedName>
    <definedName name="Industrial_Machinery_Trading_Segment">'Industry Margin - Trading'!$C$28:$AF$28</definedName>
    <definedName name="Industries_not_classified_elsewhere__Mfg_Segment_" localSheetId="4">'[1]industry margin - mfg'!#REF!</definedName>
    <definedName name="Industries_not_classified_elsewhere__Mfg_Segment_" localSheetId="6">'[1]industry margin - mfg'!#REF!</definedName>
    <definedName name="Industries_not_classified_elsewhere__Mfg_Segment_">'Industry Margin - Mfg'!#REF!</definedName>
    <definedName name="Industries_not_classified_elsewhere__Mfg_Segment_1">'Industry Margin - Mfg'!$D$47:$DL$47</definedName>
    <definedName name="Industries_not_classified_elsewhere_Service_Segment" localSheetId="4">'[1]industry margin - service'!#REF!</definedName>
    <definedName name="Industries_not_classified_elsewhere_Service_Segment" localSheetId="6">'[1]industry margin - service'!#REF!</definedName>
    <definedName name="Industries_not_classified_elsewhere_Service_Segment">'Industry Margin - Service'!#REF!</definedName>
    <definedName name="Industries_not_classified_elsewhere_Trading_Segment" localSheetId="4">'[1]industry margin - trading'!#REF!</definedName>
    <definedName name="Industries_not_classified_elsewhere_Trading_Segment" localSheetId="6">'[1]industry margin - trading'!#REF!</definedName>
    <definedName name="Industries_not_classified_elsewhere_Trading_Segment">'Industry Margin - Trading'!#REF!</definedName>
    <definedName name="industry" localSheetId="6">#REF!</definedName>
    <definedName name="Industry" localSheetId="2">'[2]Industry Margin'!$A$3:$A$193</definedName>
    <definedName name="industry">#REF!</definedName>
    <definedName name="Industry_not_classified_elsewhere_Service_Segment">'Industry Margin - Service'!$C$27:$AP$27</definedName>
    <definedName name="Industry_not_classified_elsewhere_Trading_Segment">'Industry Margin - Trading'!$C$38:$AF$38</definedName>
    <definedName name="Inorganic_and_Organic_Chemicals__Mfg_Segment_" localSheetId="4">'[1]industry margin - mfg'!#REF!</definedName>
    <definedName name="Inorganic_and_Organic_Chemicals__Mfg_Segment_" localSheetId="6">'[1]industry margin - mfg'!#REF!</definedName>
    <definedName name="Inorganic_and_Organic_Chemicals__Mfg_Segment_">'Industry Margin - Mfg'!#REF!</definedName>
    <definedName name="Inorganic_and_Organic_Chemicals_Service_Segment" localSheetId="4">'[1]industry margin - service'!#REF!</definedName>
    <definedName name="Inorganic_and_Organic_Chemicals_Service_Segment" localSheetId="6">'[1]industry margin - service'!#REF!</definedName>
    <definedName name="Inorganic_and_Organic_Chemicals_Service_Segment">'Industry Margin - Service'!#REF!</definedName>
    <definedName name="Inorganic_and_Organic_Chemicals_Trading_Segment" localSheetId="4">'[1]industry margin - trading'!#REF!</definedName>
    <definedName name="Inorganic_and_Organic_Chemicals_Trading_Segment" localSheetId="6">'[1]industry margin - trading'!#REF!</definedName>
    <definedName name="Inorganic_and_Organic_Chemicals_Trading_Segment">'Industry Margin - Trading'!#REF!</definedName>
    <definedName name="Int" localSheetId="6">#REF!</definedName>
    <definedName name="Int">#REF!</definedName>
    <definedName name="Interest_Rate" localSheetId="6">#REF!</definedName>
    <definedName name="Interest_Rate">#REF!</definedName>
    <definedName name="Internal_Dedupe" localSheetId="6">OFFSET(#REF!,0,0,COUNTA(#REF!),1)</definedName>
    <definedName name="Internal_Dedupe">OFFSET(#REF!,0,0,COUNTA(#REF!),1)</definedName>
    <definedName name="Internet_or_Broadband_Services_M" localSheetId="4">'[1]industry margin - mfg'!#REF!</definedName>
    <definedName name="Internet_or_Broadband_Services_M" localSheetId="6">'[1]industry margin - mfg'!#REF!</definedName>
    <definedName name="Internet_or_Broadband_Services_M">'Industry Margin - Mfg'!#REF!</definedName>
    <definedName name="Internet_or_Broadband_Services_Services_Industry" localSheetId="4">'[1]industry margin - service'!#REF!</definedName>
    <definedName name="Internet_or_Broadband_Services_Services_Industry" localSheetId="6">'[1]industry margin - service'!#REF!</definedName>
    <definedName name="Internet_or_Broadband_Services_Services_Industry">'Industry Margin - Service'!#REF!</definedName>
    <definedName name="Internet_or_Broadband_Services_Trading" localSheetId="4">'[1]industry margin - trading'!#REF!</definedName>
    <definedName name="Internet_or_Broadband_Services_Trading" localSheetId="6">'[1]industry margin - trading'!#REF!</definedName>
    <definedName name="Internet_or_Broadband_Services_Trading">'Industry Margin - Trading'!#REF!</definedName>
    <definedName name="Internet_Services__Others_Service_Segment" localSheetId="4">'[1]industry margin - service'!#REF!</definedName>
    <definedName name="Internet_Services__Others_Service_Segment" localSheetId="6">'[1]industry margin - service'!#REF!</definedName>
    <definedName name="Internet_Services__Others_Service_Segment">'Industry Margin - Service'!#REF!</definedName>
    <definedName name="Internet_Services_Others__Mfg_Segment_" localSheetId="4">'[1]industry margin - mfg'!#REF!</definedName>
    <definedName name="Internet_Services_Others__Mfg_Segment_" localSheetId="6">'[1]industry margin - mfg'!#REF!</definedName>
    <definedName name="Internet_Services_Others__Mfg_Segment_">'Industry Margin - Mfg'!#REF!</definedName>
    <definedName name="Internet_Services_Others_Trading_Segment" localSheetId="4">'[1]industry margin - trading'!#REF!</definedName>
    <definedName name="Internet_Services_Others_Trading_Segment" localSheetId="6">'[1]industry margin - trading'!#REF!</definedName>
    <definedName name="Internet_Services_Others_Trading_Segment">'Industry Margin - Trading'!#REF!</definedName>
    <definedName name="IntRat">[8]LISTS!$R$3:$R$6</definedName>
    <definedName name="Iron__Steel_and_Steel_Alloys__Wires_and_Cables_Service_Segment">'Industry Margin - Service'!$C$25:$AP$25</definedName>
    <definedName name="Iron_Steel_and_Steel_Alloys_Wires_and_Cables__Mfg_Segment_">'Industry Margin - Mfg'!$D$43:$DL$43</definedName>
    <definedName name="Iron_Steel_and_Steel_Alloys_Wires_and_Cables_Trading_Segment">'Industry Margin - Trading'!$C$35:$AF$35</definedName>
    <definedName name="IT_or_Software_or_ITES_or_BPO_or_KPO_M" localSheetId="4">'[1]industry margin - mfg'!#REF!</definedName>
    <definedName name="IT_or_Software_or_ITES_or_BPO_or_KPO_M" localSheetId="6">'[1]industry margin - mfg'!#REF!</definedName>
    <definedName name="IT_or_Software_or_ITES_or_BPO_or_KPO_M">'Industry Margin - Mfg'!#REF!</definedName>
    <definedName name="IT_or_Software_or_ITES_or_BPO_or_KPO_Services_Industry">'Industry Margin - Service'!$B$21:$B$23</definedName>
    <definedName name="IT_or_Software_or_ITES_or_BPO_or_KPO_Trading" localSheetId="4">'[1]industry margin - trading'!#REF!</definedName>
    <definedName name="IT_or_Software_or_ITES_or_BPO_or_KPO_Trading" localSheetId="6">'[1]industry margin - trading'!#REF!</definedName>
    <definedName name="IT_or_Software_or_ITES_or_BPO_or_KPO_Trading">'Industry Margin - Trading'!#REF!</definedName>
    <definedName name="ITES___Call_Centres_Trading_Segment" localSheetId="4">'[1]industry margin - trading'!#REF!</definedName>
    <definedName name="ITES___Call_Centres_Trading_Segment" localSheetId="6">'[1]industry margin - trading'!#REF!</definedName>
    <definedName name="ITES___Call_Centres_Trading_Segment">'Industry Margin - Trading'!#REF!</definedName>
    <definedName name="ITES_or_Call_Centres__Mfg_Segment_" localSheetId="4">'[1]industry margin - mfg'!#REF!</definedName>
    <definedName name="ITES_or_Call_Centres__Mfg_Segment_" localSheetId="6">'[1]industry margin - mfg'!#REF!</definedName>
    <definedName name="ITES_or_Call_Centres__Mfg_Segment_">'Industry Margin - Mfg'!#REF!</definedName>
    <definedName name="ITES_or_Call_Centres_Service_Segment">'Industry Margin - Service'!$C$22:$AP$22</definedName>
    <definedName name="Jute__Mfg_Segment_">'Industry Margin - Mfg'!$D$37:$DL$37</definedName>
    <definedName name="Jute_M">'Industry Margin - Mfg'!$C$37</definedName>
    <definedName name="Jute_Service_Segment" localSheetId="4">'[1]industry margin - service'!#REF!</definedName>
    <definedName name="Jute_Service_Segment" localSheetId="6">'[1]industry margin - service'!#REF!</definedName>
    <definedName name="Jute_Service_Segment">'Industry Margin - Service'!#REF!</definedName>
    <definedName name="Jute_Services_Industry" localSheetId="4">'[1]industry margin - service'!#REF!</definedName>
    <definedName name="Jute_Services_Industry" localSheetId="6">'[1]industry margin - service'!#REF!</definedName>
    <definedName name="Jute_Services_Industry">'Industry Margin - Service'!#REF!</definedName>
    <definedName name="Jute_Trading" localSheetId="4">'[1]industry margin - trading'!#REF!</definedName>
    <definedName name="Jute_Trading" localSheetId="6">'[1]industry margin - trading'!#REF!</definedName>
    <definedName name="Jute_Trading">'Industry Margin - Trading'!#REF!</definedName>
    <definedName name="Jute_Trading_Segment" localSheetId="4">'[1]industry margin - trading'!#REF!</definedName>
    <definedName name="Jute_Trading_Segment" localSheetId="6">'[1]industry margin - trading'!#REF!</definedName>
    <definedName name="Jute_Trading_Segment">'Industry Margin - Trading'!#REF!</definedName>
    <definedName name="L1_">'Deviation Sheet'!$I$5:$I$6</definedName>
    <definedName name="Landline" localSheetId="6">OFFSET(#REF!,0,0,COUNTA(#REF!),1)</definedName>
    <definedName name="Landline">OFFSET(#REF!,0,0,COUNTA(#REF!),1)</definedName>
    <definedName name="Last_Row" localSheetId="6">IF([0]!Values_Entered,'Fin-2'!Header_Row+[0]!Number_of_Payments,'Fin-2'!Header_Row)</definedName>
    <definedName name="Last_Row">IF(Values_Entered,Header_Row+Number_of_Payments,Header_Row)</definedName>
    <definedName name="Laundary_and_Surface_Care_M" localSheetId="4">'[1]industry margin - mfg'!#REF!</definedName>
    <definedName name="Laundary_and_Surface_Care_M" localSheetId="6">'[1]industry margin - mfg'!#REF!</definedName>
    <definedName name="Laundary_and_Surface_Care_M">'Industry Margin - Mfg'!#REF!</definedName>
    <definedName name="Laundary_and_Surface_Care_Services_Industry" localSheetId="4">'[1]industry margin - service'!#REF!</definedName>
    <definedName name="Laundary_and_Surface_Care_Services_Industry" localSheetId="6">'[1]industry margin - service'!#REF!</definedName>
    <definedName name="Laundary_and_Surface_Care_Services_Industry">'Industry Margin - Service'!#REF!</definedName>
    <definedName name="Laundary_and_Surface_Care_Trading" localSheetId="4">'[1]industry margin - trading'!#REF!</definedName>
    <definedName name="Laundary_and_Surface_Care_Trading" localSheetId="6">'[1]industry margin - trading'!#REF!</definedName>
    <definedName name="Laundary_and_Surface_Care_Trading">'Industry Margin - Trading'!#REF!</definedName>
    <definedName name="Laundary_services_and_management_of_washing_etc__Mfg_Segment_" localSheetId="4">'[1]industry margin - mfg'!#REF!</definedName>
    <definedName name="Laundary_services_and_management_of_washing_etc__Mfg_Segment_" localSheetId="6">'[1]industry margin - mfg'!#REF!</definedName>
    <definedName name="Laundary_services_and_management_of_washing_etc__Mfg_Segment_">'Industry Margin - Mfg'!#REF!</definedName>
    <definedName name="Laundary_services_and_management_of_washing_etc_Service_Segment" localSheetId="4">'[1]industry margin - service'!#REF!</definedName>
    <definedName name="Laundary_services_and_management_of_washing_etc_Service_Segment" localSheetId="6">'[1]industry margin - service'!#REF!</definedName>
    <definedName name="Laundary_services_and_management_of_washing_etc_Service_Segment">'Industry Margin - Service'!#REF!</definedName>
    <definedName name="Laundary_services_and_management_of_washing_etc_Trading_Segment" localSheetId="4">'[1]industry margin - trading'!#REF!</definedName>
    <definedName name="Laundary_services_and_management_of_washing_etc_Trading_Segment" localSheetId="6">'[1]industry margin - trading'!#REF!</definedName>
    <definedName name="Laundary_services_and_management_of_washing_etc_Trading_Segment">'Industry Margin - Trading'!#REF!</definedName>
    <definedName name="LCV__HCV__Commercial_Vehicles_Service_Segment">'Industry Margin - Service'!$C$6:$AP$6</definedName>
    <definedName name="LCV_HCV_Commercial_Vehicles__Mfg_Segment_">'Industry Margin - Mfg'!$D$16:$DL$16</definedName>
    <definedName name="LCV_HCV_Commercial_Vehicles_Trading_Segment">'Industry Margin - Trading'!$C$15:$AF$15</definedName>
    <definedName name="LDoBDays">[3]LISTS!$E$3:$E$33</definedName>
    <definedName name="LDoBMonths">[3]LISTS!$F$3:$F$14</definedName>
    <definedName name="LDoBYears">[3]LISTS!$G$3:$G$69</definedName>
    <definedName name="Leather_M">'Industry Margin - Mfg'!$C$38:$C$38</definedName>
    <definedName name="Leather_Services_Industry" localSheetId="4">'[1]industry margin - service'!#REF!</definedName>
    <definedName name="Leather_Services_Industry" localSheetId="6">'[1]industry margin - service'!#REF!</definedName>
    <definedName name="Leather_Services_Industry">'Industry Margin - Service'!#REF!</definedName>
    <definedName name="Leather_Trading" localSheetId="4">'[1]industry margin - trading'!#REF!</definedName>
    <definedName name="Leather_Trading" localSheetId="6">'[1]industry margin - trading'!#REF!</definedName>
    <definedName name="Leather_Trading">'Industry Margin - Trading'!#REF!</definedName>
    <definedName name="Legal_Services__Solicitor_firms__Public_Relations__Professional_or_Consultants_or_specialised_dance_schools_Service_Segment" localSheetId="4">'[1]industry margin - service'!#REF!</definedName>
    <definedName name="Legal_Services__Solicitor_firms__Public_Relations__Professional_or_Consultants_or_specialised_dance_schools_Service_Segment" localSheetId="6">'[1]industry margin - service'!#REF!</definedName>
    <definedName name="Legal_Services__Solicitor_firms__Public_Relations__Professional_or_Consultants_or_specialised_dance_schools_Service_Segment">'Industry Margin - Service'!#REF!</definedName>
    <definedName name="Legal_Services_Solicitor_firms_Public_Relations_Professional___Consultants___specialised_dance_schools_Trading_Segment" localSheetId="4">'[1]industry margin - trading'!#REF!</definedName>
    <definedName name="Legal_Services_Solicitor_firms_Public_Relations_Professional___Consultants___specialised_dance_schools_Trading_Segment" localSheetId="6">'[1]industry margin - trading'!#REF!</definedName>
    <definedName name="Legal_Services_Solicitor_firms_Public_Relations_Professional___Consultants___specialised_dance_schools_Trading_Segment">'Industry Margin - Trading'!#REF!</definedName>
    <definedName name="Legal_Services_Solicitor_firms_Public_Relations_Professional_or_Consultants_or_specialised_dance_schools__Mfg_Segment_" localSheetId="4">'[1]industry margin - mfg'!#REF!</definedName>
    <definedName name="Legal_Services_Solicitor_firms_Public_Relations_Professional_or_Consultants_or_specialised_dance_schools__Mfg_Segment_" localSheetId="6">'[1]industry margin - mfg'!#REF!</definedName>
    <definedName name="Legal_Services_Solicitor_firms_Public_Relations_Professional_or_Consultants_or_specialised_dance_schools__Mfg_Segment_">'Industry Margin - Mfg'!#REF!</definedName>
    <definedName name="Lending_Program_Sel" localSheetId="6">#REF!</definedName>
    <definedName name="Lending_Program_Sel">#REF!</definedName>
    <definedName name="Lending_Programs" localSheetId="6">OFFSET(#REF!,0,0,COUNTA(#REF!),1)</definedName>
    <definedName name="Lending_Programs">OFFSET(#REF!,0,0,COUNTA(#REF!),1)</definedName>
    <definedName name="Level">[9]Sheet3!$H$5:$H$8</definedName>
    <definedName name="Limit_Acc_Type" localSheetId="6">#REF!</definedName>
    <definedName name="Limit_Acc_Type">#REF!</definedName>
    <definedName name="Liquor_or_Breweries_or_imfi_M">'Industry Margin - Mfg'!$C$39:$C$39</definedName>
    <definedName name="Liquor_or_Breweries_or_imfi_Services_Industry" localSheetId="4">'[1]industry margin - service'!#REF!</definedName>
    <definedName name="Liquor_or_Breweries_or_imfi_Services_Industry" localSheetId="6">'[1]industry margin - service'!#REF!</definedName>
    <definedName name="Liquor_or_Breweries_or_imfi_Services_Industry">'Industry Margin - Service'!#REF!</definedName>
    <definedName name="Liquor_or_Breweries_or_imfi_Trading">'Industry Margin - Trading'!$B$31:$B$31</definedName>
    <definedName name="Live_Stock_M">'Industry Margin - Mfg'!$C$40</definedName>
    <definedName name="Live_Stock_Services_Industry" localSheetId="4">'[1]industry margin - service'!#REF!</definedName>
    <definedName name="Live_Stock_Services_Industry" localSheetId="6">'[1]industry margin - service'!#REF!</definedName>
    <definedName name="Live_Stock_Services_Industry">'Industry Margin - Service'!#REF!</definedName>
    <definedName name="Live_Stock_Trading" localSheetId="4">'[1]industry margin - trading'!#REF!</definedName>
    <definedName name="Live_Stock_Trading" localSheetId="6">'[1]industry margin - trading'!#REF!</definedName>
    <definedName name="Live_Stock_Trading">'Industry Margin - Trading'!#REF!</definedName>
    <definedName name="LLoanTerm">[3]LISTS!$C$3:$C$31</definedName>
    <definedName name="Loan" localSheetId="4">'[1]Existing Loans'!$AE$5:$AE$26</definedName>
    <definedName name="Loan" localSheetId="6">'[1]Existing Loans'!$AE$5:$AE$26</definedName>
    <definedName name="Loan" localSheetId="2">'[2]Existing Loans'!$AE$9:$AE$28</definedName>
    <definedName name="Loan">'Existing Loans'!$AE$5:$AE$26</definedName>
    <definedName name="Loan_Amount" localSheetId="6">#REF!</definedName>
    <definedName name="Loan_Amount">#REF!</definedName>
    <definedName name="Loan_Category" localSheetId="6">OFFSET(#REF!,0,0,COUNTA(#REF!),1)</definedName>
    <definedName name="Loan_Category">OFFSET(#REF!,0,0,COUNTA(#REF!),1)</definedName>
    <definedName name="Loan_Decision" localSheetId="6">OFFSET(#REF!,0,0,COUNTA(#REF!),1)</definedName>
    <definedName name="Loan_Decision">OFFSET(#REF!,0,0,COUNTA(#REF!),1)</definedName>
    <definedName name="Loan_Requested" localSheetId="6">#REF!</definedName>
    <definedName name="Loan_Requested">#REF!</definedName>
    <definedName name="Loan_Sel" localSheetId="6">#REF!</definedName>
    <definedName name="Loan_Sel">#REF!</definedName>
    <definedName name="Loan_Start" localSheetId="6">#REF!</definedName>
    <definedName name="Loan_Start">#REF!</definedName>
    <definedName name="Loan_Type" localSheetId="4">'[1]Customer Details'!$X$8:$X$10</definedName>
    <definedName name="Loan_Type" localSheetId="6">'[1]Customer Details'!$X$8:$X$10</definedName>
    <definedName name="Loan_Type" localSheetId="2">'[2]Customer Details'!$T$8:$T$10</definedName>
    <definedName name="Loan_Type">'Customer Details'!$X$8:$X$10</definedName>
    <definedName name="Loan_Years" localSheetId="6">#REF!</definedName>
    <definedName name="Loan_Years">#REF!</definedName>
    <definedName name="Login_Date" localSheetId="6">#REF!</definedName>
    <definedName name="Login_Date">#REF!</definedName>
    <definedName name="Logistics_M" localSheetId="4">'[1]industry margin - mfg'!#REF!</definedName>
    <definedName name="Logistics_M" localSheetId="6">'[1]industry margin - mfg'!#REF!</definedName>
    <definedName name="Logistics_M">'Industry Margin - Mfg'!#REF!</definedName>
    <definedName name="Logistics_Services_Industry" localSheetId="4">'[1]industry margin - service'!#REF!</definedName>
    <definedName name="Logistics_Services_Industry" localSheetId="6">'[1]industry margin - service'!#REF!</definedName>
    <definedName name="Logistics_Services_Industry">'Industry Margin - Service'!#REF!</definedName>
    <definedName name="Logistics_Trading" localSheetId="4">'[1]industry margin - trading'!#REF!</definedName>
    <definedName name="Logistics_Trading" localSheetId="6">'[1]industry margin - trading'!#REF!</definedName>
    <definedName name="Logistics_Trading">'Industry Margin - Trading'!#REF!</definedName>
    <definedName name="Low" localSheetId="6">#REF!</definedName>
    <definedName name="Low">#REF!</definedName>
    <definedName name="LPropDays">[3]LISTS!$I$3:$I$33</definedName>
    <definedName name="LPropMonths">[3]LISTS!$J$3:$J$14</definedName>
    <definedName name="LPropYears">[3]LISTS!$K$3:$K$12</definedName>
    <definedName name="LRD__lease_rentals__rental_income_Service_Segment">'Industry Margin - Service'!$C$17:$AP$17</definedName>
    <definedName name="LRD_lease_rentals_rental_income__Mfg_Segment_" localSheetId="4">'[1]industry margin - mfg'!#REF!</definedName>
    <definedName name="LRD_lease_rentals_rental_income__Mfg_Segment_" localSheetId="6">'[1]industry margin - mfg'!#REF!</definedName>
    <definedName name="LRD_lease_rentals_rental_income__Mfg_Segment_">'Industry Margin - Mfg'!#REF!</definedName>
    <definedName name="LRD_lease_rentals_rental_income_Trading_Segment" localSheetId="4">'[1]industry margin - trading'!#REF!</definedName>
    <definedName name="LRD_lease_rentals_rental_income_Trading_Segment" localSheetId="6">'[1]industry margin - trading'!#REF!</definedName>
    <definedName name="LRD_lease_rentals_rental_income_Trading_Segment">'Industry Margin - Trading'!#REF!</definedName>
    <definedName name="Lubricants___Gas_Cyliners_Trading_Segment" localSheetId="4">'[1]industry margin - trading'!#REF!</definedName>
    <definedName name="Lubricants___Gas_Cyliners_Trading_Segment" localSheetId="6">'[1]industry margin - trading'!#REF!</definedName>
    <definedName name="Lubricants___Gas_Cyliners_Trading_Segment">'Industry Margin - Trading'!#REF!</definedName>
    <definedName name="Lubricants_or_Gas_Cyliners__Mfg_Segment_" localSheetId="4">'[1]industry margin - mfg'!#REF!</definedName>
    <definedName name="Lubricants_or_Gas_Cyliners__Mfg_Segment_" localSheetId="6">'[1]industry margin - mfg'!#REF!</definedName>
    <definedName name="Lubricants_or_Gas_Cyliners__Mfg_Segment_">'Industry Margin - Mfg'!#REF!</definedName>
    <definedName name="Lubricants_or_Gas_Cyliners_Service_Segment" localSheetId="4">'[1]industry margin - service'!#REF!</definedName>
    <definedName name="Lubricants_or_Gas_Cyliners_Service_Segment" localSheetId="6">'[1]industry margin - service'!#REF!</definedName>
    <definedName name="Lubricants_or_Gas_Cyliners_Service_Segment">'Industry Margin - Service'!#REF!</definedName>
    <definedName name="Luggage_and_Leather_Goods___other_leather_prodycts_Trading_Segment" localSheetId="4">'[1]industry margin - trading'!#REF!</definedName>
    <definedName name="Luggage_and_Leather_Goods___other_leather_prodycts_Trading_Segment" localSheetId="6">'[1]industry margin - trading'!#REF!</definedName>
    <definedName name="Luggage_and_Leather_Goods___other_leather_prodycts_Trading_Segment">'Industry Margin - Trading'!#REF!</definedName>
    <definedName name="Luggage_and_Leather_Goods_or_other_leather_prodycts__Mfg_Segment_">'Industry Margin - Mfg'!$D$38:$DL$38</definedName>
    <definedName name="Luggage_and_Leather_Goods_or_other_leather_prodycts_Service_Segment" localSheetId="4">'[1]industry margin - service'!#REF!</definedName>
    <definedName name="Luggage_and_Leather_Goods_or_other_leather_prodycts_Service_Segment" localSheetId="6">'[1]industry margin - service'!#REF!</definedName>
    <definedName name="Luggage_and_Leather_Goods_or_other_leather_prodycts_Service_Segment">'Industry Margin - Service'!#REF!</definedName>
    <definedName name="Machine_Tools__Mfg_Segment_">'Industry Margin - Mfg'!$D$31:$DL$31</definedName>
    <definedName name="Machine_Tools_Service_Segment" localSheetId="4">'[1]industry margin - service'!#REF!</definedName>
    <definedName name="Machine_Tools_Service_Segment" localSheetId="6">'[1]industry margin - service'!#REF!</definedName>
    <definedName name="Machine_Tools_Service_Segment">'Industry Margin - Service'!#REF!</definedName>
    <definedName name="Machine_Tools_Trading_Segment">'Industry Margin - Trading'!$C$29:$AF$29</definedName>
    <definedName name="Main_Cust_Categ" localSheetId="6">#REF!</definedName>
    <definedName name="Main_Cust_Categ">#REF!</definedName>
    <definedName name="Maintenance_and_overhauling_servicesl_ground_handling__Mfg_Segment_" localSheetId="4">'[1]industry margin - mfg'!#REF!</definedName>
    <definedName name="Maintenance_and_overhauling_servicesl_ground_handling__Mfg_Segment_" localSheetId="6">'[1]industry margin - mfg'!#REF!</definedName>
    <definedName name="Maintenance_and_overhauling_servicesl_ground_handling__Mfg_Segment_">'Industry Margin - Mfg'!#REF!</definedName>
    <definedName name="Maintenance_and_overhauling_servicesl_ground_handling_Service_Segment">'Industry Margin - Service'!$C$3:$AP$3</definedName>
    <definedName name="Maintenance_and_overhauling_servicesl_ground_handling_Trading_Segment" localSheetId="4">'[1]industry margin - trading'!#REF!</definedName>
    <definedName name="Maintenance_and_overhauling_servicesl_ground_handling_Trading_Segment" localSheetId="6">'[1]industry margin - trading'!#REF!</definedName>
    <definedName name="Maintenance_and_overhauling_servicesl_ground_handling_Trading_Segment">'Industry Margin - Trading'!#REF!</definedName>
    <definedName name="MandyFields1" localSheetId="6">#REF!</definedName>
    <definedName name="MandyFields1">#REF!</definedName>
    <definedName name="Manufacturers_of_toiler_soaps__detergents__shampoos__toothpaste__shaving_products__shoe_polish_and_household_accessories_Service_Segment" localSheetId="4">'[1]industry margin - service'!#REF!</definedName>
    <definedName name="Manufacturers_of_toiler_soaps__detergents__shampoos__toothpaste__shaving_products__shoe_polish_and_household_accessories_Service_Segment" localSheetId="6">'[1]industry margin - service'!#REF!</definedName>
    <definedName name="Manufacturers_of_toiler_soaps__detergents__shampoos__toothpaste__shaving_products__shoe_polish_and_household_accessories_Service_Segment">'Industry Margin - Service'!#REF!</definedName>
    <definedName name="Manufacturers_of_toiler_soaps_detergents_shampoos_toothpaste_shaving_products_shoe_polish_and_household_accessories__Mfg_Segment_">'Industry Margin - Mfg'!$D$64:$DL$64</definedName>
    <definedName name="Manufacturers_of_toiler_soaps_detergents_shampoos_toothpaste_shaving_products_shoe_polish_and_household_accessories_Trading_Segment" localSheetId="4">'[1]industry margin - trading'!#REF!</definedName>
    <definedName name="Manufacturers_of_toiler_soaps_detergents_shampoos_toothpaste_shaving_products_shoe_polish_and_household_accessories_Trading_Segment" localSheetId="6">'[1]industry margin - trading'!#REF!</definedName>
    <definedName name="Manufacturers_of_toiler_soaps_detergents_shampoos_toothpaste_shaving_products_shoe_polish_and_household_accessories_Trading_Segment">'Industry Margin - Trading'!#REF!</definedName>
    <definedName name="Manufacturing">'Industry Margin - Mfg'!$B$2:$B$84</definedName>
    <definedName name="Manufacturing_and_sales_of_pipes__PVC_including_dealers_Service_Segment">'Industry Margin - Service'!$C$30:$AP$30</definedName>
    <definedName name="Manufacturing_and_sales_of_pipes_PVC_including_dealers__Mfg_Segment_">'Industry Margin - Mfg'!$D$56:$DL$56</definedName>
    <definedName name="Manufacturing_and_sales_of_pipes_PVC_including_dealers_Trading_Segment">'Industry Margin - Trading'!$C$42:$AF$42</definedName>
    <definedName name="Manufacturing_of_handicrafts_and_selling_of_same__art_work_Service_Segment" localSheetId="4">'[1]industry margin - service'!#REF!</definedName>
    <definedName name="Manufacturing_of_handicrafts_and_selling_of_same__art_work_Service_Segment" localSheetId="6">'[1]industry margin - service'!#REF!</definedName>
    <definedName name="Manufacturing_of_handicrafts_and_selling_of_same__art_work_Service_Segment">'Industry Margin - Service'!#REF!</definedName>
    <definedName name="Manufacturing_of_handicrafts_and_selling_of_same__art_work_Trading_Segment" localSheetId="4">'[1]industry margin - trading'!#REF!</definedName>
    <definedName name="Manufacturing_of_handicrafts_and_selling_of_same__art_work_Trading_Segment" localSheetId="6">'[1]industry margin - trading'!#REF!</definedName>
    <definedName name="Manufacturing_of_handicrafts_and_selling_of_same__art_work_Trading_Segment">'Industry Margin - Trading'!#REF!</definedName>
    <definedName name="Manufacturing_of_handicrafts_and_selling_of_same_art_work__Mfg_Segment_" localSheetId="4">'[1]industry margin - mfg'!#REF!</definedName>
    <definedName name="Manufacturing_of_handicrafts_and_selling_of_same_art_work__Mfg_Segment_" localSheetId="6">'[1]industry margin - mfg'!#REF!</definedName>
    <definedName name="Manufacturing_of_handicrafts_and_selling_of_same_art_work__Mfg_Segment_">'Industry Margin - Mfg'!#REF!</definedName>
    <definedName name="Marble_and_Granite__Mfg_Segment_">'Industry Margin - Mfg'!$D$79:$DL$79</definedName>
    <definedName name="Marble_and_Granite_Service_Segment" localSheetId="4">'[1]industry margin - service'!#REF!</definedName>
    <definedName name="Marble_and_Granite_Service_Segment" localSheetId="6">'[1]industry margin - service'!#REF!</definedName>
    <definedName name="Marble_and_Granite_Service_Segment">'Industry Margin - Service'!#REF!</definedName>
    <definedName name="Marble_and_Granite_Trading_Segment">'Industry Margin - Trading'!$C$61:$AF$61</definedName>
    <definedName name="Marine_Foods__Soya_bean_products_Service_Segment" localSheetId="4">'[1]industry margin - service'!#REF!</definedName>
    <definedName name="Marine_Foods__Soya_bean_products_Service_Segment" localSheetId="6">'[1]industry margin - service'!#REF!</definedName>
    <definedName name="Marine_Foods__Soya_bean_products_Service_Segment">'Industry Margin - Service'!#REF!</definedName>
    <definedName name="Marine_Foods_Soya_bean_products__Mfg_Segment_">'Industry Margin - Mfg'!$D$26:$DL$26</definedName>
    <definedName name="Marine_Foods_Soya_bean_products_Trading_Segment">'Industry Margin - Trading'!$C$26:$AF$26</definedName>
    <definedName name="Marital_Status" localSheetId="6">OFFSET(#REF!,0,0,COUNTA(#REF!),1)</definedName>
    <definedName name="Marital_Status">OFFSET(#REF!,0,0,COUNTA(#REF!),1)</definedName>
    <definedName name="Material_Handling_Equipment__Mfg_Segment_" localSheetId="4">'[1]industry margin - mfg'!#REF!</definedName>
    <definedName name="Material_Handling_Equipment__Mfg_Segment_" localSheetId="6">'[1]industry margin - mfg'!#REF!</definedName>
    <definedName name="Material_Handling_Equipment__Mfg_Segment_">'Industry Margin - Mfg'!#REF!</definedName>
    <definedName name="Material_Handling_Equipment_Service_Segment" localSheetId="4">'[1]industry margin - service'!#REF!</definedName>
    <definedName name="Material_Handling_Equipment_Service_Segment" localSheetId="6">'[1]industry margin - service'!#REF!</definedName>
    <definedName name="Material_Handling_Equipment_Service_Segment">'Industry Margin - Service'!#REF!</definedName>
    <definedName name="Material_Handling_Equipment_Trading_Segment" localSheetId="4">'[1]industry margin - trading'!#REF!</definedName>
    <definedName name="Material_Handling_Equipment_Trading_Segment" localSheetId="6">'[1]industry margin - trading'!#REF!</definedName>
    <definedName name="Material_Handling_Equipment_Trading_Segment">'Industry Margin - Trading'!#REF!</definedName>
    <definedName name="Media__Advertising_and_Broadcasting__Animation_and_Post_production_Service_Segment">'Industry Margin - Service'!$C$24:$AP$24</definedName>
    <definedName name="Media_Advertising_and_Broadcasting_Animation_and_Post_production__Mfg_Segment_" localSheetId="4">'[1]industry margin - mfg'!#REF!</definedName>
    <definedName name="Media_Advertising_and_Broadcasting_Animation_and_Post_production__Mfg_Segment_" localSheetId="6">'[1]industry margin - mfg'!#REF!</definedName>
    <definedName name="Media_Advertising_and_Broadcasting_Animation_and_Post_production__Mfg_Segment_">'Industry Margin - Mfg'!#REF!</definedName>
    <definedName name="Media_Advertising_and_Broadcasting_Animation_and_Post_production_Trading_Segment" localSheetId="4">'[1]industry margin - trading'!#REF!</definedName>
    <definedName name="Media_Advertising_and_Broadcasting_Animation_and_Post_production_Trading_Segment" localSheetId="6">'[1]industry margin - trading'!#REF!</definedName>
    <definedName name="Media_Advertising_and_Broadcasting_Animation_and_Post_production_Trading_Segment">'Industry Margin - Trading'!#REF!</definedName>
    <definedName name="Media_or_Entertainment_TV_Broadcasting_M" localSheetId="4">'[1]industry margin - mfg'!#REF!</definedName>
    <definedName name="Media_or_Entertainment_TV_Broadcasting_M" localSheetId="6">'[1]industry margin - mfg'!#REF!</definedName>
    <definedName name="Media_or_Entertainment_TV_Broadcasting_M">'Industry Margin - Mfg'!#REF!</definedName>
    <definedName name="Media_or_Entertainment_TV_Broadcasting_Services_Industry">'Industry Margin - Service'!$B$24</definedName>
    <definedName name="Media_or_Entertainment_TV_Broadcasting_Trading" localSheetId="4">'[1]industry margin - trading'!#REF!</definedName>
    <definedName name="Media_or_Entertainment_TV_Broadcasting_Trading" localSheetId="6">'[1]industry margin - trading'!#REF!</definedName>
    <definedName name="Media_or_Entertainment_TV_Broadcasting_Trading">'Industry Margin - Trading'!#REF!</definedName>
    <definedName name="Medical_Equipment__Mfg_Segment_" localSheetId="4">'[1]industry margin - mfg'!#REF!</definedName>
    <definedName name="Medical_Equipment__Mfg_Segment_" localSheetId="6">'[1]industry margin - mfg'!#REF!</definedName>
    <definedName name="Medical_Equipment__Mfg_Segment_">'Industry Margin - Mfg'!#REF!</definedName>
    <definedName name="Medical_Equipment_Service_Segment" localSheetId="4">'[1]industry margin - service'!#REF!</definedName>
    <definedName name="Medical_Equipment_Service_Segment" localSheetId="6">'[1]industry margin - service'!#REF!</definedName>
    <definedName name="Medical_Equipment_Service_Segment">'Industry Margin - Service'!#REF!</definedName>
    <definedName name="Medical_Equipment_Trading_Segment">'Industry Margin - Trading'!$C$32:$AF$32</definedName>
    <definedName name="Medical_or_Pharma_Equipments_M" localSheetId="4">'[1]industry margin - mfg'!#REF!</definedName>
    <definedName name="Medical_or_Pharma_Equipments_M" localSheetId="6">'[1]industry margin - mfg'!#REF!</definedName>
    <definedName name="Medical_or_Pharma_Equipments_M">'Industry Margin - Mfg'!#REF!</definedName>
    <definedName name="Medical_or_Pharma_Equipments_Services_Industry" localSheetId="4">'[1]industry margin - service'!#REF!</definedName>
    <definedName name="Medical_or_Pharma_Equipments_Services_Industry" localSheetId="6">'[1]industry margin - service'!#REF!</definedName>
    <definedName name="Medical_or_Pharma_Equipments_Services_Industry">'Industry Margin - Service'!#REF!</definedName>
    <definedName name="Medical_or_Pharma_Equipments_Trading">'Industry Margin - Trading'!$B$32:$B$32</definedName>
    <definedName name="Medical_Supplies__Mfg_Segment_" localSheetId="4">'[1]industry margin - mfg'!#REF!</definedName>
    <definedName name="Medical_Supplies__Mfg_Segment_" localSheetId="6">'[1]industry margin - mfg'!#REF!</definedName>
    <definedName name="Medical_Supplies__Mfg_Segment_">'Industry Margin - Mfg'!#REF!</definedName>
    <definedName name="Medical_Supplies_Service_Segment" localSheetId="4">'[1]industry margin - service'!#REF!</definedName>
    <definedName name="Medical_Supplies_Service_Segment" localSheetId="6">'[1]industry margin - service'!#REF!</definedName>
    <definedName name="Medical_Supplies_Service_Segment">'Industry Margin - Service'!#REF!</definedName>
    <definedName name="Medical_Supplies_Trading_Segment" localSheetId="4">'[1]industry margin - trading'!#REF!</definedName>
    <definedName name="Medical_Supplies_Trading_Segment" localSheetId="6">'[1]industry margin - trading'!#REF!</definedName>
    <definedName name="Medical_Supplies_Trading_Segment">'Industry Margin - Trading'!#REF!</definedName>
    <definedName name="Medium" localSheetId="4">'[1]Working -2'!$T$2410:$T$2412</definedName>
    <definedName name="Medium" localSheetId="6">'[1]Working -2'!$T$2410:$T$2412</definedName>
    <definedName name="Medium">#REF!</definedName>
    <definedName name="Met" localSheetId="6">#REF!</definedName>
    <definedName name="Met" localSheetId="2">[4]Sheet5!$G$3:$G$4</definedName>
    <definedName name="Met">#REF!</definedName>
    <definedName name="Metals_aluminium_M">'Industry Margin - Mfg'!$C$41</definedName>
    <definedName name="Metals_aluminium_Services_Industry" localSheetId="4">'[1]industry margin - service'!#REF!</definedName>
    <definedName name="Metals_aluminium_Services_Industry" localSheetId="6">'[1]industry margin - service'!#REF!</definedName>
    <definedName name="Metals_aluminium_Services_Industry">'Industry Margin - Service'!#REF!</definedName>
    <definedName name="Metals_aluminium_Trading">'Industry Margin - Trading'!$B$33</definedName>
    <definedName name="Metals_copper_M">'Industry Margin - Mfg'!$C$42</definedName>
    <definedName name="Metals_copper_Services_Industry" localSheetId="4">'[1]industry margin - service'!#REF!</definedName>
    <definedName name="Metals_copper_Services_Industry" localSheetId="6">'[1]industry margin - service'!#REF!</definedName>
    <definedName name="Metals_copper_Services_Industry">'Industry Margin - Service'!#REF!</definedName>
    <definedName name="Metals_copper_Trading">'Industry Margin - Trading'!$B$34</definedName>
    <definedName name="Metals_Iron_and_Steel_M">'Industry Margin - Mfg'!$C$43</definedName>
    <definedName name="Metals_Iron_and_Steel_Services_Industry">'Industry Margin - Service'!$B$25</definedName>
    <definedName name="Metals_Iron_and_Steel_Trading">'Industry Margin - Trading'!$B$35</definedName>
    <definedName name="Metals_others_M">'Industry Margin - Mfg'!$C$44</definedName>
    <definedName name="Metals_others_Services_Industry" localSheetId="4">'[1]industry margin - service'!#REF!</definedName>
    <definedName name="Metals_others_Services_Industry" localSheetId="6">'[1]industry margin - service'!#REF!</definedName>
    <definedName name="Metals_others_Services_Industry">'Industry Margin - Service'!#REF!</definedName>
    <definedName name="Metals_others_Trading">'Industry Margin - Trading'!$B$36</definedName>
    <definedName name="Metals_zinc_M">'Industry Margin - Mfg'!$C$45</definedName>
    <definedName name="Metals_zinc_Services_Industry" localSheetId="4">'[1]industry margin - service'!#REF!</definedName>
    <definedName name="Metals_zinc_Services_Industry" localSheetId="6">'[1]industry margin - service'!#REF!</definedName>
    <definedName name="Metals_zinc_Services_Industry">'Industry Margin - Service'!#REF!</definedName>
    <definedName name="Metals_zinc_Trading">'Industry Margin - Trading'!$B$37</definedName>
    <definedName name="Milling_Product__Mfg_Segment_">'Industry Margin - Mfg'!$D$2:$DL$2</definedName>
    <definedName name="Milling_Product_Service_Segment" localSheetId="4">'[1]industry margin - service'!#REF!</definedName>
    <definedName name="Milling_Product_Service_Segment" localSheetId="6">'[1]industry margin - service'!#REF!</definedName>
    <definedName name="Milling_Product_Service_Segment">'Industry Margin - Service'!#REF!</definedName>
    <definedName name="Milling_Product_Trading_Segment" localSheetId="4">'[1]industry margin - trading'!#REF!</definedName>
    <definedName name="Milling_Product_Trading_Segment" localSheetId="6">'[1]industry margin - trading'!#REF!</definedName>
    <definedName name="Milling_Product_Trading_Segment">'Industry Margin - Trading'!#REF!</definedName>
    <definedName name="Mining__Mfg_Segment_">'Industry Margin - Mfg'!$D$46:$DL$46</definedName>
    <definedName name="Mining_M">'Industry Margin - Mfg'!$C$46</definedName>
    <definedName name="Mining_Service_Segment">'Industry Margin - Service'!$C$26:$AP$26</definedName>
    <definedName name="Mining_Services_Industry">'Industry Margin - Service'!$B$26</definedName>
    <definedName name="Mining_Trading" localSheetId="4">'[1]industry margin - trading'!#REF!</definedName>
    <definedName name="Mining_Trading" localSheetId="6">'[1]industry margin - trading'!#REF!</definedName>
    <definedName name="Mining_Trading">'Industry Margin - Trading'!#REF!</definedName>
    <definedName name="Mining_Trading_Segment" localSheetId="4">'[1]industry margin - trading'!#REF!</definedName>
    <definedName name="Mining_Trading_Segment" localSheetId="6">'[1]industry margin - trading'!#REF!</definedName>
    <definedName name="Mining_Trading_Segment">'Industry Margin - Trading'!#REF!</definedName>
    <definedName name="Motors__Generator_and_pumps_and_other_power_equipments_Service_Segment" localSheetId="4">'[1]industry margin - service'!#REF!</definedName>
    <definedName name="Motors__Generator_and_pumps_and_other_power_equipments_Service_Segment" localSheetId="6">'[1]industry margin - service'!#REF!</definedName>
    <definedName name="Motors__Generator_and_pumps_and_other_power_equipments_Service_Segment">'Industry Margin - Service'!#REF!</definedName>
    <definedName name="Motors_Generator_and_pumps_and_other_power_equipments__Mfg_Segment_">'Industry Margin - Mfg'!$D$61:$DL$61</definedName>
    <definedName name="Motors_Generator_and_pumps_and_other_power_equipments_Trading_Segment" localSheetId="4">'[1]industry margin - trading'!#REF!</definedName>
    <definedName name="Motors_Generator_and_pumps_and_other_power_equipments_Trading_Segment" localSheetId="6">'[1]industry margin - trading'!#REF!</definedName>
    <definedName name="Motors_Generator_and_pumps_and_other_power_equipments_Trading_Segment">'Industry Margin - Trading'!#REF!</definedName>
    <definedName name="Multibrand_Stores__Mfg_Segment_" localSheetId="4">'[1]industry margin - mfg'!#REF!</definedName>
    <definedName name="Multibrand_Stores__Mfg_Segment_" localSheetId="6">'[1]industry margin - mfg'!#REF!</definedName>
    <definedName name="Multibrand_Stores__Mfg_Segment_">'Industry Margin - Mfg'!#REF!</definedName>
    <definedName name="Multibrand_Stores_Service_Segment" localSheetId="4">'[1]industry margin - service'!#REF!</definedName>
    <definedName name="Multibrand_Stores_Service_Segment" localSheetId="6">'[1]industry margin - service'!#REF!</definedName>
    <definedName name="Multibrand_Stores_Service_Segment">'Industry Margin - Service'!#REF!</definedName>
    <definedName name="Multibrand_Stores_Trading_Segment">'Industry Margin - Trading'!$C$46:$AF$46</definedName>
    <definedName name="N" localSheetId="4">[1]Banking!$AC$26:$AC$27</definedName>
    <definedName name="N" localSheetId="6">[1]Banking!$AC$26:$AC$27</definedName>
    <definedName name="N" localSheetId="2">[2]Banking!$AB$17:$AB$18</definedName>
    <definedName name="N">Banking!$Q$26:$Q$27</definedName>
    <definedName name="Nature_of_Business" localSheetId="6">OFFSET(#REF!,0,0,COUNTA(#REF!)-COUNTBLANK(#REF!),1)</definedName>
    <definedName name="Nature_of_Business">OFFSET(#REF!,0,0,COUNTA(#REF!)-COUNTBLANK(#REF!),1)</definedName>
    <definedName name="Negative_Salaried" localSheetId="6">'[7]cam-ni'!#REF!</definedName>
    <definedName name="Negative_Salaried">'[7]cam-ni'!#REF!</definedName>
    <definedName name="No" localSheetId="4">[1]Sheet5!$J$3:$J$4</definedName>
    <definedName name="No" localSheetId="6">[1]Sheet5!$J$3:$J$4</definedName>
    <definedName name="No" localSheetId="2">[4]Sheet5!$J$3:$J$4</definedName>
    <definedName name="No">#REF!</definedName>
    <definedName name="No_Mths" localSheetId="6">#REF!</definedName>
    <definedName name="No_Mths">#REF!</definedName>
    <definedName name="NOB_Selected" localSheetId="6">#REF!</definedName>
    <definedName name="NOB_Selected">#REF!</definedName>
    <definedName name="Num_Pmt_Per_Year" localSheetId="6">#REF!</definedName>
    <definedName name="Num_Pmt_Per_Year">#REF!</definedName>
    <definedName name="Number_of_Payments" localSheetId="6">MATCH(0.01,'Fin-2'!End_Bal,-1)+1</definedName>
    <definedName name="Number_of_Payments">MATCH(0.01,End_Bal,-1)+1</definedName>
    <definedName name="Obligation" localSheetId="6">#REF!</definedName>
    <definedName name="Obligation">#REF!</definedName>
    <definedName name="ODCC_Accs" localSheetId="6">#REF!</definedName>
    <definedName name="ODCC_Accs">#REF!</definedName>
    <definedName name="Office_Equipment__Networking_Service_Segment">'Industry Margin - Service'!$C$7:$AP$7</definedName>
    <definedName name="Office_Equipment_Networking__Mfg_Segment_" localSheetId="4">'[1]industry margin - mfg'!#REF!</definedName>
    <definedName name="Office_Equipment_Networking__Mfg_Segment_" localSheetId="6">'[1]industry margin - mfg'!#REF!</definedName>
    <definedName name="Office_Equipment_Networking__Mfg_Segment_">'Industry Margin - Mfg'!#REF!</definedName>
    <definedName name="Office_Equipment_Networking_Trading_Segment" localSheetId="4">'[1]industry margin - trading'!#REF!</definedName>
    <definedName name="Office_Equipment_Networking_Trading_Segment" localSheetId="6">'[1]industry margin - trading'!#REF!</definedName>
    <definedName name="Office_Equipment_Networking_Trading_Segment">'Industry Margin - Trading'!#REF!</definedName>
    <definedName name="Office_Proof" localSheetId="6">OFFSET(#REF!,0,0,COUNTA(#REF!),1)</definedName>
    <definedName name="Office_Proof">OFFSET(#REF!,0,0,COUNTA(#REF!),1)</definedName>
    <definedName name="Opticians__Mfg_Segment_" localSheetId="4">'[1]industry margin - mfg'!#REF!</definedName>
    <definedName name="Opticians__Mfg_Segment_" localSheetId="6">'[1]industry margin - mfg'!#REF!</definedName>
    <definedName name="Opticians__Mfg_Segment_">'Industry Margin - Mfg'!#REF!</definedName>
    <definedName name="Opticians_Service_Segment" localSheetId="4">'[1]industry margin - service'!#REF!</definedName>
    <definedName name="Opticians_Service_Segment" localSheetId="6">'[1]industry margin - service'!#REF!</definedName>
    <definedName name="Opticians_Service_Segment">'Industry Margin - Service'!#REF!</definedName>
    <definedName name="Opticians_Trading_Segment" localSheetId="4">'[1]industry margin - trading'!#REF!</definedName>
    <definedName name="Opticians_Trading_Segment" localSheetId="6">'[1]industry margin - trading'!#REF!</definedName>
    <definedName name="Opticians_Trading_Segment">'Industry Margin - Trading'!#REF!</definedName>
    <definedName name="Other_communication_services__telex__wireless__fax__pager__other_telephone_or_communication_services__mobile_phones_retail_wholesale_seller_Service_Segment">'Industry Margin - Service'!$C$38:$AP$38</definedName>
    <definedName name="Other_communication_services__telex_wireless_fax_pager_other_telephone___communication_services__mobile_phones_retail_wholesale_seller_Trading_Segment">'Industry Margin - Trading'!$C$55:$AF$55</definedName>
    <definedName name="Other_communication_services__telex_wireless_fax_pager_other_telephone_or_communication_services__mobile_phones_retail_wholesale_seller__Mfg_Segment_" localSheetId="4">'[1]industry margin - mfg'!#REF!</definedName>
    <definedName name="Other_communication_services__telex_wireless_fax_pager_other_telephone_or_communication_services__mobile_phones_retail_wholesale_seller__Mfg_Segment_" localSheetId="6">'[1]industry margin - mfg'!#REF!</definedName>
    <definedName name="Other_communication_services__telex_wireless_fax_pager_other_telephone_or_communication_services__mobile_phones_retail_wholesale_seller__Mfg_Segment_">'Industry Margin - Mfg'!#REF!</definedName>
    <definedName name="other_than_iron_and_steel__zince__copper_aluminium_Service_Segment" localSheetId="4">'[1]industry margin - service'!#REF!</definedName>
    <definedName name="other_than_iron_and_steel__zince__copper_aluminium_Service_Segment" localSheetId="6">'[1]industry margin - service'!#REF!</definedName>
    <definedName name="other_than_iron_and_steel__zince__copper_aluminium_Service_Segment">'Industry Margin - Service'!#REF!</definedName>
    <definedName name="other_than_iron_and_steel_zince_copper_aluminium__Mfg_Segment_">'Industry Margin - Mfg'!$D$44:$DL$44</definedName>
    <definedName name="other_than_iron_and_steel_zince_copper_aluminium_Trading_Segment">'Industry Margin - Trading'!$C$36:$AF$36</definedName>
    <definedName name="Others_M" localSheetId="4">'[1]industry margin - mfg'!#REF!</definedName>
    <definedName name="Others_M" localSheetId="6">'[1]industry margin - mfg'!#REF!</definedName>
    <definedName name="Others_M">'Industry Margin - Mfg'!#REF!</definedName>
    <definedName name="Others_Mfg">'Industry Margin - Mfg'!$C$47</definedName>
    <definedName name="Others_Services_Industries">'Industry Margin - Service'!$B$27</definedName>
    <definedName name="Others_Services_Industry" localSheetId="4">'[1]industry margin - service'!#REF!</definedName>
    <definedName name="Others_Services_Industry" localSheetId="6">'[1]industry margin - service'!#REF!</definedName>
    <definedName name="Others_Services_Industry">'Industry Margin - Service'!#REF!</definedName>
    <definedName name="Others_Trading" localSheetId="4">'[1]industry margin - trading'!#REF!</definedName>
    <definedName name="Others_Trading" localSheetId="6">'[1]industry margin - trading'!#REF!</definedName>
    <definedName name="Others_Trading">'Industry Margin - Trading'!#REF!</definedName>
    <definedName name="Others_Tradings">'Industry Margin - Trading'!$B$38</definedName>
    <definedName name="Ownership" localSheetId="6">OFFSET(#REF!,0,0,COUNTA(#REF!),1)</definedName>
    <definedName name="Ownership">OFFSET(#REF!,0,0,COUNTA(#REF!),1)</definedName>
    <definedName name="Packaging_M">'Industry Margin - Mfg'!$C$48:$C$49</definedName>
    <definedName name="Packaging_Material__Mfg_Segment_">'Industry Margin - Mfg'!$D$48:$DL$48</definedName>
    <definedName name="Packaging_Material_Service_Segment" localSheetId="4">'[1]industry margin - service'!#REF!</definedName>
    <definedName name="Packaging_Material_Service_Segment" localSheetId="6">'[1]industry margin - service'!#REF!</definedName>
    <definedName name="Packaging_Material_Service_Segment">'Industry Margin - Service'!#REF!</definedName>
    <definedName name="Packaging_Material_Trading_Segment" localSheetId="4">'[1]industry margin - trading'!#REF!</definedName>
    <definedName name="Packaging_Material_Trading_Segment" localSheetId="6">'[1]industry margin - trading'!#REF!</definedName>
    <definedName name="Packaging_Material_Trading_Segment">'Industry Margin - Trading'!#REF!</definedName>
    <definedName name="Packaging_Services_Industry">'Industry Margin - Service'!$B$28:$B$28</definedName>
    <definedName name="Packaging_Trading" localSheetId="4">'[1]industry margin - trading'!#REF!</definedName>
    <definedName name="Packaging_Trading" localSheetId="6">'[1]industry margin - trading'!#REF!</definedName>
    <definedName name="Packaging_Trading">'Industry Margin - Trading'!#REF!</definedName>
    <definedName name="Paints_and_Varnishes__Mfg_Segment_">'Industry Margin - Mfg'!$D$50:$DL$50</definedName>
    <definedName name="Paints_and_Varnishes_Service_Segment">'Industry Margin - Service'!$C$29:$AP$29</definedName>
    <definedName name="Paints_and_Varnishes_Trading_Segment">'Industry Margin - Trading'!$C$39:$AF$39</definedName>
    <definedName name="Paints_Equipment__Mfg_Segment_" localSheetId="4">'[1]industry margin - mfg'!#REF!</definedName>
    <definedName name="Paints_Equipment__Mfg_Segment_" localSheetId="6">'[1]industry margin - mfg'!#REF!</definedName>
    <definedName name="Paints_Equipment__Mfg_Segment_">'Industry Margin - Mfg'!#REF!</definedName>
    <definedName name="Paints_Equipment_Service_Segment" localSheetId="4">'[1]industry margin - service'!#REF!</definedName>
    <definedName name="Paints_Equipment_Service_Segment" localSheetId="6">'[1]industry margin - service'!#REF!</definedName>
    <definedName name="Paints_Equipment_Service_Segment">'Industry Margin - Service'!#REF!</definedName>
    <definedName name="Paints_Equipment_Trading_Segment" localSheetId="4">'[1]industry margin - trading'!#REF!</definedName>
    <definedName name="Paints_Equipment_Trading_Segment" localSheetId="6">'[1]industry margin - trading'!#REF!</definedName>
    <definedName name="Paints_Equipment_Trading_Segment">'Industry Margin - Trading'!#REF!</definedName>
    <definedName name="Paints_M">'Industry Margin - Mfg'!$C$50:$C$50</definedName>
    <definedName name="Paints_Services_Industry">'Industry Margin - Service'!$B$29:$B$29</definedName>
    <definedName name="Paints_Trading">'Industry Margin - Trading'!$B$39:$B$39</definedName>
    <definedName name="Paper_and_Paper_Products__Mfg_Segment_">'Industry Margin - Mfg'!$D$51:$DL$51</definedName>
    <definedName name="Paper_and_Paper_Products_Service_Segment" localSheetId="4">'[1]industry margin - service'!#REF!</definedName>
    <definedName name="Paper_and_Paper_Products_Service_Segment" localSheetId="6">'[1]industry margin - service'!#REF!</definedName>
    <definedName name="Paper_and_Paper_Products_Service_Segment">'Industry Margin - Service'!#REF!</definedName>
    <definedName name="Paper_and_Paper_Products_Trading_Segment">'Industry Margin - Trading'!$C$40:$AF$40</definedName>
    <definedName name="Paper_M">'Industry Margin - Mfg'!$C$51</definedName>
    <definedName name="Paper_Services_Industry" localSheetId="4">'[1]industry margin - service'!#REF!</definedName>
    <definedName name="Paper_Services_Industry" localSheetId="6">'[1]industry margin - service'!#REF!</definedName>
    <definedName name="Paper_Services_Industry">'Industry Margin - Service'!#REF!</definedName>
    <definedName name="Paper_Trading">'Industry Margin - Trading'!$B$40</definedName>
    <definedName name="Passenger_Transport_Services__Road___Mfg_Segment_" localSheetId="4">'[1]industry margin - mfg'!#REF!</definedName>
    <definedName name="Passenger_Transport_Services__Road___Mfg_Segment_" localSheetId="6">'[1]industry margin - mfg'!#REF!</definedName>
    <definedName name="Passenger_Transport_Services__Road___Mfg_Segment_">'Industry Margin - Mfg'!#REF!</definedName>
    <definedName name="Passenger_Transport_Services__Road__Service_Segment" localSheetId="4">'[1]industry margin - service'!#REF!</definedName>
    <definedName name="Passenger_Transport_Services__Road__Service_Segment" localSheetId="6">'[1]industry margin - service'!#REF!</definedName>
    <definedName name="Passenger_Transport_Services__Road__Service_Segment">'Industry Margin - Service'!#REF!</definedName>
    <definedName name="Passenger_Transport_Services__Road__Trading_Segment" localSheetId="4">'[1]industry margin - trading'!#REF!</definedName>
    <definedName name="Passenger_Transport_Services__Road__Trading_Segment" localSheetId="6">'[1]industry margin - trading'!#REF!</definedName>
    <definedName name="Passenger_Transport_Services__Road__Trading_Segment">'Industry Margin - Trading'!#REF!</definedName>
    <definedName name="Pay_Date" localSheetId="6">#REF!</definedName>
    <definedName name="Pay_Date">#REF!</definedName>
    <definedName name="Pay_Num" localSheetId="6">#REF!</definedName>
    <definedName name="Pay_Num">#REF!</definedName>
    <definedName name="Payment_Date" localSheetId="6">DATE(YEAR('Fin-2'!Loan_Start),MONTH('Fin-2'!Loan_Start)+payment_number,DAY('Fin-2'!Loan_Start))</definedName>
    <definedName name="Payment_Date">DATE(YEAR(Loan_Start),MONTH(Loan_Start)+payment_number,DAY(Loan_Start))</definedName>
    <definedName name="Perfumes__cosmetics__toiletries__hair_oil__cream_Service_Segment" localSheetId="4">'[1]industry margin - service'!#REF!</definedName>
    <definedName name="Perfumes__cosmetics__toiletries__hair_oil__cream_Service_Segment" localSheetId="6">'[1]industry margin - service'!#REF!</definedName>
    <definedName name="Perfumes__cosmetics__toiletries__hair_oil__cream_Service_Segment">'Industry Margin - Service'!#REF!</definedName>
    <definedName name="Perfumes_cosmetics_toiletries_hair_oil_cream__Mfg_Segment_">'Industry Margin - Mfg'!$D$17:$DL$17</definedName>
    <definedName name="Perfumes_cosmetics_toiletries_hair_oil_cream_Trading_Segment">'Industry Margin - Trading'!$C$18:$AF$18</definedName>
    <definedName name="Period" localSheetId="4">[1]VAT!$I$4:$I$5</definedName>
    <definedName name="Period" localSheetId="6">[1]VAT!$I$4:$I$5</definedName>
    <definedName name="Period" localSheetId="2">[4]VAT!$I$4:$I$5</definedName>
    <definedName name="Period">VAT!$I$4:$I$5</definedName>
    <definedName name="Personal_Care__Mfg_Segment_" localSheetId="4">'[1]industry margin - mfg'!#REF!</definedName>
    <definedName name="Personal_Care__Mfg_Segment_" localSheetId="6">'[1]industry margin - mfg'!#REF!</definedName>
    <definedName name="Personal_Care__Mfg_Segment_">'Industry Margin - Mfg'!#REF!</definedName>
    <definedName name="Personal_Care_Service_Segment" localSheetId="4">'[1]industry margin - service'!#REF!</definedName>
    <definedName name="Personal_Care_Service_Segment" localSheetId="6">'[1]industry margin - service'!#REF!</definedName>
    <definedName name="Personal_Care_Service_Segment">'Industry Margin - Service'!#REF!</definedName>
    <definedName name="Personal_Care_Trading_Segment" localSheetId="4">'[1]industry margin - trading'!#REF!</definedName>
    <definedName name="Personal_Care_Trading_Segment" localSheetId="6">'[1]industry margin - trading'!#REF!</definedName>
    <definedName name="Personal_Care_Trading_Segment">'Industry Margin - Trading'!#REF!</definedName>
    <definedName name="Personal_Liability" localSheetId="6">#REF!</definedName>
    <definedName name="Personal_Liability">#REF!</definedName>
    <definedName name="Pesticides_M">'Industry Margin - Mfg'!$C$52</definedName>
    <definedName name="Pesticides_Services_Industry" localSheetId="4">'[1]industry margin - service'!#REF!</definedName>
    <definedName name="Pesticides_Services_Industry" localSheetId="6">'[1]industry margin - service'!#REF!</definedName>
    <definedName name="Pesticides_Services_Industry">'Industry Margin - Service'!#REF!</definedName>
    <definedName name="Pesticides_Trading">'Industry Margin - Trading'!$B$41</definedName>
    <definedName name="Pesticied__Mfg_Segment_">'Industry Margin - Mfg'!$D$52:$DL$52</definedName>
    <definedName name="Pesticied_Service_Segment" localSheetId="4">'[1]industry margin - service'!#REF!</definedName>
    <definedName name="Pesticied_Service_Segment" localSheetId="6">'[1]industry margin - service'!#REF!</definedName>
    <definedName name="Pesticied_Service_Segment">'Industry Margin - Service'!#REF!</definedName>
    <definedName name="Pesticied_Trading_Segment">'Industry Margin - Trading'!$C$41:$AF$41</definedName>
    <definedName name="Petroleum_Productdealer_M" localSheetId="4">'[1]industry margin - mfg'!#REF!</definedName>
    <definedName name="Petroleum_Productdealer_M" localSheetId="6">'[1]industry margin - mfg'!#REF!</definedName>
    <definedName name="Petroleum_Productdealer_M">'Industry Margin - Mfg'!#REF!</definedName>
    <definedName name="Petroleum_Productdealer_Services_Industry" localSheetId="4">'[1]industry margin - service'!#REF!</definedName>
    <definedName name="Petroleum_Productdealer_Services_Industry" localSheetId="6">'[1]industry margin - service'!#REF!</definedName>
    <definedName name="Petroleum_Productdealer_Services_Industry">'Industry Margin - Service'!#REF!</definedName>
    <definedName name="Petroleum_Productdealer_Trading" localSheetId="4">'[1]industry margin - trading'!#REF!</definedName>
    <definedName name="Petroleum_Productdealer_Trading" localSheetId="6">'[1]industry margin - trading'!#REF!</definedName>
    <definedName name="Petroleum_Productdealer_Trading">'Industry Margin - Trading'!#REF!</definedName>
    <definedName name="Petroleum_Products__LPG_Dealers_Service_Segment" localSheetId="4">'[1]industry margin - service'!#REF!</definedName>
    <definedName name="Petroleum_Products__LPG_Dealers_Service_Segment" localSheetId="6">'[1]industry margin - service'!#REF!</definedName>
    <definedName name="Petroleum_Products__LPG_Dealers_Service_Segment">'Industry Margin - Service'!#REF!</definedName>
    <definedName name="Petroleum_Products_LPG_Dealers__Mfg_Segment_" localSheetId="4">'[1]industry margin - mfg'!#REF!</definedName>
    <definedName name="Petroleum_Products_LPG_Dealers__Mfg_Segment_" localSheetId="6">'[1]industry margin - mfg'!#REF!</definedName>
    <definedName name="Petroleum_Products_LPG_Dealers__Mfg_Segment_">'Industry Margin - Mfg'!#REF!</definedName>
    <definedName name="Petroleum_Products_LPG_Dealers_Trading_Segment" localSheetId="4">'[1]industry margin - trading'!#REF!</definedName>
    <definedName name="Petroleum_Products_LPG_Dealers_Trading_Segment" localSheetId="6">'[1]industry margin - trading'!#REF!</definedName>
    <definedName name="Petroleum_Products_LPG_Dealers_Trading_Segment">'Industry Margin - Trading'!#REF!</definedName>
    <definedName name="Pharma_Machinery__Mfg_Segment_" localSheetId="4">'[1]industry margin - mfg'!#REF!</definedName>
    <definedName name="Pharma_Machinery__Mfg_Segment_" localSheetId="6">'[1]industry margin - mfg'!#REF!</definedName>
    <definedName name="Pharma_Machinery__Mfg_Segment_">'Industry Margin - Mfg'!#REF!</definedName>
    <definedName name="Pharma_Machinery_Service_Segment" localSheetId="4">'[1]industry margin - service'!#REF!</definedName>
    <definedName name="Pharma_Machinery_Service_Segment" localSheetId="6">'[1]industry margin - service'!#REF!</definedName>
    <definedName name="Pharma_Machinery_Service_Segment">'Industry Margin - Service'!#REF!</definedName>
    <definedName name="Pharma_Machinery_Trading_Segment" localSheetId="4">'[1]industry margin - trading'!#REF!</definedName>
    <definedName name="Pharma_Machinery_Trading_Segment" localSheetId="6">'[1]industry margin - trading'!#REF!</definedName>
    <definedName name="Pharma_Machinery_Trading_Segment">'Industry Margin - Trading'!#REF!</definedName>
    <definedName name="Pharmaceuticals_M">'Industry Margin - Mfg'!$C$53:$C$54</definedName>
    <definedName name="Pharmaceuticals_Services_Industry" localSheetId="4">'[1]industry margin - service'!#REF!</definedName>
    <definedName name="Pharmaceuticals_Services_Industry" localSheetId="6">'[1]industry margin - service'!#REF!</definedName>
    <definedName name="Pharmaceuticals_Services_Industry">'Industry Margin - Service'!#REF!</definedName>
    <definedName name="Pharmaceuticals_Trading" localSheetId="4">'[1]industry margin - trading'!#REF!</definedName>
    <definedName name="Pharmaceuticals_Trading" localSheetId="6">'[1]industry margin - trading'!#REF!</definedName>
    <definedName name="Pharmaceuticals_Trading">'Industry Margin - Trading'!#REF!</definedName>
    <definedName name="Photgraphic_and_Allied_Products__Mfg_Segment_">'Industry Margin - Mfg'!$D$55:$DL$55</definedName>
    <definedName name="Photgraphic_and_Allied_Products_Service_Segment" localSheetId="4">'[1]industry margin - service'!#REF!</definedName>
    <definedName name="Photgraphic_and_Allied_Products_Service_Segment" localSheetId="6">'[1]industry margin - service'!#REF!</definedName>
    <definedName name="Photgraphic_and_Allied_Products_Service_Segment">'Industry Margin - Service'!#REF!</definedName>
    <definedName name="Photgraphic_and_Allied_Products_Trading_Segment" localSheetId="4">'[1]industry margin - trading'!#REF!</definedName>
    <definedName name="Photgraphic_and_Allied_Products_Trading_Segment" localSheetId="6">'[1]industry margin - trading'!#REF!</definedName>
    <definedName name="Photgraphic_and_Allied_Products_Trading_Segment">'Industry Margin - Trading'!#REF!</definedName>
    <definedName name="Photographic_and_Allied_Products_M">'Industry Margin - Mfg'!$C$55</definedName>
    <definedName name="Photographic_and_Allied_Products_Services_Industry" localSheetId="4">'[1]industry margin - service'!#REF!</definedName>
    <definedName name="Photographic_and_Allied_Products_Services_Industry" localSheetId="6">'[1]industry margin - service'!#REF!</definedName>
    <definedName name="Photographic_and_Allied_Products_Services_Industry">'Industry Margin - Service'!#REF!</definedName>
    <definedName name="Photographic_and_Allied_Products_Trading" localSheetId="4">'[1]industry margin - trading'!#REF!</definedName>
    <definedName name="Photographic_and_Allied_Products_Trading" localSheetId="6">'[1]industry margin - trading'!#REF!</definedName>
    <definedName name="Photographic_and_Allied_Products_Trading">'Industry Margin - Trading'!#REF!</definedName>
    <definedName name="Pipes_M">'Industry Margin - Mfg'!$C$56</definedName>
    <definedName name="Pipes_Services_Industry">'Industry Margin - Service'!$B$30</definedName>
    <definedName name="Pipes_Trading">'Industry Margin - Trading'!$B$42</definedName>
    <definedName name="Plastic__Films_Service_Segment" localSheetId="4">'[1]industry margin - service'!#REF!</definedName>
    <definedName name="Plastic__Films_Service_Segment" localSheetId="6">'[1]industry margin - service'!#REF!</definedName>
    <definedName name="Plastic__Films_Service_Segment">'Industry Margin - Service'!#REF!</definedName>
    <definedName name="Plastic_Films__Mfg_Segment_">'Industry Margin - Mfg'!$D$58:$DL$58</definedName>
    <definedName name="Plastic_Films_Trading_Segment" localSheetId="4">'[1]industry margin - trading'!#REF!</definedName>
    <definedName name="Plastic_Films_Trading_Segment" localSheetId="6">'[1]industry margin - trading'!#REF!</definedName>
    <definedName name="Plastic_Films_Trading_Segment">'Industry Margin - Trading'!#REF!</definedName>
    <definedName name="Plastic_Packaging_Goods__Mfg_Segment_">'Industry Margin - Mfg'!$D$49:$DL$49</definedName>
    <definedName name="Plastic_Packaging_Goods_Service_Segment">'Industry Margin - Service'!$C$28:$AP$28</definedName>
    <definedName name="Plastic_Packaging_Goods_Trading_Segment" localSheetId="4">'[1]industry margin - trading'!#REF!</definedName>
    <definedName name="Plastic_Packaging_Goods_Trading_Segment" localSheetId="6">'[1]industry margin - trading'!#REF!</definedName>
    <definedName name="Plastic_Packaging_Goods_Trading_Segment">'Industry Margin - Trading'!#REF!</definedName>
    <definedName name="Plastic_tubes_and_sheets_and_other_plastic_products__plastic_resins__thermoplastics_Service_Segment" localSheetId="4">'[1]industry margin - service'!#REF!</definedName>
    <definedName name="Plastic_tubes_and_sheets_and_other_plastic_products__plastic_resins__thermoplastics_Service_Segment" localSheetId="6">'[1]industry margin - service'!#REF!</definedName>
    <definedName name="Plastic_tubes_and_sheets_and_other_plastic_products__plastic_resins__thermoplastics_Service_Segment">'Industry Margin - Service'!#REF!</definedName>
    <definedName name="Plastic_tubes_and_sheets_and_other_plastic_products_plastic_resins_thermoplastics__Mfg_Segment_">'Industry Margin - Mfg'!$D$59:$DL$59</definedName>
    <definedName name="Plastic_tubes_and_sheets_and_other_plastic_products_plastic_resins_thermoplastics_Trading_Segment">'Industry Margin - Trading'!$C$44:$AF$44</definedName>
    <definedName name="Plastics_M">'Industry Margin - Mfg'!$C$57:$C$59</definedName>
    <definedName name="Plastics_Services_Industry" localSheetId="4">'[1]industry margin - service'!#REF!</definedName>
    <definedName name="Plastics_Services_Industry" localSheetId="6">'[1]industry margin - service'!#REF!</definedName>
    <definedName name="Plastics_Services_Industry">'Industry Margin - Service'!#REF!</definedName>
    <definedName name="Plastics_Trading">'Industry Margin - Trading'!$B$43:$B$44</definedName>
    <definedName name="Pollution_Control__Mfg_Segment_" localSheetId="4">'[1]industry margin - mfg'!#REF!</definedName>
    <definedName name="Pollution_Control__Mfg_Segment_" localSheetId="6">'[1]industry margin - mfg'!#REF!</definedName>
    <definedName name="Pollution_Control__Mfg_Segment_">'Industry Margin - Mfg'!#REF!</definedName>
    <definedName name="Pollution_Control_Service_Segment" localSheetId="4">'[1]industry margin - service'!#REF!</definedName>
    <definedName name="Pollution_Control_Service_Segment" localSheetId="6">'[1]industry margin - service'!#REF!</definedName>
    <definedName name="Pollution_Control_Service_Segment">'Industry Margin - Service'!#REF!</definedName>
    <definedName name="Pollution_Control_Trading_Segment" localSheetId="4">'[1]industry margin - trading'!#REF!</definedName>
    <definedName name="Pollution_Control_Trading_Segment" localSheetId="6">'[1]industry margin - trading'!#REF!</definedName>
    <definedName name="Pollution_Control_Trading_Segment">'Industry Margin - Trading'!#REF!</definedName>
    <definedName name="Pollution_M" localSheetId="4">'[1]industry margin - mfg'!#REF!</definedName>
    <definedName name="Pollution_M" localSheetId="6">'[1]industry margin - mfg'!#REF!</definedName>
    <definedName name="Pollution_M">'Industry Margin - Mfg'!#REF!</definedName>
    <definedName name="Pollution_Services_Industry" localSheetId="4">'[1]industry margin - service'!#REF!</definedName>
    <definedName name="Pollution_Services_Industry" localSheetId="6">'[1]industry margin - service'!#REF!</definedName>
    <definedName name="Pollution_Services_Industry">'Industry Margin - Service'!#REF!</definedName>
    <definedName name="Pollution_Trading" localSheetId="4">'[1]industry margin - trading'!#REF!</definedName>
    <definedName name="Pollution_Trading" localSheetId="6">'[1]industry margin - trading'!#REF!</definedName>
    <definedName name="Pollution_Trading">'Industry Margin - Trading'!#REF!</definedName>
    <definedName name="Polymers__Mfg_Segment_">'Industry Margin - Mfg'!$D$57:$DL$57</definedName>
    <definedName name="Polymers_Service_Segment" localSheetId="4">'[1]industry margin - service'!#REF!</definedName>
    <definedName name="Polymers_Service_Segment" localSheetId="6">'[1]industry margin - service'!#REF!</definedName>
    <definedName name="Polymers_Service_Segment">'Industry Margin - Service'!#REF!</definedName>
    <definedName name="Polymers_Trading_Segment">'Industry Margin - Trading'!$C$43:$AF$43</definedName>
    <definedName name="Positive" localSheetId="4">[1]Sheet1!$J$16:$J$20</definedName>
    <definedName name="Positive" localSheetId="6">[1]Sheet1!$J$16:$J$20</definedName>
    <definedName name="Positive" localSheetId="2">[4]Sheet1!$J$16:$J$20</definedName>
    <definedName name="Positive">#REF!</definedName>
    <definedName name="Poultry_and_Meat_Products__Mfg_Segment_">'Industry Margin - Mfg'!$D$60:$DL$60</definedName>
    <definedName name="Poultry_and_Meat_Products_Service_Segment" localSheetId="4">'[1]industry margin - service'!#REF!</definedName>
    <definedName name="Poultry_and_Meat_Products_Service_Segment" localSheetId="6">'[1]industry margin - service'!#REF!</definedName>
    <definedName name="Poultry_and_Meat_Products_Service_Segment">'Industry Margin - Service'!#REF!</definedName>
    <definedName name="Poultry_and_Meat_Products_Trading_Segment">'Industry Margin - Trading'!$C$45:$AF$45</definedName>
    <definedName name="Poultry_M">'Industry Margin - Mfg'!$C$60</definedName>
    <definedName name="Poultry_Services_Industry" localSheetId="4">'[1]industry margin - service'!#REF!</definedName>
    <definedName name="Poultry_Services_Industry" localSheetId="6">'[1]industry margin - service'!#REF!</definedName>
    <definedName name="Poultry_Services_Industry">'Industry Margin - Service'!#REF!</definedName>
    <definedName name="Poultry_Trading">'Industry Margin - Trading'!$B$45</definedName>
    <definedName name="Power_M">'Industry Margin - Mfg'!$C$61:$C$62</definedName>
    <definedName name="Power_Services_Industry">'Industry Margin - Service'!$B$31:$B$31</definedName>
    <definedName name="Power_Trading" localSheetId="4">'[1]industry margin - trading'!#REF!</definedName>
    <definedName name="Power_Trading" localSheetId="6">'[1]industry margin - trading'!#REF!</definedName>
    <definedName name="Power_Trading">'Industry Margin - Trading'!#REF!</definedName>
    <definedName name="PRate">[3]WKG!$H$12</definedName>
    <definedName name="PRateMB" localSheetId="6">'[3]hdfc life'!#REF!</definedName>
    <definedName name="PRateMB">'[3]hdfc life'!#REF!</definedName>
    <definedName name="Precision_Dyes_and_Parts__Fasteners_Service_Segment" localSheetId="4">'[1]industry margin - service'!#REF!</definedName>
    <definedName name="Precision_Dyes_and_Parts__Fasteners_Service_Segment" localSheetId="6">'[1]industry margin - service'!#REF!</definedName>
    <definedName name="Precision_Dyes_and_Parts__Fasteners_Service_Segment">'Industry Margin - Service'!#REF!</definedName>
    <definedName name="Precision_Dyes_and_Parts_Fasteners__Mfg_Segment_">'Industry Margin - Mfg'!$D$21:$DL$21</definedName>
    <definedName name="Precision_Dyes_and_Parts_Fasteners_Trading_Segment" localSheetId="4">'[1]industry margin - trading'!#REF!</definedName>
    <definedName name="Precision_Dyes_and_Parts_Fasteners_Trading_Segment" localSheetId="6">'[1]industry margin - trading'!#REF!</definedName>
    <definedName name="Precision_Dyes_and_Parts_Fasteners_Trading_Segment">'Industry Margin - Trading'!#REF!</definedName>
    <definedName name="Prime_Movers__Mfg_Segment_" localSheetId="4">'[1]industry margin - mfg'!#REF!</definedName>
    <definedName name="Prime_Movers__Mfg_Segment_" localSheetId="6">'[1]industry margin - mfg'!#REF!</definedName>
    <definedName name="Prime_Movers__Mfg_Segment_">'Industry Margin - Mfg'!#REF!</definedName>
    <definedName name="Prime_Movers_Service_Segment">'Industry Margin - Service'!$C$10:$AP$10</definedName>
    <definedName name="Prime_Movers_Trading_Segment" localSheetId="4">'[1]industry margin - trading'!#REF!</definedName>
    <definedName name="Prime_Movers_Trading_Segment" localSheetId="6">'[1]industry margin - trading'!#REF!</definedName>
    <definedName name="Prime_Movers_Trading_Segment">'Industry Margin - Trading'!#REF!</definedName>
    <definedName name="Princ" localSheetId="6">#REF!</definedName>
    <definedName name="Princ">#REF!</definedName>
    <definedName name="Print_Area_Reset" localSheetId="6">OFFSET('Fin-2'!Full_Print,0,0,'Fin-2'!Last_Row)</definedName>
    <definedName name="Print_Area_Reset">OFFSET(Full_Print,0,0,Last_Row)</definedName>
    <definedName name="Printing_and_Publishing_M" localSheetId="4">'[1]industry margin - mfg'!#REF!</definedName>
    <definedName name="Printing_and_Publishing_M" localSheetId="6">'[1]industry margin - mfg'!#REF!</definedName>
    <definedName name="Printing_and_Publishing_M">'Industry Margin - Mfg'!#REF!</definedName>
    <definedName name="Printing_and_Publishing_Services_Industry">'Industry Margin - Service'!$B$32:$B$32</definedName>
    <definedName name="Printing_and_Publishing_Trading" localSheetId="4">'[1]industry margin - trading'!#REF!</definedName>
    <definedName name="Printing_and_Publishing_Trading" localSheetId="6">'[1]industry margin - trading'!#REF!</definedName>
    <definedName name="Printing_and_Publishing_Trading">'Industry Margin - Trading'!#REF!</definedName>
    <definedName name="Printing_machinery__Mfg_Segment_" localSheetId="4">'[1]industry margin - mfg'!#REF!</definedName>
    <definedName name="Printing_machinery__Mfg_Segment_" localSheetId="6">'[1]industry margin - mfg'!#REF!</definedName>
    <definedName name="Printing_machinery__Mfg_Segment_">'Industry Margin - Mfg'!#REF!</definedName>
    <definedName name="Printing_machinery_Service_Segment" localSheetId="4">'[1]industry margin - service'!#REF!</definedName>
    <definedName name="Printing_machinery_Service_Segment" localSheetId="6">'[1]industry margin - service'!#REF!</definedName>
    <definedName name="Printing_machinery_Service_Segment">'Industry Margin - Service'!#REF!</definedName>
    <definedName name="Printing_machinery_Trading_Segment" localSheetId="4">'[1]industry margin - trading'!#REF!</definedName>
    <definedName name="Printing_machinery_Trading_Segment" localSheetId="6">'[1]industry margin - trading'!#REF!</definedName>
    <definedName name="Printing_machinery_Trading_Segment">'Industry Margin - Trading'!#REF!</definedName>
    <definedName name="Product" localSheetId="6">#REF!</definedName>
    <definedName name="Product">#REF!</definedName>
    <definedName name="Professional_Services_M" localSheetId="4">'[1]industry margin - mfg'!#REF!</definedName>
    <definedName name="Professional_Services_M" localSheetId="6">'[1]industry margin - mfg'!#REF!</definedName>
    <definedName name="Professional_Services_M">'Industry Margin - Mfg'!#REF!</definedName>
    <definedName name="Professional_Services_Services_Industry">'Industry Margin - Service'!$B$33:$B$36</definedName>
    <definedName name="Professional_Services_Trading" localSheetId="4">'[1]industry margin - trading'!#REF!</definedName>
    <definedName name="Professional_Services_Trading" localSheetId="6">'[1]industry margin - trading'!#REF!</definedName>
    <definedName name="Professional_Services_Trading">'Industry Margin - Trading'!#REF!</definedName>
    <definedName name="Program" localSheetId="4">'[1]Customer Details'!$W$8:$W$11</definedName>
    <definedName name="Program" localSheetId="6">'[1]Customer Details'!$W$8:$W$11</definedName>
    <definedName name="Program" localSheetId="2">'[2]Customer Details'!$S$8:$S$11</definedName>
    <definedName name="Program">'Customer Details'!$W$8:$W$11</definedName>
    <definedName name="Program_Applicable" localSheetId="6">#REF!</definedName>
    <definedName name="Program_Applicable">#REF!</definedName>
    <definedName name="Property_Owned" localSheetId="6">OFFSET(#REF!,0,0,COUNTA(#REF!),1)</definedName>
    <definedName name="Property_Owned">OFFSET(#REF!,0,0,COUNTA(#REF!),1)</definedName>
    <definedName name="Property_Ownership_Proof" localSheetId="6">OFFSET(#REF!,0,0,COUNTA(#REF!),1)</definedName>
    <definedName name="Property_Ownership_Proof">OFFSET(#REF!,0,0,COUNTA(#REF!),1)</definedName>
    <definedName name="Publishing__Mfg_Segment_" localSheetId="4">'[1]industry margin - mfg'!#REF!</definedName>
    <definedName name="Publishing__Mfg_Segment_" localSheetId="6">'[1]industry margin - mfg'!#REF!</definedName>
    <definedName name="Publishing__Mfg_Segment_">'Industry Margin - Mfg'!#REF!</definedName>
    <definedName name="Publishing_Service_Segment">'Industry Margin - Service'!$C$32:$AP$32</definedName>
    <definedName name="Publishing_Trading_Segment" localSheetId="4">'[1]industry margin - trading'!#REF!</definedName>
    <definedName name="Publishing_Trading_Segment" localSheetId="6">'[1]industry margin - trading'!#REF!</definedName>
    <definedName name="Publishing_Trading_Segment">'Industry Margin - Trading'!#REF!</definedName>
    <definedName name="Pumps__Mfg_Segment_">'Industry Margin - Mfg'!$D$35:$DL$35</definedName>
    <definedName name="Pumps_Service_Segment" localSheetId="4">'[1]industry margin - service'!#REF!</definedName>
    <definedName name="Pumps_Service_Segment" localSheetId="6">'[1]industry margin - service'!#REF!</definedName>
    <definedName name="Pumps_Service_Segment">'Industry Margin - Service'!#REF!</definedName>
    <definedName name="Pumps_Trading_Segment">'Industry Margin - Trading'!$C$30:$AF$30</definedName>
    <definedName name="Purpose_of_Loan" localSheetId="6">OFFSET(#REF!,0,0,COUNTA(#REF!),1)</definedName>
    <definedName name="Purpose_of_Loan">OFFSET(#REF!,0,0,COUNTA(#REF!),1)</definedName>
    <definedName name="R_EMI" localSheetId="6">'[3]hdfc life'!#REF!</definedName>
    <definedName name="R_EMI">'[3]hdfc life'!#REF!</definedName>
    <definedName name="Readymade_garments__Mfg_Segment_">'Industry Margin - Mfg'!$D$72:$DL$72</definedName>
    <definedName name="Readymade_garments_Service_Segment" localSheetId="4">'[1]industry margin - service'!#REF!</definedName>
    <definedName name="Readymade_garments_Service_Segment" localSheetId="6">'[1]industry margin - service'!#REF!</definedName>
    <definedName name="Readymade_garments_Service_Segment">'Industry Margin - Service'!#REF!</definedName>
    <definedName name="Readymade_garments_Trading_Segment">'Industry Margin - Trading'!$C$57:$AF$57</definedName>
    <definedName name="Real_Estate_M" localSheetId="4">'[1]industry margin - mfg'!#REF!</definedName>
    <definedName name="Real_Estate_M" localSheetId="6">'[1]industry margin - mfg'!#REF!</definedName>
    <definedName name="Real_Estate_M">'Industry Margin - Mfg'!#REF!</definedName>
    <definedName name="Real_Estate_Services_Industry">'Industry Margin - Service'!$B$37:$B$37</definedName>
    <definedName name="Real_Estate_Trading" localSheetId="4">'[1]industry margin - trading'!#REF!</definedName>
    <definedName name="Real_Estate_Trading" localSheetId="6">'[1]industry margin - trading'!#REF!</definedName>
    <definedName name="Real_Estate_Trading">'Industry Margin - Trading'!#REF!</definedName>
    <definedName name="Recreation_and_Amusement_parks__event_management__gyms_Service_Segment">'Industry Margin - Service'!$C$14:$AP$14</definedName>
    <definedName name="Recreation_and_Amusement_parks_event_management_gyms__Mfg_Segment_" localSheetId="4">'[1]industry margin - mfg'!#REF!</definedName>
    <definedName name="Recreation_and_Amusement_parks_event_management_gyms__Mfg_Segment_" localSheetId="6">'[1]industry margin - mfg'!#REF!</definedName>
    <definedName name="Recreation_and_Amusement_parks_event_management_gyms__Mfg_Segment_">'Industry Margin - Mfg'!#REF!</definedName>
    <definedName name="Recreation_and_Amusement_parks_event_management_gyms_Trading_Segment" localSheetId="4">'[1]industry margin - trading'!#REF!</definedName>
    <definedName name="Recreation_and_Amusement_parks_event_management_gyms_Trading_Segment" localSheetId="6">'[1]industry margin - trading'!#REF!</definedName>
    <definedName name="Recreation_and_Amusement_parks_event_management_gyms_Trading_Segment">'Industry Margin - Trading'!#REF!</definedName>
    <definedName name="Refactory_and_Intermediates__Mfg_Segment_" localSheetId="4">'[1]industry margin - mfg'!#REF!</definedName>
    <definedName name="Refactory_and_Intermediates__Mfg_Segment_" localSheetId="6">'[1]industry margin - mfg'!#REF!</definedName>
    <definedName name="Refactory_and_Intermediates__Mfg_Segment_">'Industry Margin - Mfg'!#REF!</definedName>
    <definedName name="Refactory_and_Intermediates_Service_Segment" localSheetId="4">'[1]industry margin - service'!#REF!</definedName>
    <definedName name="Refactory_and_Intermediates_Service_Segment" localSheetId="6">'[1]industry margin - service'!#REF!</definedName>
    <definedName name="Refactory_and_Intermediates_Service_Segment">'Industry Margin - Service'!#REF!</definedName>
    <definedName name="Refactory_and_Intermediates_Trading_Segment" localSheetId="4">'[1]industry margin - trading'!#REF!</definedName>
    <definedName name="Refactory_and_Intermediates_Trading_Segment" localSheetId="6">'[1]industry margin - trading'!#REF!</definedName>
    <definedName name="Refactory_and_Intermediates_Trading_Segment">'Industry Margin - Trading'!#REF!</definedName>
    <definedName name="Reject_Reason" localSheetId="6">OFFSET(#REF!,0,0,COUNTA(#REF!),1)</definedName>
    <definedName name="Reject_Reason">OFFSET(#REF!,0,0,COUNTA(#REF!),1)</definedName>
    <definedName name="Relationship" localSheetId="4">[1]Sheet1!$H$5:$H$14</definedName>
    <definedName name="Relationship" localSheetId="6">[1]Sheet1!$H$5:$H$14</definedName>
    <definedName name="Relationship" localSheetId="2">[4]Sheet1!$H$5:$H$14</definedName>
    <definedName name="Relationship">#REF!</definedName>
    <definedName name="rent" localSheetId="6">#REF!</definedName>
    <definedName name="rent">#REF!</definedName>
    <definedName name="Repayment_Bank_Acc" localSheetId="6">#REF!</definedName>
    <definedName name="Repayment_Bank_Acc">#REF!</definedName>
    <definedName name="Repayment_EMI_Type" localSheetId="6">OFFSET(#REF!,0,0,COUNTA(#REF!),1)</definedName>
    <definedName name="Repayment_EMI_Type">OFFSET(#REF!,0,0,COUNTA(#REF!),1)</definedName>
    <definedName name="Resi_Proof" localSheetId="6">OFFSET(#REF!,0,0,COUNTA(#REF!),1)</definedName>
    <definedName name="Resi_Proof">OFFSET(#REF!,0,0,COUNTA(#REF!),1)</definedName>
    <definedName name="Retail_M" localSheetId="4">'[1]industry margin - mfg'!#REF!</definedName>
    <definedName name="Retail_M" localSheetId="6">'[1]industry margin - mfg'!#REF!</definedName>
    <definedName name="Retail_M">'Industry Margin - Mfg'!#REF!</definedName>
    <definedName name="Retail_Services_Industry" localSheetId="4">'[1]industry margin - service'!#REF!</definedName>
    <definedName name="Retail_Services_Industry" localSheetId="6">'[1]industry margin - service'!#REF!</definedName>
    <definedName name="Retail_Services_Industry">'Industry Margin - Service'!#REF!</definedName>
    <definedName name="Retail_Trading">'Industry Margin - Trading'!$B$46:$B$47</definedName>
    <definedName name="ROI_Sel" localSheetId="6">#REF!</definedName>
    <definedName name="ROI_Sel">#REF!</definedName>
    <definedName name="Rubber_and_Rubber_products__Mfg_Segment_">'Industry Margin - Mfg'!$D$63:$DL$63</definedName>
    <definedName name="Rubber_and_Rubber_products_Service_Segment" localSheetId="4">'[1]industry margin - service'!#REF!</definedName>
    <definedName name="Rubber_and_Rubber_products_Service_Segment" localSheetId="6">'[1]industry margin - service'!#REF!</definedName>
    <definedName name="Rubber_and_Rubber_products_Service_Segment">'Industry Margin - Service'!#REF!</definedName>
    <definedName name="Rubber_and_Rubber_products_Trading_Segment">'Industry Margin - Trading'!$C$48:$AF$48</definedName>
    <definedName name="Rubber_Natural_M">'Industry Margin - Mfg'!$C$63</definedName>
    <definedName name="Rubber_Natural_Services_Industry" localSheetId="4">'[1]industry margin - service'!#REF!</definedName>
    <definedName name="Rubber_Natural_Services_Industry" localSheetId="6">'[1]industry margin - service'!#REF!</definedName>
    <definedName name="Rubber_Natural_Services_Industry">'Industry Margin - Service'!#REF!</definedName>
    <definedName name="Rubber_Natural_Trading">'Industry Margin - Trading'!$B$48</definedName>
    <definedName name="Safety_Prodycts__Mfg_Segment_" localSheetId="4">'[1]industry margin - mfg'!#REF!</definedName>
    <definedName name="Safety_Prodycts__Mfg_Segment_" localSheetId="6">'[1]industry margin - mfg'!#REF!</definedName>
    <definedName name="Safety_Prodycts__Mfg_Segment_">'Industry Margin - Mfg'!#REF!</definedName>
    <definedName name="Safety_Prodycts_Service_Segment" localSheetId="4">'[1]industry margin - service'!#REF!</definedName>
    <definedName name="Safety_Prodycts_Service_Segment" localSheetId="6">'[1]industry margin - service'!#REF!</definedName>
    <definedName name="Safety_Prodycts_Service_Segment">'Industry Margin - Service'!#REF!</definedName>
    <definedName name="Safety_Prodycts_Trading_Segment" localSheetId="4">'[1]industry margin - trading'!#REF!</definedName>
    <definedName name="Safety_Prodycts_Trading_Segment" localSheetId="6">'[1]industry margin - trading'!#REF!</definedName>
    <definedName name="Safety_Prodycts_Trading_Segment">'Industry Margin - Trading'!#REF!</definedName>
    <definedName name="SalesGrowthTaken" localSheetId="6">#REF!</definedName>
    <definedName name="SalesGrowthTaken">#REF!</definedName>
    <definedName name="Sched_Pay" localSheetId="6">#REF!</definedName>
    <definedName name="Sched_Pay">#REF!</definedName>
    <definedName name="Scheduled_Extra_Payments" localSheetId="6">#REF!</definedName>
    <definedName name="Scheduled_Extra_Payments">#REF!</definedName>
    <definedName name="Scheduled_Interest_Rate" localSheetId="6">#REF!</definedName>
    <definedName name="Scheduled_Interest_Rate">#REF!</definedName>
    <definedName name="Scheduled_Monthly_Payment" localSheetId="6">#REF!</definedName>
    <definedName name="Scheduled_Monthly_Payment">#REF!</definedName>
    <definedName name="sd" localSheetId="6">#REF!</definedName>
    <definedName name="sd">#REF!</definedName>
    <definedName name="Season" localSheetId="6">#REF!</definedName>
    <definedName name="Season">#REF!</definedName>
    <definedName name="Seed_Related__Mfg_Segment_">'Industry Margin - Mfg'!$D$6:$DL$6</definedName>
    <definedName name="Seed_Related_Service_Segment" localSheetId="4">'[1]industry margin - service'!#REF!</definedName>
    <definedName name="Seed_Related_Service_Segment" localSheetId="6">'[1]industry margin - service'!#REF!</definedName>
    <definedName name="Seed_Related_Service_Segment">'Industry Margin - Service'!#REF!</definedName>
    <definedName name="Seed_Related_Trading_Segment">'Industry Margin - Trading'!$C$5:$AF$5</definedName>
    <definedName name="segment" localSheetId="6">#REF!</definedName>
    <definedName name="Segment" localSheetId="2">'[2]Industry Margin'!$B$2:$B$193</definedName>
    <definedName name="segment">#REF!</definedName>
    <definedName name="Segment_Sel" localSheetId="6">#REF!</definedName>
    <definedName name="Segment_Sel">#REF!</definedName>
    <definedName name="SelfSA">'[3]hdfc life'!$N$13</definedName>
    <definedName name="Service">'Industry Margin - Service'!$A$2:$A$39</definedName>
    <definedName name="Sign_Proof" localSheetId="6">OFFSET(#REF!,0,0,COUNTA(#REF!),1)</definedName>
    <definedName name="Sign_Proof">OFFSET(#REF!,0,0,COUNTA(#REF!),1)</definedName>
    <definedName name="Silk__PSF__VSF__nylon_Service_Segment" localSheetId="4">'[1]industry margin - service'!#REF!</definedName>
    <definedName name="Silk__PSF__VSF__nylon_Service_Segment" localSheetId="6">'[1]industry margin - service'!#REF!</definedName>
    <definedName name="Silk__PSF__VSF__nylon_Service_Segment">'Industry Margin - Service'!#REF!</definedName>
    <definedName name="Silk_PSF_VSF_nylon__Mfg_Segment_">'Industry Margin - Mfg'!$D$76:$DL$76</definedName>
    <definedName name="Silk_PSF_VSF_nylon_Trading_Segment" localSheetId="4">'[1]industry margin - trading'!#REF!</definedName>
    <definedName name="Silk_PSF_VSF_nylon_Trading_Segment" localSheetId="6">'[1]industry margin - trading'!#REF!</definedName>
    <definedName name="Silk_PSF_VSF_nylon_Trading_Segment">'Industry Margin - Trading'!#REF!</definedName>
    <definedName name="Soaps_and_Detergents_M">'Industry Margin - Mfg'!$C$64:$C$64</definedName>
    <definedName name="Soaps_and_Detergents_Services_Industry" localSheetId="4">'[1]industry margin - service'!#REF!</definedName>
    <definedName name="Soaps_and_Detergents_Services_Industry" localSheetId="6">'[1]industry margin - service'!#REF!</definedName>
    <definedName name="Soaps_and_Detergents_Services_Industry">'Industry Margin - Service'!#REF!</definedName>
    <definedName name="Soaps_and_Detergents_Trading">'Industry Margin - Trading'!$B$49:$B$49</definedName>
    <definedName name="Soft_drinks__bottled_water__Non_alcoholic_beverages_Service_Segment" localSheetId="4">'[1]industry margin - service'!#REF!</definedName>
    <definedName name="Soft_drinks__bottled_water__Non_alcoholic_beverages_Service_Segment" localSheetId="6">'[1]industry margin - service'!#REF!</definedName>
    <definedName name="Soft_drinks__bottled_water__Non_alcoholic_beverages_Service_Segment">'Industry Margin - Service'!#REF!</definedName>
    <definedName name="Soft_drinks_bottled_water_Non_alcoholic_beverages__Mfg_Segment_">'Industry Margin - Mfg'!$D$23:$DL$23</definedName>
    <definedName name="Soft_drinks_bottled_water_Non_alcoholic_beverages_Trading_Segment" localSheetId="4">'[1]industry margin - trading'!#REF!</definedName>
    <definedName name="Soft_drinks_bottled_water_Non_alcoholic_beverages_Trading_Segment" localSheetId="6">'[1]industry margin - trading'!#REF!</definedName>
    <definedName name="Soft_drinks_bottled_water_Non_alcoholic_beverages_Trading_Segment">'Industry Margin - Trading'!#REF!</definedName>
    <definedName name="SORP" localSheetId="6">#REF!</definedName>
    <definedName name="SORP" localSheetId="2">[4]Sheet1!$L$16:$L$22</definedName>
    <definedName name="SORP">#REF!</definedName>
    <definedName name="Speciality_M">'Industry Margin - Mfg'!$C$65:$C$66</definedName>
    <definedName name="Speciality_Services_Industry" localSheetId="4">'[1]industry margin - service'!#REF!</definedName>
    <definedName name="Speciality_Services_Industry" localSheetId="6">'[1]industry margin - service'!#REF!</definedName>
    <definedName name="Speciality_Services_Industry">'Industry Margin - Service'!#REF!</definedName>
    <definedName name="Speciality_Trading">'Industry Margin - Trading'!$B$50:$B$52</definedName>
    <definedName name="Spices_and_Grams__Mfg_Segment_">'Industry Margin - Mfg'!$D$3:$DL$3</definedName>
    <definedName name="Spices_and_Grams_Service_Segment" localSheetId="4">'[1]industry margin - service'!#REF!</definedName>
    <definedName name="Spices_and_Grams_Service_Segment" localSheetId="6">'[1]industry margin - service'!#REF!</definedName>
    <definedName name="Spices_and_Grams_Service_Segment">'Industry Margin - Service'!#REF!</definedName>
    <definedName name="Spices_and_Grams_Trading_Segment">'Industry Margin - Trading'!$C$2:$AF$2</definedName>
    <definedName name="Sports_Goods__Sports_Academy_Service_Segment" localSheetId="4">'[1]industry margin - service'!#REF!</definedName>
    <definedName name="Sports_Goods__Sports_Academy_Service_Segment" localSheetId="6">'[1]industry margin - service'!#REF!</definedName>
    <definedName name="Sports_Goods__Sports_Academy_Service_Segment">'Industry Margin - Service'!#REF!</definedName>
    <definedName name="Sports_Goods_Sports_Academy__Mfg_Segment_">'Industry Margin - Mfg'!$D$65:$DL$65</definedName>
    <definedName name="Sports_Goods_Sports_Academy_Trading_Segment">'Industry Margin - Trading'!$C$50:$AF$50</definedName>
    <definedName name="Status" localSheetId="3">[9]Sheet2!$I$7:$I$11</definedName>
    <definedName name="Status" localSheetId="4">'[1]Existing Loans'!$AF$17:$AF$21</definedName>
    <definedName name="Status" localSheetId="6">'[1]Existing Loans'!$AF$17:$AF$21</definedName>
    <definedName name="Status" localSheetId="2">'[2]Existing Loans'!$AF$15:$AF$19</definedName>
    <definedName name="Status">'Existing Loans'!$AF$17:$AF$21</definedName>
    <definedName name="Storage_Batteries__Mfg_Segment_" localSheetId="4">'[1]industry margin - mfg'!#REF!</definedName>
    <definedName name="Storage_Batteries__Mfg_Segment_" localSheetId="6">'[1]industry margin - mfg'!#REF!</definedName>
    <definedName name="Storage_Batteries__Mfg_Segment_">'Industry Margin - Mfg'!#REF!</definedName>
    <definedName name="Storage_Batteries_Service_Segment" localSheetId="4">'[1]industry margin - service'!#REF!</definedName>
    <definedName name="Storage_Batteries_Service_Segment" localSheetId="6">'[1]industry margin - service'!#REF!</definedName>
    <definedName name="Storage_Batteries_Service_Segment">'Industry Margin - Service'!#REF!</definedName>
    <definedName name="Storage_Batteries_Trading_Segment">'Industry Margin - Trading'!$C$7:$AF$7</definedName>
    <definedName name="Structurals__Mfg_Segment_" localSheetId="4">'[1]industry margin - mfg'!#REF!</definedName>
    <definedName name="Structurals__Mfg_Segment_" localSheetId="6">'[1]industry margin - mfg'!#REF!</definedName>
    <definedName name="Structurals__Mfg_Segment_">'Industry Margin - Mfg'!#REF!</definedName>
    <definedName name="Structurals_Service_Segment">'Industry Margin - Service'!$C$9:$AP$9</definedName>
    <definedName name="Structurals_Trading_Segment" localSheetId="4">'[1]industry margin - trading'!#REF!</definedName>
    <definedName name="Structurals_Trading_Segment" localSheetId="6">'[1]industry margin - trading'!#REF!</definedName>
    <definedName name="Structurals_Trading_Segment">'Industry Margin - Trading'!#REF!</definedName>
    <definedName name="Sugar__Mfg_Segment_">'Industry Margin - Mfg'!$D$67:$DL$67</definedName>
    <definedName name="Sugar_M">'Industry Margin - Mfg'!$C$67</definedName>
    <definedName name="Sugar_Service_Segment" localSheetId="4">'[1]industry margin - service'!#REF!</definedName>
    <definedName name="Sugar_Service_Segment" localSheetId="6">'[1]industry margin - service'!#REF!</definedName>
    <definedName name="Sugar_Service_Segment">'Industry Margin - Service'!#REF!</definedName>
    <definedName name="Sugar_Services_Industry" localSheetId="4">'[1]industry margin - service'!#REF!</definedName>
    <definedName name="Sugar_Services_Industry" localSheetId="6">'[1]industry margin - service'!#REF!</definedName>
    <definedName name="Sugar_Services_Industry">'Industry Margin - Service'!#REF!</definedName>
    <definedName name="Sugar_Trading">'Industry Margin - Trading'!$B$53</definedName>
    <definedName name="Sugar_Trading_Segment">'Industry Margin - Trading'!$C$53:$AF$53</definedName>
    <definedName name="SumAssured" localSheetId="6">'[3]hdfc life'!#REF!</definedName>
    <definedName name="SumAssured">'[3]hdfc life'!#REF!</definedName>
    <definedName name="Switching_Appratus__Mfg_Segment_">'Industry Margin - Mfg'!$D$34:$DL$34</definedName>
    <definedName name="Switching_Appratus_Service_Segment" localSheetId="4">'[1]industry margin - service'!#REF!</definedName>
    <definedName name="Switching_Appratus_Service_Segment" localSheetId="6">'[1]industry margin - service'!#REF!</definedName>
    <definedName name="Switching_Appratus_Service_Segment">'Industry Margin - Service'!#REF!</definedName>
    <definedName name="Switching_Appratus_Trading_Segment" localSheetId="4">'[1]industry margin - trading'!#REF!</definedName>
    <definedName name="Switching_Appratus_Trading_Segment" localSheetId="6">'[1]industry margin - trading'!#REF!</definedName>
    <definedName name="Switching_Appratus_Trading_Segment">'Industry Margin - Trading'!#REF!</definedName>
    <definedName name="Tax_and_Audit__Architects_Service_Segment">'Industry Margin - Service'!$C$35:$AP$35</definedName>
    <definedName name="Tax_and_Audit_Architects__Mfg_Segment_" localSheetId="4">'[1]industry margin - mfg'!#REF!</definedName>
    <definedName name="Tax_and_Audit_Architects__Mfg_Segment_" localSheetId="6">'[1]industry margin - mfg'!#REF!</definedName>
    <definedName name="Tax_and_Audit_Architects__Mfg_Segment_">'Industry Margin - Mfg'!#REF!</definedName>
    <definedName name="Tax_and_Audit_Architects_Trading_Segment" localSheetId="4">'[1]industry margin - trading'!#REF!</definedName>
    <definedName name="Tax_and_Audit_Architects_Trading_Segment" localSheetId="6">'[1]industry margin - trading'!#REF!</definedName>
    <definedName name="Tax_and_Audit_Architects_Trading_Segment">'Industry Margin - Trading'!#REF!</definedName>
    <definedName name="Taxi___Car_Rental_Trading_Segment" localSheetId="4">'[1]industry margin - trading'!#REF!</definedName>
    <definedName name="Taxi___Car_Rental_Trading_Segment" localSheetId="6">'[1]industry margin - trading'!#REF!</definedName>
    <definedName name="Taxi___Car_Rental_Trading_Segment">'Industry Margin - Trading'!#REF!</definedName>
    <definedName name="Taxi_or_Car_Rental__Mfg_Segment_" localSheetId="4">'[1]industry margin - mfg'!#REF!</definedName>
    <definedName name="Taxi_or_Car_Rental__Mfg_Segment_" localSheetId="6">'[1]industry margin - mfg'!#REF!</definedName>
    <definedName name="Taxi_or_Car_Rental__Mfg_Segment_">'Industry Margin - Mfg'!#REF!</definedName>
    <definedName name="Taxi_or_Car_Rental_Service_Segment">'Industry Margin - Service'!$C$39:$AP$39</definedName>
    <definedName name="Tea__Mfg_Segment_">'Industry Margin - Mfg'!$D$68:$DL$68</definedName>
    <definedName name="Tea_M">'Industry Margin - Mfg'!$C$68</definedName>
    <definedName name="Tea_Service_Segment" localSheetId="4">'[1]industry margin - service'!#REF!</definedName>
    <definedName name="Tea_Service_Segment" localSheetId="6">'[1]industry margin - service'!#REF!</definedName>
    <definedName name="Tea_Service_Segment">'Industry Margin - Service'!#REF!</definedName>
    <definedName name="Tea_Services_Industry" localSheetId="4">'[1]industry margin - service'!#REF!</definedName>
    <definedName name="Tea_Services_Industry" localSheetId="6">'[1]industry margin - service'!#REF!</definedName>
    <definedName name="Tea_Services_Industry">'Industry Margin - Service'!#REF!</definedName>
    <definedName name="Tea_Trading">'Industry Margin - Trading'!$B$54</definedName>
    <definedName name="Tea_Trading_Segment">'Industry Margin - Trading'!$C$54:$AF$54</definedName>
    <definedName name="Technical_Consultancy_and_Engg_services__IT_consulting__salaried_employees__doctors__only_rental_income_Service_Segment">'Industry Margin - Service'!$C$33:$AP$33</definedName>
    <definedName name="Technical_Consultancy_and_Engg_services_IT_consulting_salaried_employees_doctors_only_rental_income__Mfg_Segment_" localSheetId="4">'[1]industry margin - mfg'!#REF!</definedName>
    <definedName name="Technical_Consultancy_and_Engg_services_IT_consulting_salaried_employees_doctors_only_rental_income__Mfg_Segment_" localSheetId="6">'[1]industry margin - mfg'!#REF!</definedName>
    <definedName name="Technical_Consultancy_and_Engg_services_IT_consulting_salaried_employees_doctors_only_rental_income__Mfg_Segment_">'Industry Margin - Mfg'!#REF!</definedName>
    <definedName name="Technical_Consultancy_and_Engg_services_IT_consulting_salaried_employees_doctors_only_rental_income_Trading_Segment" localSheetId="4">'[1]industry margin - trading'!#REF!</definedName>
    <definedName name="Technical_Consultancy_and_Engg_services_IT_consulting_salaried_employees_doctors_only_rental_income_Trading_Segment" localSheetId="6">'[1]industry margin - trading'!#REF!</definedName>
    <definedName name="Technical_Consultancy_and_Engg_services_IT_consulting_salaried_employees_doctors_only_rental_income_Trading_Segment">'Industry Margin - Trading'!#REF!</definedName>
    <definedName name="Telecom_and_Telecom_Products_M" localSheetId="4">'[1]industry margin - mfg'!#REF!</definedName>
    <definedName name="Telecom_and_Telecom_Products_M" localSheetId="6">'[1]industry margin - mfg'!#REF!</definedName>
    <definedName name="Telecom_and_Telecom_Products_M">'Industry Margin - Mfg'!#REF!</definedName>
    <definedName name="Telecom_and_Telecom_Products_Services_Industry">'Industry Margin - Service'!$B$38</definedName>
    <definedName name="Telecom_and_Telecom_Products_Trading">'Industry Margin - Trading'!$B$55</definedName>
    <definedName name="Tenor_Sel" localSheetId="6">#REF!</definedName>
    <definedName name="Tenor_Sel">#REF!</definedName>
    <definedName name="Term">'[3]hdfc life'!$D$23</definedName>
    <definedName name="Textile_Fabric_M">'Industry Margin - Mfg'!$C$73</definedName>
    <definedName name="Textile_Fabric_Services_Industry" localSheetId="4">'[1]industry margin - service'!#REF!</definedName>
    <definedName name="Textile_Fabric_Services_Industry" localSheetId="6">'[1]industry margin - service'!#REF!</definedName>
    <definedName name="Textile_Fabric_Services_Industry">'Industry Margin - Service'!#REF!</definedName>
    <definedName name="Textile_Fabric_Trading">'Industry Margin - Trading'!$B$58</definedName>
    <definedName name="Textile_Furnishing_M">'Industry Margin - Mfg'!$C$70</definedName>
    <definedName name="Textile_Furnishing_Services_Industry" localSheetId="4">'[1]industry margin - service'!#REF!</definedName>
    <definedName name="Textile_Furnishing_Services_Industry" localSheetId="6">'[1]industry margin - service'!#REF!</definedName>
    <definedName name="Textile_Furnishing_Services_Industry">'Industry Margin - Service'!#REF!</definedName>
    <definedName name="Textile_Furnishing_Trading" localSheetId="4">'[1]industry margin - trading'!#REF!</definedName>
    <definedName name="Textile_Furnishing_Trading" localSheetId="6">'[1]industry margin - trading'!#REF!</definedName>
    <definedName name="Textile_Furnishing_Trading">'Industry Margin - Trading'!#REF!</definedName>
    <definedName name="Textile_Garments_and_Apparels_M">'Industry Margin - Mfg'!$C$72</definedName>
    <definedName name="Textile_Garments_and_Apparels_Services_Industry" localSheetId="4">'[1]industry margin - service'!#REF!</definedName>
    <definedName name="Textile_Garments_and_Apparels_Services_Industry" localSheetId="6">'[1]industry margin - service'!#REF!</definedName>
    <definedName name="Textile_Garments_and_Apparels_Services_Industry">'Industry Margin - Service'!#REF!</definedName>
    <definedName name="Textile_Garments_and_Apparels_Trading">'Industry Margin - Trading'!$B$57</definedName>
    <definedName name="Textile_Ginning_M">'Industry Margin - Mfg'!$C$74</definedName>
    <definedName name="Textile_Ginning_Services_Industry" localSheetId="4">'[1]industry margin - service'!#REF!</definedName>
    <definedName name="Textile_Ginning_Services_Industry" localSheetId="6">'[1]industry margin - service'!#REF!</definedName>
    <definedName name="Textile_Ginning_Services_Industry">'Industry Margin - Service'!#REF!</definedName>
    <definedName name="Textile_Ginning_Trading" localSheetId="4">'[1]industry margin - trading'!#REF!</definedName>
    <definedName name="Textile_Ginning_Trading" localSheetId="6">'[1]industry margin - trading'!#REF!</definedName>
    <definedName name="Textile_Ginning_Trading">'Industry Margin - Trading'!#REF!</definedName>
    <definedName name="Textile_machinery__Mfg_Segment_">'Industry Margin - Mfg'!$D$69:$DL$69</definedName>
    <definedName name="Textile_Machinery_M">'Industry Margin - Mfg'!$C$69</definedName>
    <definedName name="Textile_machinery_Service_Segment" localSheetId="4">'[1]industry margin - service'!#REF!</definedName>
    <definedName name="Textile_machinery_Service_Segment" localSheetId="6">'[1]industry margin - service'!#REF!</definedName>
    <definedName name="Textile_machinery_Service_Segment">'Industry Margin - Service'!#REF!</definedName>
    <definedName name="Textile_Machinery_Services_Industry" localSheetId="4">'[1]industry margin - service'!#REF!</definedName>
    <definedName name="Textile_Machinery_Services_Industry" localSheetId="6">'[1]industry margin - service'!#REF!</definedName>
    <definedName name="Textile_Machinery_Services_Industry">'Industry Margin - Service'!#REF!</definedName>
    <definedName name="Textile_Machinery_Trading" localSheetId="4">'[1]industry margin - trading'!#REF!</definedName>
    <definedName name="Textile_Machinery_Trading" localSheetId="6">'[1]industry margin - trading'!#REF!</definedName>
    <definedName name="Textile_Machinery_Trading">'Industry Margin - Trading'!#REF!</definedName>
    <definedName name="Textile_machinery_Trading_Segment" localSheetId="4">'[1]industry margin - trading'!#REF!</definedName>
    <definedName name="Textile_machinery_Trading_Segment" localSheetId="6">'[1]industry margin - trading'!#REF!</definedName>
    <definedName name="Textile_machinery_Trading_Segment">'Industry Margin - Trading'!#REF!</definedName>
    <definedName name="Textile_other_than_mentioned_above__Mfg_Segment_">'Industry Margin - Mfg'!$D$75:$DL$75</definedName>
    <definedName name="Textile_other_than_mentioned_above_Service_Segment" localSheetId="4">'[1]industry margin - service'!#REF!</definedName>
    <definedName name="Textile_other_than_mentioned_above_Service_Segment" localSheetId="6">'[1]industry margin - service'!#REF!</definedName>
    <definedName name="Textile_other_than_mentioned_above_Service_Segment">'Industry Margin - Service'!#REF!</definedName>
    <definedName name="Textile_other_than_mentioned_above_Trading_Segment">'Industry Margin - Trading'!$C$59:$AF$59</definedName>
    <definedName name="Textile_Others_M">'Industry Margin - Mfg'!$C$75</definedName>
    <definedName name="Textile_Others_Services_Industry" localSheetId="4">'[1]industry margin - service'!#REF!</definedName>
    <definedName name="Textile_Others_Services_Industry" localSheetId="6">'[1]industry margin - service'!#REF!</definedName>
    <definedName name="Textile_Others_Services_Industry">'Industry Margin - Service'!#REF!</definedName>
    <definedName name="Textile_Others_Trading">'Industry Margin - Trading'!$B$59</definedName>
    <definedName name="Textile_Processing_M" localSheetId="4">'[1]industry margin - mfg'!#REF!</definedName>
    <definedName name="Textile_Processing_M" localSheetId="6">'[1]industry margin - mfg'!#REF!</definedName>
    <definedName name="Textile_Processing_M">'Industry Margin - Mfg'!#REF!</definedName>
    <definedName name="Textile_Processing_Services_Industry" localSheetId="4">'[1]industry margin - service'!#REF!</definedName>
    <definedName name="Textile_Processing_Services_Industry" localSheetId="6">'[1]industry margin - service'!#REF!</definedName>
    <definedName name="Textile_Processing_Services_Industry">'Industry Margin - Service'!#REF!</definedName>
    <definedName name="Textile_Processing_Trading" localSheetId="4">'[1]industry margin - trading'!#REF!</definedName>
    <definedName name="Textile_Processing_Trading" localSheetId="6">'[1]industry margin - trading'!#REF!</definedName>
    <definedName name="Textile_Processing_Trading">'Industry Margin - Trading'!#REF!</definedName>
    <definedName name="Textile_Synthetic_M">'Industry Margin - Mfg'!$C$76:$C$77</definedName>
    <definedName name="Textile_Synthetic_Services_Industry" localSheetId="4">'[1]industry margin - service'!#REF!</definedName>
    <definedName name="Textile_Synthetic_Services_Industry" localSheetId="6">'[1]industry margin - service'!#REF!</definedName>
    <definedName name="Textile_Synthetic_Services_Industry">'Industry Margin - Service'!#REF!</definedName>
    <definedName name="Textile_Synthetic_Trading" localSheetId="4">'[1]industry margin - trading'!#REF!</definedName>
    <definedName name="Textile_Synthetic_Trading" localSheetId="6">'[1]industry margin - trading'!#REF!</definedName>
    <definedName name="Textile_Synthetic_Trading">'Industry Margin - Trading'!#REF!</definedName>
    <definedName name="Textile_Yarn_M">'Industry Margin - Mfg'!$C$71</definedName>
    <definedName name="Textile_Yarn_Services_Industry" localSheetId="4">'[1]industry margin - service'!#REF!</definedName>
    <definedName name="Textile_Yarn_Services_Industry" localSheetId="6">'[1]industry margin - service'!#REF!</definedName>
    <definedName name="Textile_Yarn_Services_Industry">'Industry Margin - Service'!#REF!</definedName>
    <definedName name="Textile_Yarn_Trading">'Industry Margin - Trading'!$B$56</definedName>
    <definedName name="Textiles__Blended_Yarn_Service_Segment" localSheetId="4">'[1]industry margin - service'!#REF!</definedName>
    <definedName name="Textiles__Blended_Yarn_Service_Segment" localSheetId="6">'[1]industry margin - service'!#REF!</definedName>
    <definedName name="Textiles__Blended_Yarn_Service_Segment">'Industry Margin - Service'!#REF!</definedName>
    <definedName name="Textiles_Blended_Yarn__Mfg_Segment_">'Industry Margin - Mfg'!$D$71:$DL$71</definedName>
    <definedName name="Textiles_Blended_Yarn_Trading_Segment">'Industry Margin - Trading'!$C$56:$AF$56</definedName>
    <definedName name="Ticketing_and_Taxi_Services__Mfg_Segment_" localSheetId="4">'[1]industry margin - mfg'!#REF!</definedName>
    <definedName name="Ticketing_and_Taxi_Services__Mfg_Segment_" localSheetId="6">'[1]industry margin - mfg'!#REF!</definedName>
    <definedName name="Ticketing_and_Taxi_Services__Mfg_Segment_">'Industry Margin - Mfg'!#REF!</definedName>
    <definedName name="Ticketing_and_Taxi_Services_Service_Segment" localSheetId="4">'[1]industry margin - service'!#REF!</definedName>
    <definedName name="Ticketing_and_Taxi_Services_Service_Segment" localSheetId="6">'[1]industry margin - service'!#REF!</definedName>
    <definedName name="Ticketing_and_Taxi_Services_Service_Segment">'Industry Margin - Service'!#REF!</definedName>
    <definedName name="Ticketing_and_Taxi_Services_Trading_Segment" localSheetId="4">'[1]industry margin - trading'!#REF!</definedName>
    <definedName name="Ticketing_and_Taxi_Services_Trading_Segment" localSheetId="6">'[1]industry margin - trading'!#REF!</definedName>
    <definedName name="Ticketing_and_Taxi_Services_Trading_Segment">'Industry Margin - Trading'!#REF!</definedName>
    <definedName name="Tiles_Ceramic_or_Building_Construction_Material_M">'Industry Margin - Mfg'!$C$78:$C$79</definedName>
    <definedName name="Tiles_Ceramic_or_Building_Construction_Material_Services_Industry" localSheetId="4">'[1]industry margin - service'!#REF!</definedName>
    <definedName name="Tiles_Ceramic_or_Building_Construction_Material_Services_Industry" localSheetId="6">'[1]industry margin - service'!#REF!</definedName>
    <definedName name="Tiles_Ceramic_or_Building_Construction_Material_Services_Industry">'Industry Margin - Service'!#REF!</definedName>
    <definedName name="Tiles_Ceramic_or_Building_Construction_Material_Trading">'Industry Margin - Trading'!$B$60:$B$61</definedName>
    <definedName name="Timber_and_Timber_Products_M">'Industry Margin - Mfg'!$C$80</definedName>
    <definedName name="Timber_and_Timber_Products_Services_Industry" localSheetId="4">'[1]industry margin - service'!#REF!</definedName>
    <definedName name="Timber_and_Timber_Products_Services_Industry" localSheetId="6">'[1]industry margin - service'!#REF!</definedName>
    <definedName name="Timber_and_Timber_Products_Services_Industry">'Industry Margin - Service'!#REF!</definedName>
    <definedName name="Timber_and_Timber_Products_Trading">'Industry Margin - Trading'!$B$62</definedName>
    <definedName name="Title" localSheetId="6">OFFSET(#REF!,0,0,COUNTA(#REF!),1)</definedName>
    <definedName name="Title">OFFSET(#REF!,0,0,COUNTA(#REF!),1)</definedName>
    <definedName name="Tobacco_M">'Industry Margin - Mfg'!$C$81</definedName>
    <definedName name="Tobacco_Products__Mfg_Segment_">'Industry Margin - Mfg'!$D$81:$DL$81</definedName>
    <definedName name="Tobacco_Products_Service_Segment" localSheetId="4">'[1]industry margin - service'!#REF!</definedName>
    <definedName name="Tobacco_Products_Service_Segment" localSheetId="6">'[1]industry margin - service'!#REF!</definedName>
    <definedName name="Tobacco_Products_Service_Segment">'Industry Margin - Service'!#REF!</definedName>
    <definedName name="Tobacco_Products_Trading_Segment">'Industry Margin - Trading'!$C$63:$AF$63</definedName>
    <definedName name="Tobacco_Services_Industry" localSheetId="4">'[1]industry margin - service'!#REF!</definedName>
    <definedName name="Tobacco_Services_Industry" localSheetId="6">'[1]industry margin - service'!#REF!</definedName>
    <definedName name="Tobacco_Services_Industry">'Industry Margin - Service'!#REF!</definedName>
    <definedName name="Tobacco_Trading">'Industry Margin - Trading'!$B$63</definedName>
    <definedName name="Total_Interest" localSheetId="6">#REF!</definedName>
    <definedName name="Total_Interest">#REF!</definedName>
    <definedName name="Total_Pay" localSheetId="6">#REF!</definedName>
    <definedName name="Total_Pay">#REF!</definedName>
    <definedName name="Total_Payment" localSheetId="6">scheduled_payment+extra_payment</definedName>
    <definedName name="Total_Payment">scheduled_payment+extra_payment</definedName>
    <definedName name="Tours_and_Travels_M" localSheetId="4">'[1]industry margin - mfg'!#REF!</definedName>
    <definedName name="Tours_and_Travels_M" localSheetId="6">'[1]industry margin - mfg'!#REF!</definedName>
    <definedName name="Tours_and_Travels_M">'Industry Margin - Mfg'!#REF!</definedName>
    <definedName name="Tours_and_Travels_Services_Industry">'Industry Margin - Service'!$B$39:$B$39</definedName>
    <definedName name="Tours_and_Travels_Trading" localSheetId="4">'[1]industry margin - trading'!#REF!</definedName>
    <definedName name="Tours_and_Travels_Trading" localSheetId="6">'[1]industry margin - trading'!#REF!</definedName>
    <definedName name="Tours_and_Travels_Trading">'Industry Margin - Trading'!#REF!</definedName>
    <definedName name="Tractors__Mfg_Segment_">'Industry Margin - Mfg'!$D$82:$DL$82</definedName>
    <definedName name="Tractors_M">'Industry Margin - Mfg'!$C$82</definedName>
    <definedName name="Tractors_Service_Segment" localSheetId="4">'[1]industry margin - service'!#REF!</definedName>
    <definedName name="Tractors_Service_Segment" localSheetId="6">'[1]industry margin - service'!#REF!</definedName>
    <definedName name="Tractors_Service_Segment">'Industry Margin - Service'!#REF!</definedName>
    <definedName name="Tractors_Services_Industry" localSheetId="4">'[1]industry margin - service'!#REF!</definedName>
    <definedName name="Tractors_Services_Industry" localSheetId="6">'[1]industry margin - service'!#REF!</definedName>
    <definedName name="Tractors_Services_Industry">'Industry Margin - Service'!#REF!</definedName>
    <definedName name="Tractors_Trading">'Industry Margin - Trading'!$B$64</definedName>
    <definedName name="Tractors_Trading_Segment">'Industry Margin - Trading'!$C$64:$AF$64</definedName>
    <definedName name="Trading">'Industry Margin - Trading'!$A$2:$A$65</definedName>
    <definedName name="Transformers__Mfg_Segment_">'Industry Margin - Mfg'!$D$62:$DL$62</definedName>
    <definedName name="Transformers_Service_Segment" localSheetId="4">'[1]industry margin - service'!#REF!</definedName>
    <definedName name="Transformers_Service_Segment" localSheetId="6">'[1]industry margin - service'!#REF!</definedName>
    <definedName name="Transformers_Service_Segment">'Industry Margin - Service'!#REF!</definedName>
    <definedName name="Transformers_Trading_Segment" localSheetId="4">'[1]industry margin - trading'!#REF!</definedName>
    <definedName name="Transformers_Trading_Segment" localSheetId="6">'[1]industry margin - trading'!#REF!</definedName>
    <definedName name="Transformers_Trading_Segment">'Industry Margin - Trading'!#REF!</definedName>
    <definedName name="Transmission_line_towers_and_equipment__Mfg_Segment_" localSheetId="4">'[1]industry margin - mfg'!#REF!</definedName>
    <definedName name="Transmission_line_towers_and_equipment__Mfg_Segment_" localSheetId="6">'[1]industry margin - mfg'!#REF!</definedName>
    <definedName name="Transmission_line_towers_and_equipment__Mfg_Segment_">'Industry Margin - Mfg'!#REF!</definedName>
    <definedName name="Transmission_line_towers_and_equipment_Service_Segment">'Industry Margin - Service'!$C$31:$AP$31</definedName>
    <definedName name="Transmission_line_towers_and_equipment_Trading_Segment" localSheetId="4">'[1]industry margin - trading'!#REF!</definedName>
    <definedName name="Transmission_line_towers_and_equipment_Trading_Segment" localSheetId="6">'[1]industry margin - trading'!#REF!</definedName>
    <definedName name="Transmission_line_towers_and_equipment_Trading_Segment">'Industry Margin - Trading'!#REF!</definedName>
    <definedName name="Transport_Road_M" localSheetId="4">'[1]industry margin - mfg'!#REF!</definedName>
    <definedName name="Transport_Road_M" localSheetId="6">'[1]industry margin - mfg'!#REF!</definedName>
    <definedName name="Transport_Road_M">'Industry Margin - Mfg'!#REF!</definedName>
    <definedName name="Transport_Road_Services_Industry" localSheetId="4">'[1]industry margin - service'!#REF!</definedName>
    <definedName name="Transport_Road_Services_Industry" localSheetId="6">'[1]industry margin - service'!#REF!</definedName>
    <definedName name="Transport_Road_Services_Industry">'Industry Margin - Service'!#REF!</definedName>
    <definedName name="Transport_Road_Trading" localSheetId="4">'[1]industry margin - trading'!#REF!</definedName>
    <definedName name="Transport_Road_Trading" localSheetId="6">'[1]industry margin - trading'!#REF!</definedName>
    <definedName name="Transport_Road_Trading">'Industry Margin - Trading'!#REF!</definedName>
    <definedName name="Turnkey_Services__Mfg_Segment_" localSheetId="4">'[1]industry margin - mfg'!#REF!</definedName>
    <definedName name="Turnkey_Services__Mfg_Segment_" localSheetId="6">'[1]industry margin - mfg'!#REF!</definedName>
    <definedName name="Turnkey_Services__Mfg_Segment_">'Industry Margin - Mfg'!#REF!</definedName>
    <definedName name="Turnkey_Services_Service_Segment" localSheetId="4">'[1]industry margin - service'!#REF!</definedName>
    <definedName name="Turnkey_Services_Service_Segment" localSheetId="6">'[1]industry margin - service'!#REF!</definedName>
    <definedName name="Turnkey_Services_Service_Segment">'Industry Margin - Service'!#REF!</definedName>
    <definedName name="Turnkey_Services_Trading_Segment" localSheetId="4">'[1]industry margin - trading'!#REF!</definedName>
    <definedName name="Turnkey_Services_Trading_Segment" localSheetId="6">'[1]industry margin - trading'!#REF!</definedName>
    <definedName name="Turnkey_Services_Trading_Segment">'Industry Margin - Trading'!#REF!</definedName>
    <definedName name="Two_wheeler_dealers_and_manufacturers_including_scooters_bikes_etc_Mfg_Segment" localSheetId="4">'[1]industry margin - mfg'!#REF!</definedName>
    <definedName name="Two_wheeler_dealers_and_manufacturers_including_scooters_bikes_etc_Mfg_Segment" localSheetId="6">'[1]industry margin - mfg'!#REF!</definedName>
    <definedName name="Two_wheeler_dealers_and_manufacturers_including_scooters_bikes_etc_Mfg_Segment">'Industry Margin - Mfg'!#REF!</definedName>
    <definedName name="Two_wheeler_dealers_and_manufacturers_including_scooters_bikes_etc_Service_Segment" localSheetId="4">'[1]industry margin - service'!#REF!</definedName>
    <definedName name="Two_wheeler_dealers_and_manufacturers_including_scooters_bikes_etc_Service_Segment" localSheetId="6">'[1]industry margin - service'!#REF!</definedName>
    <definedName name="Two_wheeler_dealers_and_manufacturers_including_scooters_bikes_etc_Service_Segment">'Industry Margin - Service'!#REF!</definedName>
    <definedName name="Two_wheeler_dealers_and_manufacturers_including_scooters_bikes_etc_Trading_Segment">'Industry Margin - Trading'!$C$9:$AF$9</definedName>
    <definedName name="Type" localSheetId="6">#REF!</definedName>
    <definedName name="Type">#REF!</definedName>
    <definedName name="Tyres__Mfg_Segment_">'Industry Margin - Mfg'!$D$83:$DL$83</definedName>
    <definedName name="Tyres_M">'Industry Margin - Mfg'!$C$83</definedName>
    <definedName name="Tyres_Service_Segment" localSheetId="4">'[1]industry margin - service'!#REF!</definedName>
    <definedName name="Tyres_Service_Segment" localSheetId="6">'[1]industry margin - service'!#REF!</definedName>
    <definedName name="Tyres_Service_Segment">'Industry Margin - Service'!#REF!</definedName>
    <definedName name="Tyres_Services_Industry" localSheetId="4">'[1]industry margin - service'!#REF!</definedName>
    <definedName name="Tyres_Services_Industry" localSheetId="6">'[1]industry margin - service'!#REF!</definedName>
    <definedName name="Tyres_Services_Industry">'Industry Margin - Service'!#REF!</definedName>
    <definedName name="Tyres_Trading" localSheetId="4">'[1]industry margin - trading'!#REF!</definedName>
    <definedName name="Tyres_Trading" localSheetId="6">'[1]industry margin - trading'!#REF!</definedName>
    <definedName name="Tyres_Trading">'Industry Margin - Trading'!#REF!</definedName>
    <definedName name="Tyres_Trading_Segment" localSheetId="4">'[1]industry margin - trading'!#REF!</definedName>
    <definedName name="Tyres_Trading_Segment" localSheetId="6">'[1]industry margin - trading'!#REF!</definedName>
    <definedName name="Tyres_Trading_Segment">'Industry Margin - Trading'!#REF!</definedName>
    <definedName name="Unsecured" localSheetId="4">'[1]Existing Loans'!$AF$5:$AF$6</definedName>
    <definedName name="Unsecured" localSheetId="6">'[1]Existing Loans'!$AF$5:$AF$6</definedName>
    <definedName name="Unsecured" localSheetId="2">'[2]Existing Loans'!$AF$9:$AF$10</definedName>
    <definedName name="Unsecured">'Existing Loans'!$AF$5:$AF$6</definedName>
    <definedName name="Values_Entered" localSheetId="6">IF([0]!Loan_Amount*'Fin-2'!Interest_Rate*[0]!Loan_Years*[0]!Loan_Start&gt;0,1,0)</definedName>
    <definedName name="Values_Entered">IF(Loan_Amount*Interest_Rate*Loan_Years*Loan_Start&gt;0,1,0)</definedName>
    <definedName name="Valves__Mfg_Segment_">'Industry Margin - Mfg'!$D$9:$DL$9</definedName>
    <definedName name="Valves_Service_Segment" localSheetId="4">'[1]industry margin - service'!#REF!</definedName>
    <definedName name="Valves_Service_Segment" localSheetId="6">'[1]industry margin - service'!#REF!</definedName>
    <definedName name="Valves_Service_Segment">'Industry Margin - Service'!#REF!</definedName>
    <definedName name="Valves_Trading_Segment">'Industry Margin - Trading'!$C$8:$AF$8</definedName>
    <definedName name="Verifn_Status" localSheetId="6">OFFSET(#REF!,0,0,COUNTA(#REF!),1)</definedName>
    <definedName name="Verifn_Status">OFFSET(#REF!,0,0,COUNTA(#REF!),1)</definedName>
    <definedName name="Warehousing_M" localSheetId="4">'[1]industry margin - mfg'!#REF!</definedName>
    <definedName name="Warehousing_M" localSheetId="6">'[1]industry margin - mfg'!#REF!</definedName>
    <definedName name="Warehousing_M">'Industry Margin - Mfg'!#REF!</definedName>
    <definedName name="Warehousing_Services_Industry" localSheetId="4">'[1]industry margin - service'!#REF!</definedName>
    <definedName name="Warehousing_Services_Industry" localSheetId="6">'[1]industry margin - service'!#REF!</definedName>
    <definedName name="Warehousing_Services_Industry">'Industry Margin - Service'!#REF!</definedName>
    <definedName name="Warehousing_Trading" localSheetId="4">'[1]industry margin - trading'!#REF!</definedName>
    <definedName name="Warehousing_Trading" localSheetId="6">'[1]industry margin - trading'!#REF!</definedName>
    <definedName name="Warehousing_Trading">'Industry Margin - Trading'!#REF!</definedName>
    <definedName name="Watches_M">'Industry Margin - Mfg'!$C$84</definedName>
    <definedName name="Watches_Services_Industry" localSheetId="4">'[1]industry margin - service'!#REF!</definedName>
    <definedName name="Watches_Services_Industry" localSheetId="6">'[1]industry margin - service'!#REF!</definedName>
    <definedName name="Watches_Services_Industry">'Industry Margin - Service'!#REF!</definedName>
    <definedName name="Watches_Trading">'Industry Margin - Trading'!$B$65</definedName>
    <definedName name="Welding_Machinery__Mfg_Segment_" localSheetId="4">'[1]industry margin - mfg'!#REF!</definedName>
    <definedName name="Welding_Machinery__Mfg_Segment_" localSheetId="6">'[1]industry margin - mfg'!#REF!</definedName>
    <definedName name="Welding_Machinery__Mfg_Segment_">'Industry Margin - Mfg'!#REF!</definedName>
    <definedName name="Welding_Machinery_Service_Segment" localSheetId="4">'[1]industry margin - service'!#REF!</definedName>
    <definedName name="Welding_Machinery_Service_Segment" localSheetId="6">'[1]industry margin - service'!#REF!</definedName>
    <definedName name="Welding_Machinery_Service_Segment">'Industry Margin - Service'!#REF!</definedName>
    <definedName name="Welding_Machinery_Trading_Segment" localSheetId="4">'[1]industry margin - trading'!#REF!</definedName>
    <definedName name="Welding_Machinery_Trading_Segment" localSheetId="6">'[1]industry margin - trading'!#REF!</definedName>
    <definedName name="Welding_Machinery_Trading_Segment">'Industry Margin - Trading'!#REF!</definedName>
    <definedName name="Wholesale_of_tea__coffee___cocoa">'Industry Margin - Trading'!$C$14:$AF$14</definedName>
    <definedName name="Wholesales_of_food_products__Mfg_Segment_" localSheetId="4">'[1]industry margin - mfg'!#REF!</definedName>
    <definedName name="Wholesales_of_food_products__Mfg_Segment_" localSheetId="6">'[1]industry margin - mfg'!#REF!</definedName>
    <definedName name="Wholesales_of_food_products__Mfg_Segment_">'Industry Margin - Mfg'!#REF!</definedName>
    <definedName name="Wholesales_of_food_products_Service_Segment" localSheetId="4">'[1]industry margin - service'!#REF!</definedName>
    <definedName name="Wholesales_of_food_products_Service_Segment" localSheetId="6">'[1]industry margin - service'!#REF!</definedName>
    <definedName name="Wholesales_of_food_products_Service_Segment">'Industry Margin - Service'!#REF!</definedName>
    <definedName name="Wholesales_of_food_products_Trading_Segment">'Industry Margin - Trading'!$C$24:$AF$24</definedName>
    <definedName name="With_original_weights" localSheetId="4">#REF!</definedName>
    <definedName name="With_original_weights" localSheetId="6">#REF!</definedName>
    <definedName name="With_original_weights">#REF!</definedName>
    <definedName name="Wood_and_wood_products___including_furnitures_Service_Segment" localSheetId="4">'[1]industry margin - service'!#REF!</definedName>
    <definedName name="Wood_and_wood_products___including_furnitures_Service_Segment" localSheetId="6">'[1]industry margin - service'!#REF!</definedName>
    <definedName name="Wood_and_wood_products___including_furnitures_Service_Segment">'Industry Margin - Service'!#REF!</definedName>
    <definedName name="Wood_and_wood_products__including_furnitures__Mfg_Segment_">'Industry Margin - Mfg'!$D$80:$DL$80</definedName>
    <definedName name="Wood_and_wood_products__including_furnitures_Trading_Segment">'Industry Margin - Trading'!$C$62:$AF$62</definedName>
    <definedName name="Woolen__Mfg_Segment_">'Industry Margin - Mfg'!$D$77:$DL$77</definedName>
    <definedName name="Woolen_Service_Segment" localSheetId="4">'[1]industry margin - service'!#REF!</definedName>
    <definedName name="Woolen_Service_Segment" localSheetId="6">'[1]industry margin - service'!#REF!</definedName>
    <definedName name="Woolen_Service_Segment">'Industry Margin - Service'!#REF!</definedName>
    <definedName name="Woolen_Trading_Segment" localSheetId="4">'[1]industry margin - trading'!#REF!</definedName>
    <definedName name="Woolen_Trading_Segment" localSheetId="6">'[1]industry margin - trading'!#REF!</definedName>
    <definedName name="Woolen_Trading_Segment">'Industry Margin - Trading'!#REF!</definedName>
    <definedName name="wrn.Print._.All.">{"Page1",#N/A,FALSE,"Page 1";"Page2",#N/A,FALSE,"Page 2";"Industry etc.",#N/A,FALSE,"Industry and Country Scores"}</definedName>
    <definedName name="Yes" localSheetId="4">[1]Sheet2!$J$7:$J$8</definedName>
    <definedName name="Yes" localSheetId="6">[1]Sheet2!$J$7:$J$8</definedName>
    <definedName name="Yes">#REF!</definedName>
    <definedName name="YesNoNA" localSheetId="6">#REF!</definedName>
    <definedName name="YesNoNA">#REF!</definedName>
    <definedName name="Zinc__Mfg_Segment_">'Industry Margin - Mfg'!$D$45:$DL$45</definedName>
    <definedName name="Zinc_Service_Segment" localSheetId="4">'[1]industry margin - service'!#REF!</definedName>
    <definedName name="Zinc_Service_Segment" localSheetId="6">'[1]industry margin - service'!#REF!</definedName>
    <definedName name="Zinc_Service_Segment">'Industry Margin - Service'!#REF!</definedName>
    <definedName name="Zinc_Trading_Segment">'Industry Margin - Trading'!$C$37:$AF$37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5" i="6" l="1"/>
  <c r="D22" i="2" l="1"/>
  <c r="C9" i="1" l="1"/>
  <c r="C8" i="1" l="1"/>
  <c r="D17" i="7" l="1"/>
  <c r="C17" i="7"/>
  <c r="A3" i="14" l="1"/>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C17" i="13"/>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X7" i="13"/>
  <c r="D6" i="13" s="1"/>
  <c r="D7" i="13"/>
  <c r="X6" i="13"/>
  <c r="X5" i="13"/>
  <c r="D5" i="13" s="1"/>
  <c r="L49" i="12"/>
  <c r="L50" i="12" s="1"/>
  <c r="L51" i="12" s="1"/>
  <c r="L52" i="12" s="1"/>
  <c r="L53" i="12" s="1"/>
  <c r="L54" i="12" s="1"/>
  <c r="L55" i="12" s="1"/>
  <c r="L56" i="12" s="1"/>
  <c r="L57" i="12" s="1"/>
  <c r="L58" i="12" s="1"/>
  <c r="L59" i="12" s="1"/>
  <c r="L60" i="12" s="1"/>
  <c r="L61" i="12" s="1"/>
  <c r="L62" i="12" s="1"/>
  <c r="L63" i="12" s="1"/>
  <c r="L64" i="12" s="1"/>
  <c r="L65" i="12" s="1"/>
  <c r="L66" i="12" s="1"/>
  <c r="L67" i="12" s="1"/>
  <c r="L68" i="12" s="1"/>
  <c r="L69" i="12" s="1"/>
  <c r="L70" i="12" s="1"/>
  <c r="L71" i="12" s="1"/>
  <c r="L72" i="12" s="1"/>
  <c r="I49" i="12"/>
  <c r="I50" i="12" s="1"/>
  <c r="G42" i="12"/>
  <c r="G43" i="12" s="1"/>
  <c r="G32" i="12"/>
  <c r="B25" i="12"/>
  <c r="F5" i="13" s="1"/>
  <c r="C14" i="12"/>
  <c r="C12" i="12"/>
  <c r="V14" i="13" s="1"/>
  <c r="X135" i="11"/>
  <c r="N135" i="11"/>
  <c r="W135" i="11" s="1"/>
  <c r="M135" i="11"/>
  <c r="L135" i="11"/>
  <c r="X134" i="11"/>
  <c r="N134" i="11"/>
  <c r="W134" i="11" s="1"/>
  <c r="M134" i="11"/>
  <c r="L134" i="11"/>
  <c r="X133" i="11"/>
  <c r="N133" i="11"/>
  <c r="W133" i="11" s="1"/>
  <c r="M133" i="11"/>
  <c r="L133" i="11"/>
  <c r="X132" i="11"/>
  <c r="N132" i="11"/>
  <c r="W132" i="11" s="1"/>
  <c r="M132" i="11"/>
  <c r="L132" i="11"/>
  <c r="X131" i="11"/>
  <c r="N131" i="11"/>
  <c r="W131" i="11" s="1"/>
  <c r="M131" i="11"/>
  <c r="L131" i="11"/>
  <c r="X130" i="11"/>
  <c r="N130" i="11"/>
  <c r="W130" i="11" s="1"/>
  <c r="M130" i="11"/>
  <c r="L130" i="11"/>
  <c r="X129" i="11"/>
  <c r="N129" i="11"/>
  <c r="W129" i="11" s="1"/>
  <c r="M129" i="11"/>
  <c r="L129" i="11"/>
  <c r="X128" i="11"/>
  <c r="N128" i="11"/>
  <c r="W128" i="11" s="1"/>
  <c r="M128" i="11"/>
  <c r="L128" i="11"/>
  <c r="X127" i="11"/>
  <c r="N127" i="11"/>
  <c r="W127" i="11" s="1"/>
  <c r="M127" i="11"/>
  <c r="L127" i="11"/>
  <c r="X126" i="11"/>
  <c r="N126" i="11"/>
  <c r="W126" i="11" s="1"/>
  <c r="M126" i="11"/>
  <c r="L126" i="11"/>
  <c r="X125" i="11"/>
  <c r="N125" i="11"/>
  <c r="W125" i="11" s="1"/>
  <c r="M125" i="11"/>
  <c r="L125" i="11"/>
  <c r="X124" i="11"/>
  <c r="N124" i="11"/>
  <c r="W124" i="11" s="1"/>
  <c r="M124" i="11"/>
  <c r="L124" i="11"/>
  <c r="X123" i="11"/>
  <c r="N123" i="11"/>
  <c r="W123" i="11" s="1"/>
  <c r="M123" i="11"/>
  <c r="L123" i="11"/>
  <c r="X122" i="11"/>
  <c r="N122" i="11"/>
  <c r="W122" i="11" s="1"/>
  <c r="M122" i="11"/>
  <c r="L122" i="11"/>
  <c r="X121" i="11"/>
  <c r="N121" i="11"/>
  <c r="W121" i="11" s="1"/>
  <c r="M121" i="11"/>
  <c r="L121" i="11"/>
  <c r="X120" i="11"/>
  <c r="N120" i="11"/>
  <c r="W120" i="11" s="1"/>
  <c r="M120" i="11"/>
  <c r="L120" i="11"/>
  <c r="X119" i="11"/>
  <c r="N119" i="11"/>
  <c r="W119" i="11" s="1"/>
  <c r="M119" i="11"/>
  <c r="L119" i="11"/>
  <c r="X118" i="11"/>
  <c r="N118" i="11"/>
  <c r="W118" i="11" s="1"/>
  <c r="M118" i="11"/>
  <c r="L118" i="11"/>
  <c r="X117" i="11"/>
  <c r="N117" i="11"/>
  <c r="W117" i="11" s="1"/>
  <c r="M117" i="11"/>
  <c r="L117" i="11"/>
  <c r="X116" i="11"/>
  <c r="N116" i="11"/>
  <c r="W116" i="11" s="1"/>
  <c r="M116" i="11"/>
  <c r="L116" i="11"/>
  <c r="X115" i="11"/>
  <c r="N115" i="11"/>
  <c r="W115" i="11" s="1"/>
  <c r="M115" i="11"/>
  <c r="L115" i="11"/>
  <c r="X114" i="11"/>
  <c r="N114" i="11"/>
  <c r="W114" i="11" s="1"/>
  <c r="M114" i="11"/>
  <c r="L114" i="11"/>
  <c r="X113" i="11"/>
  <c r="N113" i="11"/>
  <c r="W113" i="11" s="1"/>
  <c r="M113" i="11"/>
  <c r="L113" i="11"/>
  <c r="X112" i="11"/>
  <c r="N112" i="11"/>
  <c r="W112" i="11" s="1"/>
  <c r="M112" i="11"/>
  <c r="L112" i="11"/>
  <c r="X111" i="11"/>
  <c r="N111" i="11"/>
  <c r="W111" i="11" s="1"/>
  <c r="M111" i="11"/>
  <c r="L111" i="11"/>
  <c r="X110" i="11"/>
  <c r="N110" i="11"/>
  <c r="W110" i="11" s="1"/>
  <c r="M110" i="11"/>
  <c r="L110" i="11"/>
  <c r="X109" i="11"/>
  <c r="N109" i="11"/>
  <c r="W109" i="11" s="1"/>
  <c r="M109" i="11"/>
  <c r="L109" i="11"/>
  <c r="X108" i="11"/>
  <c r="N108" i="11"/>
  <c r="W108" i="11" s="1"/>
  <c r="M108" i="11"/>
  <c r="L108" i="11"/>
  <c r="X107" i="11"/>
  <c r="N107" i="11"/>
  <c r="W107" i="11" s="1"/>
  <c r="M107" i="11"/>
  <c r="L107" i="11"/>
  <c r="X106" i="11"/>
  <c r="N106" i="11"/>
  <c r="W106" i="11" s="1"/>
  <c r="M106" i="11"/>
  <c r="L106" i="11"/>
  <c r="X105" i="11"/>
  <c r="N105" i="11"/>
  <c r="W105" i="11" s="1"/>
  <c r="M105" i="11"/>
  <c r="L105" i="11"/>
  <c r="X104" i="11"/>
  <c r="N104" i="11"/>
  <c r="W104" i="11" s="1"/>
  <c r="M104" i="11"/>
  <c r="L104" i="11"/>
  <c r="X103" i="11"/>
  <c r="N103" i="11"/>
  <c r="W103" i="11" s="1"/>
  <c r="M103" i="11"/>
  <c r="L103" i="11"/>
  <c r="X102" i="11"/>
  <c r="N102" i="11"/>
  <c r="W102" i="11" s="1"/>
  <c r="M102" i="11"/>
  <c r="L102" i="11"/>
  <c r="X101" i="11"/>
  <c r="N101" i="11"/>
  <c r="W101" i="11" s="1"/>
  <c r="M101" i="11"/>
  <c r="L101" i="11"/>
  <c r="X100" i="11"/>
  <c r="N100" i="11"/>
  <c r="W100" i="11" s="1"/>
  <c r="M100" i="11"/>
  <c r="L100" i="11"/>
  <c r="X99" i="11"/>
  <c r="N99" i="11"/>
  <c r="W99" i="11" s="1"/>
  <c r="M99" i="11"/>
  <c r="L99" i="11"/>
  <c r="X98" i="11"/>
  <c r="N98" i="11"/>
  <c r="W98" i="11" s="1"/>
  <c r="M98" i="11"/>
  <c r="L98" i="11"/>
  <c r="X97" i="11"/>
  <c r="N97" i="11"/>
  <c r="W97" i="11" s="1"/>
  <c r="M97" i="11"/>
  <c r="L97" i="11"/>
  <c r="X96" i="11"/>
  <c r="N96" i="11"/>
  <c r="W96" i="11" s="1"/>
  <c r="M96" i="11"/>
  <c r="L96" i="11"/>
  <c r="X95" i="11"/>
  <c r="N95" i="11"/>
  <c r="W95" i="11" s="1"/>
  <c r="M95" i="11"/>
  <c r="L95" i="11"/>
  <c r="X94" i="11"/>
  <c r="N94" i="11"/>
  <c r="W94" i="11" s="1"/>
  <c r="M94" i="11"/>
  <c r="L94" i="11"/>
  <c r="X93" i="11"/>
  <c r="N93" i="11"/>
  <c r="W93" i="11" s="1"/>
  <c r="M93" i="11"/>
  <c r="L93" i="11"/>
  <c r="X92" i="11"/>
  <c r="N92" i="11"/>
  <c r="W92" i="11" s="1"/>
  <c r="M92" i="11"/>
  <c r="L92" i="11"/>
  <c r="X91" i="11"/>
  <c r="N91" i="11"/>
  <c r="W91" i="11" s="1"/>
  <c r="M91" i="11"/>
  <c r="L91" i="11"/>
  <c r="X90" i="11"/>
  <c r="N90" i="11"/>
  <c r="W90" i="11" s="1"/>
  <c r="M90" i="11"/>
  <c r="L90" i="11"/>
  <c r="X89" i="11"/>
  <c r="N89" i="11"/>
  <c r="W89" i="11" s="1"/>
  <c r="M89" i="11"/>
  <c r="L89" i="11"/>
  <c r="X88" i="11"/>
  <c r="N88" i="11"/>
  <c r="W88" i="11" s="1"/>
  <c r="M88" i="11"/>
  <c r="L88" i="11"/>
  <c r="X87" i="11"/>
  <c r="N87" i="11"/>
  <c r="W87" i="11" s="1"/>
  <c r="M87" i="11"/>
  <c r="L87" i="11"/>
  <c r="X86" i="11"/>
  <c r="N86" i="11"/>
  <c r="W86" i="11" s="1"/>
  <c r="M86" i="11"/>
  <c r="L86" i="11"/>
  <c r="X85" i="11"/>
  <c r="N85" i="11"/>
  <c r="W85" i="11" s="1"/>
  <c r="M85" i="11"/>
  <c r="L85" i="11"/>
  <c r="X84" i="11"/>
  <c r="N84" i="11"/>
  <c r="W84" i="11" s="1"/>
  <c r="M84" i="11"/>
  <c r="L84" i="11"/>
  <c r="X83" i="11"/>
  <c r="N83" i="11"/>
  <c r="W83" i="11" s="1"/>
  <c r="M83" i="11"/>
  <c r="L83" i="11"/>
  <c r="X82" i="11"/>
  <c r="N82" i="11"/>
  <c r="W82" i="11" s="1"/>
  <c r="M82" i="11"/>
  <c r="L82" i="11"/>
  <c r="X81" i="11"/>
  <c r="N81" i="11"/>
  <c r="W81" i="11" s="1"/>
  <c r="M81" i="11"/>
  <c r="L81" i="11"/>
  <c r="X80" i="11"/>
  <c r="N80" i="11"/>
  <c r="W80" i="11" s="1"/>
  <c r="M80" i="11"/>
  <c r="L80" i="11"/>
  <c r="X79" i="11"/>
  <c r="N79" i="11"/>
  <c r="W79" i="11" s="1"/>
  <c r="M79" i="11"/>
  <c r="L79" i="11"/>
  <c r="X78" i="11"/>
  <c r="N78" i="11"/>
  <c r="W78" i="11" s="1"/>
  <c r="M78" i="11"/>
  <c r="L78" i="11"/>
  <c r="X77" i="11"/>
  <c r="N77" i="11"/>
  <c r="W77" i="11" s="1"/>
  <c r="M77" i="11"/>
  <c r="L77" i="11"/>
  <c r="X76" i="11"/>
  <c r="N76" i="11"/>
  <c r="W76" i="11" s="1"/>
  <c r="M76" i="11"/>
  <c r="L76" i="11"/>
  <c r="X75" i="11"/>
  <c r="N75" i="11"/>
  <c r="W75" i="11" s="1"/>
  <c r="M75" i="11"/>
  <c r="L75" i="11"/>
  <c r="X74" i="11"/>
  <c r="N74" i="11"/>
  <c r="W74" i="11" s="1"/>
  <c r="M74" i="11"/>
  <c r="L74" i="11"/>
  <c r="X73" i="11"/>
  <c r="N73" i="11"/>
  <c r="W73" i="11" s="1"/>
  <c r="M73" i="11"/>
  <c r="L73" i="11"/>
  <c r="X72" i="11"/>
  <c r="N72" i="11"/>
  <c r="W72" i="11" s="1"/>
  <c r="M72" i="11"/>
  <c r="L72" i="11"/>
  <c r="X71" i="11"/>
  <c r="N71" i="11"/>
  <c r="W71" i="11" s="1"/>
  <c r="M71" i="11"/>
  <c r="L71" i="11"/>
  <c r="X70" i="11"/>
  <c r="N70" i="11"/>
  <c r="W70" i="11" s="1"/>
  <c r="M70" i="11"/>
  <c r="L70" i="11"/>
  <c r="X69" i="11"/>
  <c r="N69" i="11"/>
  <c r="W69" i="11" s="1"/>
  <c r="M69" i="11"/>
  <c r="L69" i="11"/>
  <c r="X68" i="11"/>
  <c r="N68" i="11"/>
  <c r="W68" i="11" s="1"/>
  <c r="M68" i="11"/>
  <c r="L68" i="11"/>
  <c r="X67" i="11"/>
  <c r="N67" i="11"/>
  <c r="W67" i="11" s="1"/>
  <c r="M67" i="11"/>
  <c r="L67" i="11"/>
  <c r="X66" i="11"/>
  <c r="N66" i="11"/>
  <c r="W66" i="11" s="1"/>
  <c r="M66" i="11"/>
  <c r="L66" i="11"/>
  <c r="X65" i="11"/>
  <c r="N65" i="11"/>
  <c r="W65" i="11" s="1"/>
  <c r="M65" i="11"/>
  <c r="L65" i="11"/>
  <c r="X64" i="11"/>
  <c r="N64" i="11"/>
  <c r="W64" i="11" s="1"/>
  <c r="M64" i="11"/>
  <c r="L64" i="11"/>
  <c r="X63" i="11"/>
  <c r="N63" i="11"/>
  <c r="W63" i="11" s="1"/>
  <c r="M63" i="11"/>
  <c r="L63" i="11"/>
  <c r="X62" i="11"/>
  <c r="N62" i="11"/>
  <c r="W62" i="11" s="1"/>
  <c r="M62" i="11"/>
  <c r="L62" i="11"/>
  <c r="X61" i="11"/>
  <c r="N61" i="11"/>
  <c r="W61" i="11" s="1"/>
  <c r="M61" i="11"/>
  <c r="L61" i="11"/>
  <c r="X60" i="11"/>
  <c r="N60" i="11"/>
  <c r="W60" i="11" s="1"/>
  <c r="M60" i="11"/>
  <c r="L60" i="11"/>
  <c r="X59" i="11"/>
  <c r="N59" i="11"/>
  <c r="W59" i="11" s="1"/>
  <c r="M59" i="11"/>
  <c r="L59" i="11"/>
  <c r="X58" i="11"/>
  <c r="N58" i="11"/>
  <c r="W58" i="11" s="1"/>
  <c r="M58" i="11"/>
  <c r="L58" i="11"/>
  <c r="X57" i="11"/>
  <c r="N57" i="11"/>
  <c r="W57" i="11" s="1"/>
  <c r="M57" i="11"/>
  <c r="L57" i="11"/>
  <c r="X56" i="11"/>
  <c r="N56" i="11"/>
  <c r="W56" i="11" s="1"/>
  <c r="M56" i="11"/>
  <c r="L56" i="11"/>
  <c r="X55" i="11"/>
  <c r="N55" i="11"/>
  <c r="W55" i="11" s="1"/>
  <c r="M55" i="11"/>
  <c r="L55" i="11"/>
  <c r="X54" i="11"/>
  <c r="N54" i="11"/>
  <c r="W54" i="11" s="1"/>
  <c r="M54" i="11"/>
  <c r="L54" i="11"/>
  <c r="X53" i="11"/>
  <c r="N53" i="11"/>
  <c r="W53" i="11" s="1"/>
  <c r="M53" i="11"/>
  <c r="L53" i="11"/>
  <c r="X52" i="11"/>
  <c r="N52" i="11"/>
  <c r="W52" i="11" s="1"/>
  <c r="M52" i="11"/>
  <c r="L52" i="11"/>
  <c r="X51" i="11"/>
  <c r="N51" i="11"/>
  <c r="W51" i="11" s="1"/>
  <c r="M51" i="11"/>
  <c r="L51" i="11"/>
  <c r="X50" i="11"/>
  <c r="W50" i="11"/>
  <c r="N50" i="11"/>
  <c r="M50" i="11"/>
  <c r="L50" i="11"/>
  <c r="X49" i="11"/>
  <c r="N49" i="11"/>
  <c r="W49" i="11" s="1"/>
  <c r="M49" i="11"/>
  <c r="L49" i="11"/>
  <c r="X48" i="11"/>
  <c r="N48" i="11"/>
  <c r="W48" i="11" s="1"/>
  <c r="M48" i="11"/>
  <c r="L48" i="11"/>
  <c r="X47" i="11"/>
  <c r="N47" i="11"/>
  <c r="W47" i="11" s="1"/>
  <c r="M47" i="11"/>
  <c r="L47" i="11"/>
  <c r="X46" i="11"/>
  <c r="N46" i="11"/>
  <c r="W46" i="11" s="1"/>
  <c r="M46" i="11"/>
  <c r="L46" i="11"/>
  <c r="X45" i="11"/>
  <c r="N45" i="11"/>
  <c r="W45" i="11" s="1"/>
  <c r="M45" i="11"/>
  <c r="L45" i="11"/>
  <c r="X44" i="11"/>
  <c r="N44" i="11"/>
  <c r="W44" i="11" s="1"/>
  <c r="M44" i="11"/>
  <c r="L44" i="11"/>
  <c r="X43" i="11"/>
  <c r="N43" i="11"/>
  <c r="W43" i="11" s="1"/>
  <c r="M43" i="11"/>
  <c r="L43" i="11"/>
  <c r="X42" i="11"/>
  <c r="N42" i="11"/>
  <c r="W42" i="11" s="1"/>
  <c r="M42" i="11"/>
  <c r="L42" i="11"/>
  <c r="X41" i="11"/>
  <c r="N41" i="11"/>
  <c r="W41" i="11" s="1"/>
  <c r="M41" i="11"/>
  <c r="L41" i="11"/>
  <c r="X40" i="11"/>
  <c r="N40" i="11"/>
  <c r="W40" i="11" s="1"/>
  <c r="M40" i="11"/>
  <c r="L40" i="11"/>
  <c r="X39" i="11"/>
  <c r="N39" i="11"/>
  <c r="W39" i="11" s="1"/>
  <c r="M39" i="11"/>
  <c r="L39" i="11"/>
  <c r="X38" i="11"/>
  <c r="N38" i="11"/>
  <c r="W38" i="11" s="1"/>
  <c r="M38" i="11"/>
  <c r="L38" i="11"/>
  <c r="X37" i="11"/>
  <c r="N37" i="11"/>
  <c r="W37" i="11" s="1"/>
  <c r="M37" i="11"/>
  <c r="L37" i="11"/>
  <c r="X36" i="11"/>
  <c r="N36" i="11"/>
  <c r="W36" i="11" s="1"/>
  <c r="M36" i="11"/>
  <c r="L36" i="11"/>
  <c r="X35" i="11"/>
  <c r="N35" i="11"/>
  <c r="W35" i="11" s="1"/>
  <c r="M35" i="11"/>
  <c r="L35" i="11"/>
  <c r="X34" i="11"/>
  <c r="N34" i="11"/>
  <c r="W34" i="11" s="1"/>
  <c r="M34" i="11"/>
  <c r="L34" i="11"/>
  <c r="X33" i="11"/>
  <c r="N33" i="11"/>
  <c r="W33" i="11" s="1"/>
  <c r="M33" i="11"/>
  <c r="L33" i="11"/>
  <c r="X32" i="11"/>
  <c r="L32" i="11"/>
  <c r="X31" i="11"/>
  <c r="L31" i="11"/>
  <c r="X30" i="11"/>
  <c r="L30" i="11"/>
  <c r="X29" i="11"/>
  <c r="L29" i="11"/>
  <c r="X28" i="11"/>
  <c r="L28" i="11"/>
  <c r="X27" i="11"/>
  <c r="L27" i="11"/>
  <c r="X26" i="11"/>
  <c r="L26" i="11"/>
  <c r="X25" i="11"/>
  <c r="L25" i="11"/>
  <c r="X24" i="11"/>
  <c r="L24" i="11"/>
  <c r="X23" i="11"/>
  <c r="L23" i="11"/>
  <c r="M23" i="11" s="1"/>
  <c r="N23" i="11" s="1"/>
  <c r="W23" i="11" s="1"/>
  <c r="X22" i="11"/>
  <c r="L22" i="11"/>
  <c r="X21" i="11"/>
  <c r="L21" i="11"/>
  <c r="M21" i="11" s="1"/>
  <c r="N21" i="11" s="1"/>
  <c r="W21" i="11" s="1"/>
  <c r="X20" i="11"/>
  <c r="L20" i="11"/>
  <c r="X19" i="11"/>
  <c r="M19" i="11"/>
  <c r="N19" i="11" s="1"/>
  <c r="W19" i="11" s="1"/>
  <c r="L19" i="11"/>
  <c r="X18" i="11"/>
  <c r="L18" i="11"/>
  <c r="X17" i="11"/>
  <c r="L17" i="11"/>
  <c r="X16" i="11"/>
  <c r="L16" i="11"/>
  <c r="X15" i="11"/>
  <c r="L15" i="11"/>
  <c r="X14" i="11"/>
  <c r="L14" i="11"/>
  <c r="M14" i="11" s="1"/>
  <c r="N14" i="11" s="1"/>
  <c r="W14" i="11" s="1"/>
  <c r="X13" i="11"/>
  <c r="L13" i="11"/>
  <c r="X12" i="11"/>
  <c r="L12" i="11"/>
  <c r="X11" i="11"/>
  <c r="L11" i="11"/>
  <c r="X10" i="11"/>
  <c r="L10" i="11"/>
  <c r="X9" i="11"/>
  <c r="L9" i="11"/>
  <c r="X8" i="11"/>
  <c r="L8" i="11"/>
  <c r="X7" i="11"/>
  <c r="L7" i="11"/>
  <c r="X6" i="11"/>
  <c r="L6" i="11"/>
  <c r="X5" i="11"/>
  <c r="L5" i="11"/>
  <c r="X4" i="11"/>
  <c r="N4" i="11"/>
  <c r="W4" i="11" s="1"/>
  <c r="L4" i="11"/>
  <c r="L2" i="11"/>
  <c r="C31" i="1" s="1"/>
  <c r="D31" i="1" s="1"/>
  <c r="C1" i="11"/>
  <c r="M5" i="11" s="1"/>
  <c r="N5" i="11" s="1"/>
  <c r="W5" i="11" s="1"/>
  <c r="D16" i="10"/>
  <c r="C16" i="10"/>
  <c r="C22" i="9"/>
  <c r="B22" i="9"/>
  <c r="A22" i="9"/>
  <c r="B21" i="9"/>
  <c r="A21" i="9"/>
  <c r="G15" i="9" a="1"/>
  <c r="G15" i="9" s="1"/>
  <c r="D21" i="2" s="1"/>
  <c r="E21" i="2" s="1"/>
  <c r="M13" i="9"/>
  <c r="G13" i="9"/>
  <c r="H13" i="9" s="1"/>
  <c r="M12" i="9"/>
  <c r="G12" i="9"/>
  <c r="H12" i="9" s="1"/>
  <c r="M11" i="9"/>
  <c r="G11" i="9"/>
  <c r="H11" i="9" s="1"/>
  <c r="M10" i="9"/>
  <c r="G10" i="9"/>
  <c r="H10" i="9" s="1"/>
  <c r="M9" i="9"/>
  <c r="C4" i="5" s="1"/>
  <c r="G9" i="9"/>
  <c r="H9" i="9" s="1"/>
  <c r="M8" i="9"/>
  <c r="C4" i="3" s="1"/>
  <c r="G8" i="9"/>
  <c r="L5" i="9"/>
  <c r="C10" i="6" s="1"/>
  <c r="M83" i="8"/>
  <c r="L83" i="8"/>
  <c r="K83" i="8"/>
  <c r="J83" i="8"/>
  <c r="I83" i="8"/>
  <c r="M7" i="8" s="1"/>
  <c r="H83" i="8"/>
  <c r="G83" i="8"/>
  <c r="D83" i="8"/>
  <c r="C83" i="8"/>
  <c r="E84" i="8" s="1"/>
  <c r="Q7" i="8" s="1"/>
  <c r="F82" i="8"/>
  <c r="F81" i="8"/>
  <c r="F80" i="8"/>
  <c r="F79" i="8"/>
  <c r="F78" i="8"/>
  <c r="F77" i="8"/>
  <c r="M70" i="8"/>
  <c r="L70" i="8"/>
  <c r="K70" i="8"/>
  <c r="J70" i="8"/>
  <c r="I70" i="8"/>
  <c r="H70" i="8"/>
  <c r="G70" i="8"/>
  <c r="D70" i="8"/>
  <c r="C70" i="8"/>
  <c r="E71" i="8" s="1"/>
  <c r="Q6" i="8" s="1"/>
  <c r="F69" i="8"/>
  <c r="F68" i="8"/>
  <c r="F67" i="8"/>
  <c r="F66" i="8"/>
  <c r="F65" i="8"/>
  <c r="F64" i="8"/>
  <c r="M57" i="8"/>
  <c r="L57" i="8"/>
  <c r="K57" i="8"/>
  <c r="J57" i="8"/>
  <c r="I57" i="8"/>
  <c r="H57" i="8"/>
  <c r="G57" i="8"/>
  <c r="D57" i="8"/>
  <c r="C57" i="8"/>
  <c r="E58" i="8" s="1"/>
  <c r="Q5" i="8" s="1"/>
  <c r="F56" i="8"/>
  <c r="F55" i="8"/>
  <c r="F54" i="8"/>
  <c r="F53" i="8"/>
  <c r="F52" i="8"/>
  <c r="F51" i="8"/>
  <c r="M44" i="8"/>
  <c r="L44" i="8"/>
  <c r="K44" i="8"/>
  <c r="J44" i="8"/>
  <c r="I44" i="8"/>
  <c r="H44" i="8"/>
  <c r="G44" i="8"/>
  <c r="D44" i="8"/>
  <c r="C44" i="8"/>
  <c r="E45" i="8" s="1"/>
  <c r="Q4" i="8" s="1"/>
  <c r="F43" i="8"/>
  <c r="F42" i="8"/>
  <c r="F41" i="8"/>
  <c r="F40" i="8"/>
  <c r="F39" i="8"/>
  <c r="F38" i="8"/>
  <c r="B38" i="8"/>
  <c r="B51" i="8" s="1"/>
  <c r="B64" i="8" s="1"/>
  <c r="M31" i="8"/>
  <c r="L31" i="8"/>
  <c r="K31" i="8"/>
  <c r="J31" i="8"/>
  <c r="I31" i="8"/>
  <c r="H31" i="8"/>
  <c r="N12" i="8" s="1"/>
  <c r="G31" i="8"/>
  <c r="D31" i="8"/>
  <c r="C31" i="8"/>
  <c r="E32" i="8" s="1"/>
  <c r="Q3" i="8" s="1"/>
  <c r="F30" i="8"/>
  <c r="F29" i="8"/>
  <c r="F28" i="8"/>
  <c r="F27" i="8"/>
  <c r="F26" i="8"/>
  <c r="B26" i="8"/>
  <c r="B27" i="8" s="1"/>
  <c r="B28" i="8" s="1"/>
  <c r="B29" i="8" s="1"/>
  <c r="B30" i="8" s="1"/>
  <c r="F25" i="8"/>
  <c r="K17" i="8"/>
  <c r="C28" i="1" s="1"/>
  <c r="D28" i="1" s="1"/>
  <c r="K10" i="8"/>
  <c r="D17" i="2" s="1"/>
  <c r="E17" i="2" s="1"/>
  <c r="R7" i="8"/>
  <c r="S7" i="8" s="1"/>
  <c r="P7" i="8"/>
  <c r="O7" i="8"/>
  <c r="N7" i="8"/>
  <c r="K7" i="8"/>
  <c r="I7" i="8"/>
  <c r="G7" i="8"/>
  <c r="F7" i="8"/>
  <c r="J7" i="8" s="1"/>
  <c r="E7" i="8"/>
  <c r="D7" i="8"/>
  <c r="C7" i="8"/>
  <c r="R6" i="8"/>
  <c r="S6" i="8" s="1"/>
  <c r="P6" i="8"/>
  <c r="O6" i="8"/>
  <c r="N6" i="8"/>
  <c r="M6" i="8"/>
  <c r="K6" i="8"/>
  <c r="I6" i="8"/>
  <c r="G6" i="8"/>
  <c r="F6" i="8"/>
  <c r="J6" i="8" s="1"/>
  <c r="E6" i="8"/>
  <c r="D6" i="8"/>
  <c r="C6" i="8"/>
  <c r="R5" i="8"/>
  <c r="S5" i="8" s="1"/>
  <c r="P5" i="8"/>
  <c r="O5" i="8"/>
  <c r="N5" i="8"/>
  <c r="M5" i="8"/>
  <c r="K5" i="8"/>
  <c r="I5" i="8"/>
  <c r="G5" i="8"/>
  <c r="F5" i="8"/>
  <c r="J5" i="8" s="1"/>
  <c r="E5" i="8"/>
  <c r="D5" i="8"/>
  <c r="C5" i="8"/>
  <c r="R4" i="8"/>
  <c r="P4" i="8"/>
  <c r="O4" i="8"/>
  <c r="K4" i="8"/>
  <c r="I4" i="8"/>
  <c r="G4" i="8"/>
  <c r="F4" i="8"/>
  <c r="E4" i="8"/>
  <c r="D4" i="8"/>
  <c r="C4" i="8"/>
  <c r="R3" i="8"/>
  <c r="S3" i="8" s="1"/>
  <c r="P3" i="8"/>
  <c r="O3" i="8"/>
  <c r="K3" i="8"/>
  <c r="I3" i="8"/>
  <c r="F3" i="8"/>
  <c r="E3" i="8"/>
  <c r="D3" i="8"/>
  <c r="C3" i="8"/>
  <c r="C41" i="7"/>
  <c r="E23" i="7"/>
  <c r="D23" i="7"/>
  <c r="B23" i="7"/>
  <c r="D22" i="7"/>
  <c r="C22" i="7"/>
  <c r="B22" i="7"/>
  <c r="B21" i="7"/>
  <c r="C21" i="7" s="1"/>
  <c r="D21" i="7" s="1"/>
  <c r="E21" i="7" s="1"/>
  <c r="B17" i="7"/>
  <c r="E14" i="7"/>
  <c r="B12" i="7"/>
  <c r="C12" i="7" s="1"/>
  <c r="D12" i="7" s="1"/>
  <c r="E12" i="7" s="1"/>
  <c r="B8" i="7"/>
  <c r="B9" i="7" s="1"/>
  <c r="B4" i="7"/>
  <c r="B3" i="7"/>
  <c r="B2" i="7"/>
  <c r="B1" i="7"/>
  <c r="D87" i="6"/>
  <c r="C87" i="6"/>
  <c r="D86" i="6"/>
  <c r="C86" i="6"/>
  <c r="D85" i="6"/>
  <c r="C85" i="6"/>
  <c r="D84" i="6"/>
  <c r="C84" i="6"/>
  <c r="D83" i="6"/>
  <c r="C83" i="6"/>
  <c r="D82" i="6"/>
  <c r="C82" i="6"/>
  <c r="D81" i="6"/>
  <c r="C81" i="6"/>
  <c r="D80" i="6"/>
  <c r="C80" i="6"/>
  <c r="D79" i="6"/>
  <c r="C79" i="6"/>
  <c r="D78" i="6"/>
  <c r="C78" i="6"/>
  <c r="D77" i="6"/>
  <c r="C77" i="6"/>
  <c r="C74" i="6"/>
  <c r="C16" i="6"/>
  <c r="C12" i="6"/>
  <c r="C11" i="6"/>
  <c r="C6" i="6"/>
  <c r="C9" i="6" s="1"/>
  <c r="C5" i="6"/>
  <c r="C4" i="6"/>
  <c r="C3" i="6"/>
  <c r="C2" i="6"/>
  <c r="D147" i="5"/>
  <c r="C147" i="5"/>
  <c r="D146" i="5"/>
  <c r="C146" i="5"/>
  <c r="D142" i="5"/>
  <c r="C142" i="5"/>
  <c r="D140" i="5"/>
  <c r="C140" i="5"/>
  <c r="D139" i="5"/>
  <c r="C139" i="5"/>
  <c r="D135" i="5"/>
  <c r="C135" i="5"/>
  <c r="D134" i="5"/>
  <c r="C134" i="5"/>
  <c r="D130" i="5"/>
  <c r="C130" i="5"/>
  <c r="D127" i="5"/>
  <c r="C127" i="5"/>
  <c r="D124" i="5"/>
  <c r="C124" i="5"/>
  <c r="D123" i="5"/>
  <c r="C123" i="5"/>
  <c r="D122" i="5"/>
  <c r="C122" i="5"/>
  <c r="D121" i="5"/>
  <c r="C121" i="5"/>
  <c r="D108" i="5"/>
  <c r="C108" i="5"/>
  <c r="B108" i="5"/>
  <c r="D100" i="5"/>
  <c r="C100" i="5"/>
  <c r="B100" i="5"/>
  <c r="D89" i="5"/>
  <c r="C89" i="5"/>
  <c r="B89" i="5"/>
  <c r="D82" i="5"/>
  <c r="C82" i="5"/>
  <c r="B82" i="5"/>
  <c r="D79" i="5"/>
  <c r="C79" i="5"/>
  <c r="B79" i="5"/>
  <c r="D78" i="5"/>
  <c r="C78" i="5"/>
  <c r="B78" i="5"/>
  <c r="D64" i="5"/>
  <c r="C64" i="5"/>
  <c r="C113" i="5" s="1"/>
  <c r="B64" i="5"/>
  <c r="D63" i="5"/>
  <c r="C63" i="5"/>
  <c r="B63" i="5"/>
  <c r="D55" i="5"/>
  <c r="C55" i="5"/>
  <c r="B55" i="5"/>
  <c r="B57" i="5" s="1"/>
  <c r="D50" i="5"/>
  <c r="D99" i="5" s="1"/>
  <c r="D118" i="5" s="1"/>
  <c r="D27" i="5"/>
  <c r="C27" i="5"/>
  <c r="B27" i="5"/>
  <c r="D12" i="5"/>
  <c r="D109" i="5" s="1"/>
  <c r="C12" i="5"/>
  <c r="C110" i="5" s="1"/>
  <c r="B12" i="5"/>
  <c r="D11" i="5"/>
  <c r="C11" i="5"/>
  <c r="B11" i="5"/>
  <c r="C7" i="5"/>
  <c r="E4" i="5"/>
  <c r="B4" i="5"/>
  <c r="D3" i="5"/>
  <c r="C3" i="5"/>
  <c r="B3" i="5"/>
  <c r="F3" i="7"/>
  <c r="E128" i="4"/>
  <c r="D128" i="4"/>
  <c r="C128" i="4"/>
  <c r="E127" i="4"/>
  <c r="D127" i="4"/>
  <c r="C127" i="4"/>
  <c r="E123" i="4"/>
  <c r="D123" i="4"/>
  <c r="C123" i="4"/>
  <c r="E121" i="4"/>
  <c r="D121" i="4"/>
  <c r="C121" i="4"/>
  <c r="E120" i="4"/>
  <c r="D120" i="4"/>
  <c r="C120" i="4"/>
  <c r="E119" i="4"/>
  <c r="D119" i="4"/>
  <c r="C119" i="4"/>
  <c r="C116" i="4"/>
  <c r="E115" i="4"/>
  <c r="D115" i="4"/>
  <c r="C115" i="4"/>
  <c r="E114" i="4"/>
  <c r="E116" i="4" s="1"/>
  <c r="D114" i="4"/>
  <c r="C114" i="4"/>
  <c r="E113" i="4"/>
  <c r="D113" i="4"/>
  <c r="D116" i="4" s="1"/>
  <c r="C113" i="4"/>
  <c r="E110" i="4"/>
  <c r="D110" i="4"/>
  <c r="C110" i="4"/>
  <c r="E105" i="4"/>
  <c r="D105" i="4"/>
  <c r="C105" i="4"/>
  <c r="E104" i="4"/>
  <c r="D104" i="4"/>
  <c r="C104" i="4"/>
  <c r="E99" i="4"/>
  <c r="D99" i="4"/>
  <c r="C99" i="4"/>
  <c r="B99" i="4"/>
  <c r="E95" i="4"/>
  <c r="D95" i="4"/>
  <c r="C95" i="4"/>
  <c r="B95" i="4"/>
  <c r="E88" i="4"/>
  <c r="D88" i="4"/>
  <c r="C88" i="4"/>
  <c r="E80" i="4"/>
  <c r="D80" i="4"/>
  <c r="C80" i="4"/>
  <c r="B80" i="4"/>
  <c r="E73" i="4"/>
  <c r="D73" i="4"/>
  <c r="C73" i="4"/>
  <c r="B73" i="4"/>
  <c r="C107" i="4" s="1"/>
  <c r="E70" i="4"/>
  <c r="D70" i="4"/>
  <c r="C70" i="4"/>
  <c r="B70" i="4"/>
  <c r="E69" i="4"/>
  <c r="E84" i="4" s="1"/>
  <c r="D69" i="4"/>
  <c r="D84" i="4" s="1"/>
  <c r="C69" i="4"/>
  <c r="C84" i="4" s="1"/>
  <c r="B69" i="4"/>
  <c r="B84" i="4" s="1"/>
  <c r="E57" i="4"/>
  <c r="D57" i="4"/>
  <c r="C57" i="4"/>
  <c r="B57" i="4"/>
  <c r="E56" i="4"/>
  <c r="D56" i="4"/>
  <c r="C56" i="4"/>
  <c r="B56" i="4"/>
  <c r="D51" i="4"/>
  <c r="E48" i="4"/>
  <c r="D48" i="4"/>
  <c r="C48" i="4"/>
  <c r="C63" i="4" s="1"/>
  <c r="C85" i="4" s="1"/>
  <c r="B48" i="4"/>
  <c r="B63" i="4" s="1"/>
  <c r="B85" i="4" s="1"/>
  <c r="D19" i="4"/>
  <c r="D25" i="4" s="1"/>
  <c r="D27" i="4" s="1"/>
  <c r="E12" i="4"/>
  <c r="E96" i="4" s="1"/>
  <c r="D12" i="4"/>
  <c r="C12" i="4"/>
  <c r="C97" i="4" s="1"/>
  <c r="B12" i="4"/>
  <c r="E11" i="4"/>
  <c r="E19" i="4" s="1"/>
  <c r="E25" i="4" s="1"/>
  <c r="E27" i="4" s="1"/>
  <c r="D11" i="4"/>
  <c r="D18" i="4" s="1"/>
  <c r="C11" i="4"/>
  <c r="C19" i="4" s="1"/>
  <c r="C25" i="4" s="1"/>
  <c r="C27" i="4" s="1"/>
  <c r="B11" i="4"/>
  <c r="B18" i="4" s="1"/>
  <c r="C4" i="4"/>
  <c r="B4" i="4"/>
  <c r="C3" i="4"/>
  <c r="B3" i="4"/>
  <c r="D147" i="3"/>
  <c r="C147" i="3"/>
  <c r="D146" i="3"/>
  <c r="C146" i="3"/>
  <c r="D142" i="3"/>
  <c r="C142" i="3"/>
  <c r="D140" i="3"/>
  <c r="C140" i="3"/>
  <c r="D139" i="3"/>
  <c r="C139" i="3"/>
  <c r="D135" i="3"/>
  <c r="C135" i="3"/>
  <c r="D134" i="3"/>
  <c r="C134" i="3"/>
  <c r="D130" i="3"/>
  <c r="C130" i="3"/>
  <c r="D127" i="3"/>
  <c r="C127" i="3"/>
  <c r="D124" i="3"/>
  <c r="C124" i="3"/>
  <c r="D123" i="3"/>
  <c r="C123" i="3"/>
  <c r="D122" i="3"/>
  <c r="C122" i="3"/>
  <c r="D121" i="3"/>
  <c r="C121" i="3"/>
  <c r="D108" i="3"/>
  <c r="C19" i="1" s="1"/>
  <c r="C108" i="3"/>
  <c r="B108" i="3"/>
  <c r="D100" i="3"/>
  <c r="C21" i="1" s="1"/>
  <c r="C100" i="3"/>
  <c r="B100" i="3"/>
  <c r="D89" i="3"/>
  <c r="C89" i="3"/>
  <c r="B89" i="3"/>
  <c r="D82" i="3"/>
  <c r="C82" i="3"/>
  <c r="B82" i="3"/>
  <c r="D79" i="3"/>
  <c r="C79" i="3"/>
  <c r="B79" i="3"/>
  <c r="D78" i="3"/>
  <c r="C78" i="3"/>
  <c r="B78" i="3"/>
  <c r="D64" i="3"/>
  <c r="C64" i="3"/>
  <c r="C69" i="3" s="1"/>
  <c r="B64" i="3"/>
  <c r="B69" i="3" s="1"/>
  <c r="D63" i="3"/>
  <c r="C63" i="3"/>
  <c r="B63" i="3"/>
  <c r="B57" i="3"/>
  <c r="D55" i="3"/>
  <c r="C55" i="3"/>
  <c r="B55" i="3"/>
  <c r="D50" i="3"/>
  <c r="D99" i="3" s="1"/>
  <c r="D118" i="3" s="1"/>
  <c r="D27" i="3"/>
  <c r="C27" i="3"/>
  <c r="B27" i="3"/>
  <c r="D12" i="3"/>
  <c r="D109" i="3" s="1"/>
  <c r="C12" i="3"/>
  <c r="C110" i="3" s="1"/>
  <c r="B12" i="3"/>
  <c r="B109" i="3" s="1"/>
  <c r="D11" i="3"/>
  <c r="C11" i="3"/>
  <c r="B11" i="3"/>
  <c r="B19" i="3" s="1"/>
  <c r="C7" i="3"/>
  <c r="E4" i="3"/>
  <c r="B4" i="3"/>
  <c r="D3" i="3"/>
  <c r="C3" i="3"/>
  <c r="B3" i="3"/>
  <c r="C1" i="3"/>
  <c r="B1" i="3"/>
  <c r="F2" i="7" s="1"/>
  <c r="J131" i="2"/>
  <c r="K130" i="2"/>
  <c r="K129" i="2"/>
  <c r="K128" i="2"/>
  <c r="K127" i="2"/>
  <c r="N125" i="2"/>
  <c r="L114" i="2"/>
  <c r="L113" i="2"/>
  <c r="L112" i="2"/>
  <c r="L111" i="2"/>
  <c r="L110" i="2"/>
  <c r="M109" i="2"/>
  <c r="L108" i="2"/>
  <c r="L107" i="2"/>
  <c r="L106" i="2"/>
  <c r="L105" i="2"/>
  <c r="M104" i="2"/>
  <c r="L103" i="2"/>
  <c r="L102" i="2"/>
  <c r="L101" i="2"/>
  <c r="L100" i="2"/>
  <c r="M99" i="2"/>
  <c r="L98" i="2"/>
  <c r="L97" i="2"/>
  <c r="L96" i="2"/>
  <c r="M95" i="2"/>
  <c r="L94" i="2"/>
  <c r="L93" i="2"/>
  <c r="M92" i="2"/>
  <c r="N90" i="2"/>
  <c r="L89" i="2"/>
  <c r="L88" i="2"/>
  <c r="L87" i="2"/>
  <c r="L86" i="2"/>
  <c r="M85" i="2"/>
  <c r="L83" i="2"/>
  <c r="L82" i="2"/>
  <c r="L81" i="2"/>
  <c r="M80" i="2"/>
  <c r="L79" i="2"/>
  <c r="L78" i="2"/>
  <c r="L77" i="2"/>
  <c r="L76" i="2"/>
  <c r="M75" i="2"/>
  <c r="L74" i="2"/>
  <c r="L73" i="2"/>
  <c r="L72" i="2"/>
  <c r="L71" i="2"/>
  <c r="M69" i="2"/>
  <c r="N67" i="2"/>
  <c r="L66" i="2"/>
  <c r="L65" i="2"/>
  <c r="L64" i="2"/>
  <c r="L63" i="2"/>
  <c r="L62" i="2"/>
  <c r="M61" i="2"/>
  <c r="L60" i="2"/>
  <c r="L59" i="2"/>
  <c r="L58" i="2"/>
  <c r="L57" i="2"/>
  <c r="M56" i="2"/>
  <c r="L55" i="2"/>
  <c r="L54" i="2"/>
  <c r="L53" i="2"/>
  <c r="L52" i="2"/>
  <c r="M51" i="2"/>
  <c r="L50" i="2"/>
  <c r="L49" i="2"/>
  <c r="L48" i="2"/>
  <c r="L47" i="2"/>
  <c r="M46" i="2"/>
  <c r="N44" i="2"/>
  <c r="L43" i="2"/>
  <c r="L42" i="2"/>
  <c r="L41" i="2"/>
  <c r="L40" i="2"/>
  <c r="M39" i="2"/>
  <c r="L38" i="2"/>
  <c r="L37" i="2"/>
  <c r="D37" i="2"/>
  <c r="L36" i="2"/>
  <c r="D36" i="2"/>
  <c r="L35" i="2"/>
  <c r="D35" i="2"/>
  <c r="M34" i="2"/>
  <c r="L33" i="2"/>
  <c r="L32" i="2"/>
  <c r="L31" i="2"/>
  <c r="L30" i="2"/>
  <c r="D30" i="2"/>
  <c r="E30" i="2" s="1"/>
  <c r="M29" i="2"/>
  <c r="D29" i="2"/>
  <c r="E29" i="2" s="1"/>
  <c r="L28" i="2"/>
  <c r="L27" i="2"/>
  <c r="D27" i="2"/>
  <c r="E27" i="2" s="1"/>
  <c r="L26" i="2"/>
  <c r="D26" i="2"/>
  <c r="E26" i="2" s="1"/>
  <c r="L25" i="2"/>
  <c r="D25" i="2"/>
  <c r="E25" i="2" s="1"/>
  <c r="M24" i="2"/>
  <c r="D24" i="2"/>
  <c r="E24" i="2" s="1"/>
  <c r="L23" i="2"/>
  <c r="L22" i="2"/>
  <c r="E22" i="2"/>
  <c r="L21" i="2"/>
  <c r="L20" i="2"/>
  <c r="D20" i="2"/>
  <c r="E20" i="2" s="1"/>
  <c r="L19" i="2"/>
  <c r="D19" i="2"/>
  <c r="E19" i="2" s="1"/>
  <c r="M18" i="2"/>
  <c r="L17" i="2"/>
  <c r="L16" i="2"/>
  <c r="L15" i="2"/>
  <c r="L14" i="2"/>
  <c r="M12" i="2"/>
  <c r="L11" i="2"/>
  <c r="L10" i="2"/>
  <c r="L9" i="2"/>
  <c r="L8" i="2"/>
  <c r="M7" i="2"/>
  <c r="D5" i="2"/>
  <c r="D54" i="1"/>
  <c r="D53" i="1"/>
  <c r="C52" i="1"/>
  <c r="D52" i="1" s="1"/>
  <c r="C51" i="1"/>
  <c r="D51" i="1" s="1"/>
  <c r="C50" i="1"/>
  <c r="D50" i="1" s="1"/>
  <c r="C49" i="1"/>
  <c r="D49" i="1" s="1"/>
  <c r="C48" i="1"/>
  <c r="D48" i="1" s="1"/>
  <c r="C47" i="1"/>
  <c r="D47" i="1" s="1"/>
  <c r="C46" i="1"/>
  <c r="D46" i="1" s="1"/>
  <c r="C43" i="1"/>
  <c r="D43" i="1" s="1"/>
  <c r="C42" i="1"/>
  <c r="D42" i="1" s="1"/>
  <c r="C41" i="1"/>
  <c r="D41" i="1" s="1"/>
  <c r="C37" i="1"/>
  <c r="D37" i="1" s="1"/>
  <c r="C15" i="1"/>
  <c r="C14" i="1"/>
  <c r="D14" i="1" s="1"/>
  <c r="C10" i="1"/>
  <c r="D10" i="1" s="1"/>
  <c r="D9" i="1"/>
  <c r="D8" i="1"/>
  <c r="C5" i="1"/>
  <c r="D5" i="1" s="1"/>
  <c r="C4" i="1"/>
  <c r="D4" i="1" s="1"/>
  <c r="D133" i="3" l="1"/>
  <c r="M9" i="11"/>
  <c r="N9" i="11" s="1"/>
  <c r="W9" i="11" s="1"/>
  <c r="M11" i="11"/>
  <c r="N11" i="11" s="1"/>
  <c r="W11" i="11" s="1"/>
  <c r="M26" i="11"/>
  <c r="N26" i="11" s="1"/>
  <c r="W26" i="11" s="1"/>
  <c r="C96" i="4"/>
  <c r="M16" i="11"/>
  <c r="N16" i="11" s="1"/>
  <c r="W16" i="11" s="1"/>
  <c r="M18" i="11"/>
  <c r="N18" i="11" s="1"/>
  <c r="W18" i="11" s="1"/>
  <c r="M25" i="11"/>
  <c r="N25" i="11" s="1"/>
  <c r="W25" i="11" s="1"/>
  <c r="M29" i="11"/>
  <c r="N29" i="11" s="1"/>
  <c r="W29" i="11" s="1"/>
  <c r="M32" i="11"/>
  <c r="N32" i="11" s="1"/>
  <c r="W32" i="11" s="1"/>
  <c r="C69" i="5"/>
  <c r="D70" i="5"/>
  <c r="D112" i="5"/>
  <c r="S4" i="8"/>
  <c r="M8" i="11"/>
  <c r="N8" i="11" s="1"/>
  <c r="W8" i="11" s="1"/>
  <c r="M10" i="11"/>
  <c r="N10" i="11" s="1"/>
  <c r="W10" i="11" s="1"/>
  <c r="M13" i="11"/>
  <c r="N13" i="11" s="1"/>
  <c r="W13" i="11" s="1"/>
  <c r="M15" i="11"/>
  <c r="N15" i="11" s="1"/>
  <c r="W15" i="11" s="1"/>
  <c r="M20" i="11"/>
  <c r="N20" i="11" s="1"/>
  <c r="W20" i="11" s="1"/>
  <c r="M22" i="11"/>
  <c r="N22" i="11" s="1"/>
  <c r="W22" i="11" s="1"/>
  <c r="M28" i="11"/>
  <c r="N28" i="11" s="1"/>
  <c r="W28" i="11" s="1"/>
  <c r="M31" i="11"/>
  <c r="N31" i="11" s="1"/>
  <c r="W31" i="11" s="1"/>
  <c r="B69" i="5"/>
  <c r="B106" i="5" s="1"/>
  <c r="D133" i="5"/>
  <c r="D136" i="5" s="1"/>
  <c r="M7" i="11"/>
  <c r="N7" i="11" s="1"/>
  <c r="W7" i="11" s="1"/>
  <c r="M12" i="11"/>
  <c r="N12" i="11" s="1"/>
  <c r="W12" i="11" s="1"/>
  <c r="M17" i="11"/>
  <c r="N17" i="11" s="1"/>
  <c r="W17" i="11" s="1"/>
  <c r="M24" i="11"/>
  <c r="N24" i="11" s="1"/>
  <c r="W24" i="11" s="1"/>
  <c r="M27" i="11"/>
  <c r="N27" i="11" s="1"/>
  <c r="W27" i="11" s="1"/>
  <c r="M30" i="11"/>
  <c r="N30" i="11" s="1"/>
  <c r="W30" i="11" s="1"/>
  <c r="K131" i="2"/>
  <c r="U32" i="2" s="1"/>
  <c r="C133" i="3"/>
  <c r="C136" i="3" s="1"/>
  <c r="C113" i="3"/>
  <c r="D112" i="3"/>
  <c r="E62" i="4"/>
  <c r="E97" i="4"/>
  <c r="E98" i="4" s="1"/>
  <c r="M4" i="11"/>
  <c r="C57" i="6" s="1"/>
  <c r="M6" i="11"/>
  <c r="N6" i="11" s="1"/>
  <c r="W6" i="11" s="1"/>
  <c r="E94" i="4"/>
  <c r="C19" i="3"/>
  <c r="B106" i="3"/>
  <c r="B62" i="4"/>
  <c r="C98" i="4"/>
  <c r="C20" i="5"/>
  <c r="C26" i="5" s="1"/>
  <c r="D96" i="5"/>
  <c r="D97" i="5" s="1"/>
  <c r="C109" i="5"/>
  <c r="C111" i="5" s="1"/>
  <c r="C133" i="5"/>
  <c r="C136" i="5" s="1"/>
  <c r="D136" i="3"/>
  <c r="C62" i="4"/>
  <c r="D20" i="5"/>
  <c r="D26" i="5" s="1"/>
  <c r="D39" i="5" s="1"/>
  <c r="D57" i="5"/>
  <c r="D105" i="5" s="1"/>
  <c r="D110" i="5"/>
  <c r="B39" i="8"/>
  <c r="B40" i="8" s="1"/>
  <c r="B41" i="8" s="1"/>
  <c r="B42" i="8" s="1"/>
  <c r="B43" i="8" s="1"/>
  <c r="C109" i="3"/>
  <c r="C111" i="3" s="1"/>
  <c r="E63" i="4"/>
  <c r="D108" i="4"/>
  <c r="E107" i="4"/>
  <c r="C108" i="4"/>
  <c r="E26" i="7"/>
  <c r="E31" i="7" s="1"/>
  <c r="N9" i="8"/>
  <c r="M4" i="8"/>
  <c r="J12" i="12"/>
  <c r="J49" i="12"/>
  <c r="D52" i="13" s="1"/>
  <c r="X8" i="13"/>
  <c r="X10" i="13" s="1"/>
  <c r="Q3" i="11"/>
  <c r="R3" i="11" s="1"/>
  <c r="S3" i="11" s="1"/>
  <c r="T3" i="11" s="1"/>
  <c r="U3" i="11" s="1"/>
  <c r="V3" i="11" s="1"/>
  <c r="M12" i="12"/>
  <c r="M3" i="8"/>
  <c r="N4" i="8"/>
  <c r="B16" i="10"/>
  <c r="C8" i="7" s="1"/>
  <c r="F4" i="7" s="1"/>
  <c r="F9" i="7" s="1"/>
  <c r="C9" i="7" s="1"/>
  <c r="G44" i="12"/>
  <c r="D96" i="3"/>
  <c r="D70" i="3"/>
  <c r="D57" i="3"/>
  <c r="D105" i="3" s="1"/>
  <c r="D20" i="3"/>
  <c r="D26" i="3" s="1"/>
  <c r="D32" i="3" s="1"/>
  <c r="D110" i="3"/>
  <c r="D111" i="3" s="1"/>
  <c r="A16" i="7"/>
  <c r="D8" i="7"/>
  <c r="D9" i="7" s="1"/>
  <c r="A7" i="7"/>
  <c r="B34" i="7"/>
  <c r="C34" i="7" s="1"/>
  <c r="D34" i="7" s="1"/>
  <c r="E34" i="7" s="1"/>
  <c r="E23" i="2"/>
  <c r="D23" i="2" s="1"/>
  <c r="M9" i="8"/>
  <c r="S8" i="8"/>
  <c r="S10" i="8" s="1"/>
  <c r="N13" i="8"/>
  <c r="N15" i="8"/>
  <c r="J4" i="8"/>
  <c r="J3" i="8"/>
  <c r="H10" i="8" s="1"/>
  <c r="H3" i="8"/>
  <c r="D35" i="4"/>
  <c r="D38" i="4" s="1"/>
  <c r="D122" i="4" s="1"/>
  <c r="D124" i="4" s="1"/>
  <c r="D36" i="4"/>
  <c r="D39" i="4" s="1"/>
  <c r="C116" i="5"/>
  <c r="C32" i="5"/>
  <c r="C103" i="5"/>
  <c r="C39" i="5"/>
  <c r="C115" i="5"/>
  <c r="C128" i="3"/>
  <c r="B51" i="4"/>
  <c r="B92" i="4" s="1"/>
  <c r="B70" i="5"/>
  <c r="B113" i="5"/>
  <c r="C128" i="5"/>
  <c r="D19" i="3"/>
  <c r="D128" i="3"/>
  <c r="D69" i="3"/>
  <c r="B96" i="3"/>
  <c r="D113" i="3"/>
  <c r="C96" i="3"/>
  <c r="B112" i="3"/>
  <c r="D114" i="3"/>
  <c r="D97" i="4"/>
  <c r="D98" i="4" s="1"/>
  <c r="D96" i="4"/>
  <c r="B19" i="4"/>
  <c r="B25" i="4" s="1"/>
  <c r="B93" i="4"/>
  <c r="E91" i="4"/>
  <c r="E108" i="4"/>
  <c r="D19" i="5"/>
  <c r="C19" i="5"/>
  <c r="D128" i="5"/>
  <c r="D69" i="5"/>
  <c r="B96" i="5"/>
  <c r="D113" i="5"/>
  <c r="C96" i="5"/>
  <c r="B112" i="5"/>
  <c r="D114" i="5"/>
  <c r="G11" i="7"/>
  <c r="F17" i="8"/>
  <c r="C38" i="1" s="1"/>
  <c r="D38" i="1" s="1"/>
  <c r="B77" i="8"/>
  <c r="B78" i="8" s="1"/>
  <c r="B79" i="8" s="1"/>
  <c r="B80" i="8" s="1"/>
  <c r="B81" i="8" s="1"/>
  <c r="B82" i="8" s="1"/>
  <c r="B65" i="8"/>
  <c r="B66" i="8" s="1"/>
  <c r="B67" i="8" s="1"/>
  <c r="B68" i="8" s="1"/>
  <c r="B69" i="8" s="1"/>
  <c r="C50" i="3"/>
  <c r="C99" i="3" s="1"/>
  <c r="C118" i="3" s="1"/>
  <c r="B7" i="3"/>
  <c r="B50" i="3" s="1"/>
  <c r="B99" i="3" s="1"/>
  <c r="B118" i="3" s="1"/>
  <c r="B20" i="3"/>
  <c r="B26" i="3" s="1"/>
  <c r="B110" i="3"/>
  <c r="B111" i="3" s="1"/>
  <c r="E36" i="4"/>
  <c r="E39" i="4" s="1"/>
  <c r="E35" i="4"/>
  <c r="E38" i="4" s="1"/>
  <c r="E122" i="4" s="1"/>
  <c r="E124" i="4" s="1"/>
  <c r="E85" i="4"/>
  <c r="D62" i="4"/>
  <c r="C94" i="4"/>
  <c r="C50" i="5"/>
  <c r="C99" i="5" s="1"/>
  <c r="C118" i="5" s="1"/>
  <c r="B7" i="5"/>
  <c r="B50" i="5" s="1"/>
  <c r="B99" i="5" s="1"/>
  <c r="B118" i="5" s="1"/>
  <c r="B109" i="5"/>
  <c r="B19" i="5"/>
  <c r="B20" i="5"/>
  <c r="B26" i="5" s="1"/>
  <c r="B115" i="5" s="1"/>
  <c r="B110" i="5"/>
  <c r="D89" i="6"/>
  <c r="G3" i="8"/>
  <c r="H4" i="8"/>
  <c r="H5" i="8"/>
  <c r="H6" i="8"/>
  <c r="H7" i="8"/>
  <c r="D103" i="3"/>
  <c r="B10" i="7" s="1"/>
  <c r="G10" i="7" s="1"/>
  <c r="B70" i="3"/>
  <c r="B113" i="3"/>
  <c r="D93" i="4"/>
  <c r="D92" i="4"/>
  <c r="D107" i="4"/>
  <c r="C21" i="9"/>
  <c r="H8" i="9"/>
  <c r="D28" i="2"/>
  <c r="E28" i="2" s="1"/>
  <c r="E31" i="2" s="1"/>
  <c r="D31" i="2" s="1"/>
  <c r="B97" i="4"/>
  <c r="B98" i="4" s="1"/>
  <c r="B96" i="4"/>
  <c r="D12" i="2"/>
  <c r="E12" i="2" s="1"/>
  <c r="C20" i="3"/>
  <c r="C26" i="3" s="1"/>
  <c r="C70" i="3"/>
  <c r="C57" i="3"/>
  <c r="C105" i="3" s="1"/>
  <c r="B115" i="3"/>
  <c r="C112" i="3"/>
  <c r="D126" i="3"/>
  <c r="C114" i="3"/>
  <c r="B114" i="3"/>
  <c r="C126" i="3"/>
  <c r="C36" i="4"/>
  <c r="C39" i="4" s="1"/>
  <c r="C35" i="4"/>
  <c r="C38" i="4" s="1"/>
  <c r="C122" i="4" s="1"/>
  <c r="C124" i="4" s="1"/>
  <c r="D94" i="4"/>
  <c r="D91" i="4"/>
  <c r="D63" i="4"/>
  <c r="D85" i="4" s="1"/>
  <c r="C91" i="4"/>
  <c r="C70" i="5"/>
  <c r="C97" i="5" s="1"/>
  <c r="C57" i="5"/>
  <c r="C105" i="5" s="1"/>
  <c r="C112" i="5"/>
  <c r="D126" i="5"/>
  <c r="C114" i="5"/>
  <c r="D111" i="5"/>
  <c r="B114" i="5"/>
  <c r="D116" i="5"/>
  <c r="C126" i="5"/>
  <c r="K15" i="8"/>
  <c r="C34" i="1" s="1"/>
  <c r="D34" i="1" s="1"/>
  <c r="E21" i="9"/>
  <c r="N3" i="8"/>
  <c r="B105" i="3"/>
  <c r="C18" i="4"/>
  <c r="C51" i="4"/>
  <c r="B105" i="5"/>
  <c r="B52" i="8"/>
  <c r="B53" i="8" s="1"/>
  <c r="B54" i="8" s="1"/>
  <c r="B55" i="8" s="1"/>
  <c r="B56" i="8" s="1"/>
  <c r="X9" i="13"/>
  <c r="O31" i="13"/>
  <c r="D8" i="13" s="1"/>
  <c r="C15" i="12"/>
  <c r="C20" i="12" s="1"/>
  <c r="M21" i="12" s="1"/>
  <c r="V24" i="13" s="1"/>
  <c r="I51" i="12"/>
  <c r="M50" i="12"/>
  <c r="V53" i="13" s="1"/>
  <c r="J50" i="12"/>
  <c r="D53" i="13" s="1"/>
  <c r="E18" i="4"/>
  <c r="E51" i="4"/>
  <c r="W16" i="13"/>
  <c r="D25" i="12"/>
  <c r="B26" i="12" s="1"/>
  <c r="M37" i="12"/>
  <c r="V40" i="13" s="1"/>
  <c r="M46" i="12"/>
  <c r="V49" i="13" s="1"/>
  <c r="M49" i="12"/>
  <c r="V52" i="13" s="1"/>
  <c r="D14" i="13"/>
  <c r="M22" i="12"/>
  <c r="V25" i="13" s="1"/>
  <c r="M24" i="12"/>
  <c r="V27" i="13" s="1"/>
  <c r="M36" i="12"/>
  <c r="V39" i="13" s="1"/>
  <c r="M38" i="12"/>
  <c r="V41" i="13" s="1"/>
  <c r="W136" i="11" l="1"/>
  <c r="E22" i="9" s="1"/>
  <c r="M30" i="12"/>
  <c r="V33" i="13" s="1"/>
  <c r="M32" i="12"/>
  <c r="V35" i="13" s="1"/>
  <c r="M17" i="12"/>
  <c r="V20" i="13" s="1"/>
  <c r="M44" i="12"/>
  <c r="V47" i="13" s="1"/>
  <c r="M40" i="12"/>
  <c r="V43" i="13" s="1"/>
  <c r="M28" i="12"/>
  <c r="V31" i="13" s="1"/>
  <c r="M39" i="12"/>
  <c r="V42" i="13" s="1"/>
  <c r="M43" i="12"/>
  <c r="V46" i="13" s="1"/>
  <c r="D106" i="5"/>
  <c r="D103" i="5"/>
  <c r="B19" i="7" s="1"/>
  <c r="C19" i="7" s="1"/>
  <c r="D19" i="7" s="1"/>
  <c r="E19" i="7" s="1"/>
  <c r="E22" i="7" s="1"/>
  <c r="D32" i="5"/>
  <c r="D104" i="5" s="1"/>
  <c r="D115" i="5"/>
  <c r="C97" i="3"/>
  <c r="D115" i="3"/>
  <c r="D116" i="3"/>
  <c r="S9" i="8"/>
  <c r="C55" i="6" s="1"/>
  <c r="D7" i="2"/>
  <c r="E7" i="2" s="1"/>
  <c r="C13" i="1"/>
  <c r="D13" i="1" s="1"/>
  <c r="B97" i="3"/>
  <c r="B97" i="5"/>
  <c r="B111" i="5"/>
  <c r="D97" i="3"/>
  <c r="D106" i="3"/>
  <c r="D39" i="3"/>
  <c r="D40" i="3" s="1"/>
  <c r="D43" i="3" s="1"/>
  <c r="D16" i="2"/>
  <c r="E16" i="2" s="1"/>
  <c r="C10" i="7"/>
  <c r="C13" i="7" s="1"/>
  <c r="B13" i="7"/>
  <c r="B25" i="7" s="1"/>
  <c r="G19" i="7"/>
  <c r="C18" i="7"/>
  <c r="C23" i="7" s="1"/>
  <c r="B33" i="7"/>
  <c r="D21" i="9"/>
  <c r="B24" i="9" s="1"/>
  <c r="D22" i="9"/>
  <c r="M34" i="12"/>
  <c r="V37" i="13" s="1"/>
  <c r="M19" i="12"/>
  <c r="V22" i="13" s="1"/>
  <c r="M35" i="12"/>
  <c r="V38" i="13" s="1"/>
  <c r="M23" i="12"/>
  <c r="V26" i="13" s="1"/>
  <c r="C103" i="4"/>
  <c r="C106" i="4" s="1"/>
  <c r="C109" i="4" s="1"/>
  <c r="C125" i="4" s="1"/>
  <c r="C130" i="4" s="1"/>
  <c r="C40" i="4"/>
  <c r="C41" i="4" s="1"/>
  <c r="C90" i="4" s="1"/>
  <c r="C89" i="4"/>
  <c r="D8" i="2"/>
  <c r="E8" i="2" s="1"/>
  <c r="C20" i="1"/>
  <c r="B103" i="3"/>
  <c r="B39" i="3"/>
  <c r="B32" i="3"/>
  <c r="B116" i="3"/>
  <c r="B94" i="4"/>
  <c r="B91" i="4"/>
  <c r="B27" i="4"/>
  <c r="I52" i="12"/>
  <c r="M51" i="12"/>
  <c r="V54" i="13" s="1"/>
  <c r="J51" i="12"/>
  <c r="D54" i="13" s="1"/>
  <c r="E16" i="13"/>
  <c r="M18" i="12"/>
  <c r="V21" i="13" s="1"/>
  <c r="M48" i="12"/>
  <c r="V51" i="13" s="1"/>
  <c r="M41" i="12"/>
  <c r="V44" i="13" s="1"/>
  <c r="M33" i="12"/>
  <c r="V36" i="13" s="1"/>
  <c r="M26" i="12"/>
  <c r="V29" i="13" s="1"/>
  <c r="E93" i="4"/>
  <c r="E92" i="4"/>
  <c r="C93" i="4"/>
  <c r="C92" i="4"/>
  <c r="C16" i="1"/>
  <c r="D16" i="1" s="1"/>
  <c r="C57" i="1"/>
  <c r="D57" i="1" s="1"/>
  <c r="C106" i="5"/>
  <c r="C40" i="5"/>
  <c r="C43" i="5" s="1"/>
  <c r="C42" i="5"/>
  <c r="D89" i="4"/>
  <c r="D40" i="4"/>
  <c r="D41" i="4" s="1"/>
  <c r="D90" i="4" s="1"/>
  <c r="D103" i="4"/>
  <c r="D106" i="4" s="1"/>
  <c r="D109" i="4" s="1"/>
  <c r="D125" i="4" s="1"/>
  <c r="D130" i="4" s="1"/>
  <c r="D107" i="3"/>
  <c r="D33" i="3"/>
  <c r="D104" i="3"/>
  <c r="N17" i="8"/>
  <c r="J12" i="8" s="1"/>
  <c r="D14" i="2"/>
  <c r="E14" i="2" s="1"/>
  <c r="E40" i="4"/>
  <c r="E41" i="4" s="1"/>
  <c r="E90" i="4" s="1"/>
  <c r="E103" i="4"/>
  <c r="E106" i="4" s="1"/>
  <c r="E109" i="4" s="1"/>
  <c r="E125" i="4" s="1"/>
  <c r="E130" i="4" s="1"/>
  <c r="E89" i="4"/>
  <c r="C106" i="3"/>
  <c r="D26" i="12"/>
  <c r="F6" i="13"/>
  <c r="N30" i="13"/>
  <c r="G5" i="13" s="1"/>
  <c r="F25" i="12"/>
  <c r="G13" i="12"/>
  <c r="M31" i="12"/>
  <c r="V34" i="13" s="1"/>
  <c r="M27" i="12"/>
  <c r="V30" i="13" s="1"/>
  <c r="M20" i="12"/>
  <c r="V23" i="13" s="1"/>
  <c r="M47" i="12"/>
  <c r="V50" i="13" s="1"/>
  <c r="M45" i="12"/>
  <c r="V48" i="13" s="1"/>
  <c r="M29" i="12"/>
  <c r="V32" i="13" s="1"/>
  <c r="M16" i="12"/>
  <c r="V19" i="13" s="1"/>
  <c r="M13" i="12"/>
  <c r="M42" i="12"/>
  <c r="V45" i="13" s="1"/>
  <c r="M25" i="12"/>
  <c r="V28" i="13" s="1"/>
  <c r="M15" i="12"/>
  <c r="V18" i="13" s="1"/>
  <c r="M14" i="12"/>
  <c r="V17" i="13" s="1"/>
  <c r="C116" i="3"/>
  <c r="C32" i="3"/>
  <c r="C115" i="3"/>
  <c r="C103" i="3"/>
  <c r="D10" i="2" s="1"/>
  <c r="E10" i="2" s="1"/>
  <c r="C39" i="3"/>
  <c r="B103" i="5"/>
  <c r="B39" i="5"/>
  <c r="B32" i="5"/>
  <c r="B116" i="5"/>
  <c r="B11" i="7"/>
  <c r="D42" i="5"/>
  <c r="D40" i="5"/>
  <c r="D43" i="5" s="1"/>
  <c r="C104" i="5"/>
  <c r="C33" i="5"/>
  <c r="C107" i="5"/>
  <c r="D15" i="2" l="1"/>
  <c r="E15" i="2" s="1"/>
  <c r="E18" i="2" s="1"/>
  <c r="D18" i="2" s="1"/>
  <c r="C27" i="1"/>
  <c r="D27" i="1" s="1"/>
  <c r="G20" i="7"/>
  <c r="B20" i="7" s="1"/>
  <c r="C20" i="7" s="1"/>
  <c r="D20" i="7" s="1"/>
  <c r="D33" i="5"/>
  <c r="D107" i="5"/>
  <c r="D42" i="3"/>
  <c r="D47" i="3" s="1"/>
  <c r="D10" i="7"/>
  <c r="E10" i="7" s="1"/>
  <c r="E13" i="7" s="1"/>
  <c r="E25" i="7" s="1"/>
  <c r="E30" i="7" s="1"/>
  <c r="B25" i="9"/>
  <c r="C36" i="1" s="1"/>
  <c r="D36" i="1" s="1"/>
  <c r="C24" i="9"/>
  <c r="D13" i="8" s="1"/>
  <c r="C35" i="1"/>
  <c r="D35" i="1" s="1"/>
  <c r="B30" i="7"/>
  <c r="C25" i="7"/>
  <c r="C30" i="7"/>
  <c r="C11" i="7"/>
  <c r="B14" i="7"/>
  <c r="N28" i="13"/>
  <c r="J16" i="12"/>
  <c r="D19" i="13" s="1"/>
  <c r="J15" i="12"/>
  <c r="D18" i="13" s="1"/>
  <c r="J14" i="12"/>
  <c r="D17" i="13" s="1"/>
  <c r="J13" i="12"/>
  <c r="J19" i="12"/>
  <c r="D22" i="13" s="1"/>
  <c r="J18" i="12"/>
  <c r="D21" i="13" s="1"/>
  <c r="J17" i="12"/>
  <c r="D20" i="13" s="1"/>
  <c r="J1" i="12"/>
  <c r="J20" i="12"/>
  <c r="D23" i="13" s="1"/>
  <c r="J21" i="12"/>
  <c r="D24" i="13" s="1"/>
  <c r="D47" i="5"/>
  <c r="D141" i="5"/>
  <c r="D143" i="5" s="1"/>
  <c r="C40" i="3"/>
  <c r="C43" i="3" s="1"/>
  <c r="C42" i="3"/>
  <c r="B27" i="12"/>
  <c r="B42" i="5"/>
  <c r="B47" i="5" s="1"/>
  <c r="B40" i="5"/>
  <c r="B43" i="5" s="1"/>
  <c r="D101" i="5"/>
  <c r="D120" i="5"/>
  <c r="D125" i="5" s="1"/>
  <c r="D129" i="5" s="1"/>
  <c r="D44" i="5"/>
  <c r="D45" i="5" s="1"/>
  <c r="D102" i="5" s="1"/>
  <c r="B107" i="5"/>
  <c r="B104" i="5"/>
  <c r="B33" i="5"/>
  <c r="V16" i="13"/>
  <c r="C47" i="5"/>
  <c r="C141" i="5"/>
  <c r="C143" i="5" s="1"/>
  <c r="I53" i="12"/>
  <c r="M52" i="12"/>
  <c r="V55" i="13" s="1"/>
  <c r="J52" i="12"/>
  <c r="D55" i="13" s="1"/>
  <c r="C101" i="5"/>
  <c r="C120" i="5"/>
  <c r="C125" i="5" s="1"/>
  <c r="C129" i="5" s="1"/>
  <c r="C44" i="5"/>
  <c r="C45" i="5" s="1"/>
  <c r="C102" i="5" s="1"/>
  <c r="B35" i="4"/>
  <c r="B38" i="4" s="1"/>
  <c r="B36" i="4"/>
  <c r="B39" i="4" s="1"/>
  <c r="B107" i="3"/>
  <c r="B104" i="3"/>
  <c r="B33" i="3"/>
  <c r="C33" i="7"/>
  <c r="B35" i="7"/>
  <c r="C104" i="3"/>
  <c r="C33" i="3"/>
  <c r="C23" i="1"/>
  <c r="C107" i="3"/>
  <c r="F26" i="12"/>
  <c r="G14" i="12"/>
  <c r="O30" i="13"/>
  <c r="G6" i="13" s="1"/>
  <c r="D9" i="2"/>
  <c r="E9" i="2" s="1"/>
  <c r="C22" i="1"/>
  <c r="B42" i="3"/>
  <c r="B47" i="3" s="1"/>
  <c r="B40" i="3"/>
  <c r="B43" i="3" s="1"/>
  <c r="D101" i="3"/>
  <c r="D120" i="3"/>
  <c r="D125" i="3" s="1"/>
  <c r="D129" i="3" s="1"/>
  <c r="D44" i="3"/>
  <c r="D45" i="3" s="1"/>
  <c r="D102" i="3" s="1"/>
  <c r="C144" i="5" l="1"/>
  <c r="C149" i="5" s="1"/>
  <c r="D141" i="3"/>
  <c r="D143" i="3" s="1"/>
  <c r="D144" i="3" s="1"/>
  <c r="D149" i="3" s="1"/>
  <c r="D13" i="7"/>
  <c r="D30" i="7" s="1"/>
  <c r="C25" i="9"/>
  <c r="D14" i="8" s="1"/>
  <c r="D144" i="5"/>
  <c r="D149" i="5" s="1"/>
  <c r="B31" i="7"/>
  <c r="B40" i="7" s="1"/>
  <c r="B26" i="7"/>
  <c r="D11" i="7"/>
  <c r="D14" i="7" s="1"/>
  <c r="C14" i="7"/>
  <c r="O28" i="13"/>
  <c r="J25" i="12"/>
  <c r="D28" i="13" s="1"/>
  <c r="J2" i="12"/>
  <c r="J28" i="12"/>
  <c r="D31" i="13" s="1"/>
  <c r="J24" i="12"/>
  <c r="D27" i="13" s="1"/>
  <c r="J22" i="12"/>
  <c r="D25" i="13" s="1"/>
  <c r="J27" i="12"/>
  <c r="D30" i="13" s="1"/>
  <c r="J23" i="12"/>
  <c r="D26" i="13" s="1"/>
  <c r="J26" i="12"/>
  <c r="D29" i="13" s="1"/>
  <c r="C35" i="7"/>
  <c r="D40" i="2"/>
  <c r="D33" i="7"/>
  <c r="B89" i="4"/>
  <c r="B40" i="4"/>
  <c r="B41" i="4" s="1"/>
  <c r="B90" i="4" s="1"/>
  <c r="C101" i="3"/>
  <c r="C120" i="3"/>
  <c r="C125" i="3" s="1"/>
  <c r="C129" i="3" s="1"/>
  <c r="C44" i="3"/>
  <c r="C45" i="3" s="1"/>
  <c r="C102" i="3" s="1"/>
  <c r="D11" i="2" s="1"/>
  <c r="E11" i="2" s="1"/>
  <c r="E13" i="2" s="1"/>
  <c r="I54" i="12"/>
  <c r="M53" i="12"/>
  <c r="V56" i="13" s="1"/>
  <c r="J53" i="12"/>
  <c r="D56" i="13" s="1"/>
  <c r="B44" i="3"/>
  <c r="B45" i="3" s="1"/>
  <c r="B102" i="3" s="1"/>
  <c r="B101" i="3"/>
  <c r="B44" i="5"/>
  <c r="B45" i="5" s="1"/>
  <c r="B102" i="5" s="1"/>
  <c r="B101" i="5"/>
  <c r="D16" i="13"/>
  <c r="N29" i="13"/>
  <c r="H5" i="13" s="1"/>
  <c r="I5" i="13"/>
  <c r="B39" i="7"/>
  <c r="F7" i="13"/>
  <c r="D27" i="12"/>
  <c r="C47" i="3"/>
  <c r="C141" i="3"/>
  <c r="C143" i="3" s="1"/>
  <c r="D25" i="7" l="1"/>
  <c r="D13" i="2"/>
  <c r="E32" i="2"/>
  <c r="D31" i="7"/>
  <c r="D26" i="7"/>
  <c r="C31" i="7"/>
  <c r="C26" i="7"/>
  <c r="C39" i="7"/>
  <c r="C52" i="6" s="1"/>
  <c r="P30" i="13"/>
  <c r="G7" i="13" s="1"/>
  <c r="G15" i="12"/>
  <c r="F27" i="12"/>
  <c r="B28" i="12"/>
  <c r="C144" i="3"/>
  <c r="C149" i="3" s="1"/>
  <c r="O29" i="13"/>
  <c r="H6" i="13" s="1"/>
  <c r="I6" i="13"/>
  <c r="E33" i="7"/>
  <c r="E35" i="7" s="1"/>
  <c r="D35" i="7"/>
  <c r="P16" i="13"/>
  <c r="I55" i="12"/>
  <c r="M54" i="12"/>
  <c r="J54" i="12"/>
  <c r="D57" i="13" s="1"/>
  <c r="D42" i="2" l="1"/>
  <c r="C13" i="6"/>
  <c r="D91" i="6" s="1"/>
  <c r="C40" i="7"/>
  <c r="D41" i="2"/>
  <c r="D39" i="7"/>
  <c r="D40" i="7"/>
  <c r="I56" i="12"/>
  <c r="M55" i="12"/>
  <c r="V58" i="13" s="1"/>
  <c r="J55" i="12"/>
  <c r="D58" i="13" s="1"/>
  <c r="P28" i="13"/>
  <c r="J29" i="12"/>
  <c r="J36" i="12"/>
  <c r="D39" i="13" s="1"/>
  <c r="J34" i="12"/>
  <c r="D37" i="13" s="1"/>
  <c r="J32" i="12"/>
  <c r="D35" i="13" s="1"/>
  <c r="J31" i="12"/>
  <c r="D34" i="13" s="1"/>
  <c r="J3" i="12"/>
  <c r="J33" i="12"/>
  <c r="D36" i="13" s="1"/>
  <c r="J30" i="12"/>
  <c r="D33" i="13" s="1"/>
  <c r="J35" i="12"/>
  <c r="D38" i="13" s="1"/>
  <c r="F8" i="13"/>
  <c r="D28" i="12"/>
  <c r="V57" i="13"/>
  <c r="E40" i="7"/>
  <c r="E39" i="7"/>
  <c r="D43" i="2" l="1"/>
  <c r="D44" i="2" s="1"/>
  <c r="D45" i="2" s="1"/>
  <c r="Q30" i="13"/>
  <c r="G8" i="13" s="1"/>
  <c r="G16" i="12"/>
  <c r="F28" i="12"/>
  <c r="B29" i="12"/>
  <c r="D32" i="13"/>
  <c r="P29" i="13"/>
  <c r="H7" i="13" s="1"/>
  <c r="I7" i="13"/>
  <c r="I57" i="12"/>
  <c r="M56" i="12"/>
  <c r="J56" i="12"/>
  <c r="D59" i="13" s="1"/>
  <c r="C14" i="6" l="1"/>
  <c r="V59" i="13"/>
  <c r="I58" i="12"/>
  <c r="M57" i="12"/>
  <c r="V60" i="13" s="1"/>
  <c r="J57" i="12"/>
  <c r="D60" i="13" s="1"/>
  <c r="P17" i="13"/>
  <c r="F9" i="13"/>
  <c r="D29" i="12"/>
  <c r="J47" i="12"/>
  <c r="D50" i="13" s="1"/>
  <c r="J45" i="12"/>
  <c r="D48" i="13" s="1"/>
  <c r="J42" i="12"/>
  <c r="D45" i="13" s="1"/>
  <c r="J43" i="12"/>
  <c r="D46" i="13" s="1"/>
  <c r="J40" i="12"/>
  <c r="D43" i="13" s="1"/>
  <c r="J38" i="12"/>
  <c r="D41" i="13" s="1"/>
  <c r="J4" i="12"/>
  <c r="Q28" i="13"/>
  <c r="J48" i="12"/>
  <c r="D51" i="13" s="1"/>
  <c r="J46" i="12"/>
  <c r="D49" i="13" s="1"/>
  <c r="J44" i="12"/>
  <c r="D47" i="13" s="1"/>
  <c r="J41" i="12"/>
  <c r="D44" i="13" s="1"/>
  <c r="J39" i="12"/>
  <c r="D42" i="13" s="1"/>
  <c r="J37" i="12"/>
  <c r="I59" i="12" l="1"/>
  <c r="M58" i="12"/>
  <c r="J58" i="12"/>
  <c r="D61" i="13" s="1"/>
  <c r="Q29" i="13"/>
  <c r="H8" i="13" s="1"/>
  <c r="I8" i="13"/>
  <c r="R30" i="13"/>
  <c r="G9" i="13" s="1"/>
  <c r="F29" i="12"/>
  <c r="G17" i="12"/>
  <c r="B30" i="12"/>
  <c r="D40" i="13"/>
  <c r="R28" i="13" l="1"/>
  <c r="J5" i="12"/>
  <c r="V61" i="13"/>
  <c r="F10" i="13"/>
  <c r="D30" i="12"/>
  <c r="P18" i="13"/>
  <c r="I60" i="12"/>
  <c r="M59" i="12"/>
  <c r="V62" i="13" s="1"/>
  <c r="J59" i="12"/>
  <c r="D62" i="13" s="1"/>
  <c r="I61" i="12" l="1"/>
  <c r="M60" i="12"/>
  <c r="V63" i="13" s="1"/>
  <c r="J60" i="12"/>
  <c r="D63" i="13" s="1"/>
  <c r="F30" i="12"/>
  <c r="S30" i="13"/>
  <c r="G10" i="13" s="1"/>
  <c r="G18" i="12"/>
  <c r="B31" i="12"/>
  <c r="D31" i="12" s="1"/>
  <c r="D32" i="12" s="1"/>
  <c r="R29" i="13"/>
  <c r="H9" i="13" s="1"/>
  <c r="I9" i="13"/>
  <c r="I62" i="12" l="1"/>
  <c r="M61" i="12"/>
  <c r="V64" i="13" s="1"/>
  <c r="J61" i="12"/>
  <c r="D64" i="13" s="1"/>
  <c r="G19" i="12"/>
  <c r="J7" i="12" s="1"/>
  <c r="F31" i="12"/>
  <c r="F32" i="12" s="1"/>
  <c r="S28" i="13"/>
  <c r="J6" i="12"/>
  <c r="I3" i="12"/>
  <c r="C16" i="12" s="1"/>
  <c r="P19" i="13"/>
  <c r="S29" i="13" l="1"/>
  <c r="H10" i="13" s="1"/>
  <c r="I10" i="13"/>
  <c r="P4" i="13"/>
  <c r="O32" i="13" s="1"/>
  <c r="D9" i="13" s="1"/>
  <c r="I63" i="12"/>
  <c r="M62" i="12"/>
  <c r="V65" i="13" s="1"/>
  <c r="J62" i="12"/>
  <c r="D65" i="13" s="1"/>
  <c r="J8" i="12"/>
  <c r="C21" i="12" s="1"/>
  <c r="I64" i="12" l="1"/>
  <c r="M63" i="12"/>
  <c r="V66" i="13" s="1"/>
  <c r="J63" i="12"/>
  <c r="D66" i="13" s="1"/>
  <c r="I65" i="12" l="1"/>
  <c r="M64" i="12"/>
  <c r="V67" i="13" s="1"/>
  <c r="J64" i="12"/>
  <c r="D67" i="13" s="1"/>
  <c r="I66" i="12" l="1"/>
  <c r="M65" i="12"/>
  <c r="V68" i="13" s="1"/>
  <c r="J65" i="12"/>
  <c r="D68" i="13" s="1"/>
  <c r="I67" i="12" l="1"/>
  <c r="M66" i="12"/>
  <c r="V69" i="13" s="1"/>
  <c r="J66" i="12"/>
  <c r="D69" i="13" s="1"/>
  <c r="I68" i="12" l="1"/>
  <c r="M67" i="12"/>
  <c r="V70" i="13" s="1"/>
  <c r="J67" i="12"/>
  <c r="D70" i="13" s="1"/>
  <c r="I69" i="12" l="1"/>
  <c r="M68" i="12"/>
  <c r="V71" i="13" s="1"/>
  <c r="J68" i="12"/>
  <c r="D71" i="13" s="1"/>
  <c r="I70" i="12" l="1"/>
  <c r="M69" i="12"/>
  <c r="V72" i="13" s="1"/>
  <c r="J69" i="12"/>
  <c r="D72" i="13" s="1"/>
  <c r="I71" i="12" l="1"/>
  <c r="M70" i="12"/>
  <c r="V73" i="13" s="1"/>
  <c r="J70" i="12"/>
  <c r="D73" i="13" s="1"/>
  <c r="I72" i="12" l="1"/>
  <c r="M71" i="12"/>
  <c r="V74" i="13" s="1"/>
  <c r="J71" i="12"/>
  <c r="D74" i="13" s="1"/>
  <c r="M72" i="12" l="1"/>
  <c r="J72" i="12"/>
  <c r="D75" i="13" l="1"/>
  <c r="C18" i="12"/>
  <c r="X3" i="13" s="1"/>
  <c r="V75" i="13"/>
  <c r="C19" i="12"/>
  <c r="V13" i="13" l="1"/>
  <c r="X16" i="13" s="1"/>
  <c r="Y16" i="13" s="1"/>
  <c r="Z16" i="13" s="1"/>
  <c r="W17" i="13" s="1"/>
  <c r="D13" i="13"/>
  <c r="F16" i="13" s="1"/>
  <c r="P20" i="13"/>
  <c r="P22" i="13" s="1"/>
  <c r="G16" i="13" l="1"/>
  <c r="X17" i="13"/>
  <c r="Y17" i="13" s="1"/>
  <c r="Z17" i="13" s="1"/>
  <c r="W18" i="13" s="1"/>
  <c r="X18" i="13" l="1"/>
  <c r="Y18" i="13" s="1"/>
  <c r="Z18" i="13" s="1"/>
  <c r="W19" i="13" s="1"/>
  <c r="H16" i="13"/>
  <c r="E17" i="13" s="1"/>
  <c r="F17" i="13" l="1"/>
  <c r="X19" i="13"/>
  <c r="Y19" i="13" s="1"/>
  <c r="Z19" i="13" s="1"/>
  <c r="W20" i="13" s="1"/>
  <c r="X20" i="13" l="1"/>
  <c r="Y20" i="13" s="1"/>
  <c r="Z20" i="13"/>
  <c r="W21" i="13" s="1"/>
  <c r="G17" i="13"/>
  <c r="H17" i="13" l="1"/>
  <c r="E18" i="13" s="1"/>
  <c r="X21" i="13"/>
  <c r="Y21" i="13" s="1"/>
  <c r="Z21" i="13" s="1"/>
  <c r="W22" i="13" s="1"/>
  <c r="X22" i="13" l="1"/>
  <c r="Y22" i="13" s="1"/>
  <c r="Z22" i="13" s="1"/>
  <c r="W23" i="13" s="1"/>
  <c r="F18" i="13"/>
  <c r="G18" i="13" l="1"/>
  <c r="X23" i="13"/>
  <c r="Y23" i="13" s="1"/>
  <c r="Z23" i="13" s="1"/>
  <c r="W24" i="13" s="1"/>
  <c r="X24" i="13" l="1"/>
  <c r="Y24" i="13" s="1"/>
  <c r="Z24" i="13" s="1"/>
  <c r="W25" i="13" s="1"/>
  <c r="H18" i="13"/>
  <c r="E19" i="13" s="1"/>
  <c r="X25" i="13" l="1"/>
  <c r="Y25" i="13" s="1"/>
  <c r="Z25" i="13" s="1"/>
  <c r="W26" i="13" s="1"/>
  <c r="F19" i="13"/>
  <c r="G19" i="13" l="1"/>
  <c r="X26" i="13"/>
  <c r="Y26" i="13" s="1"/>
  <c r="Z26" i="13" s="1"/>
  <c r="W27" i="13" s="1"/>
  <c r="X27" i="13" l="1"/>
  <c r="Y27" i="13" s="1"/>
  <c r="Z27" i="13" s="1"/>
  <c r="W28" i="13" s="1"/>
  <c r="H19" i="13"/>
  <c r="E20" i="13" s="1"/>
  <c r="X28" i="13" l="1"/>
  <c r="Y28" i="13" s="1"/>
  <c r="Z28" i="13" s="1"/>
  <c r="W29" i="13" s="1"/>
  <c r="F20" i="13"/>
  <c r="X29" i="13" l="1"/>
  <c r="Y29" i="13" s="1"/>
  <c r="Z29" i="13" s="1"/>
  <c r="W30" i="13" s="1"/>
  <c r="G20" i="13"/>
  <c r="H20" i="13" l="1"/>
  <c r="E21" i="13" s="1"/>
  <c r="X30" i="13"/>
  <c r="Y30" i="13" s="1"/>
  <c r="Z30" i="13" s="1"/>
  <c r="W31" i="13" s="1"/>
  <c r="X31" i="13" l="1"/>
  <c r="Y31" i="13" s="1"/>
  <c r="Z31" i="13" s="1"/>
  <c r="W32" i="13" s="1"/>
  <c r="F21" i="13"/>
  <c r="G21" i="13" s="1"/>
  <c r="H21" i="13" s="1"/>
  <c r="E22" i="13" s="1"/>
  <c r="F22" i="13" l="1"/>
  <c r="G22" i="13" s="1"/>
  <c r="H22" i="13" s="1"/>
  <c r="E23" i="13" s="1"/>
  <c r="X32" i="13"/>
  <c r="Y32" i="13" s="1"/>
  <c r="Z32" i="13" s="1"/>
  <c r="W33" i="13" s="1"/>
  <c r="X33" i="13" l="1"/>
  <c r="Y33" i="13" s="1"/>
  <c r="Z33" i="13" s="1"/>
  <c r="W34" i="13" s="1"/>
  <c r="F23" i="13"/>
  <c r="G23" i="13" s="1"/>
  <c r="H23" i="13" s="1"/>
  <c r="E24" i="13" s="1"/>
  <c r="F24" i="13" l="1"/>
  <c r="G24" i="13" s="1"/>
  <c r="H24" i="13" s="1"/>
  <c r="E25" i="13" s="1"/>
  <c r="X34" i="13"/>
  <c r="Y34" i="13" s="1"/>
  <c r="Z34" i="13" s="1"/>
  <c r="W35" i="13" s="1"/>
  <c r="X35" i="13" l="1"/>
  <c r="Y35" i="13" s="1"/>
  <c r="Z35" i="13" s="1"/>
  <c r="W36" i="13" s="1"/>
  <c r="F25" i="13"/>
  <c r="G25" i="13" s="1"/>
  <c r="H25" i="13" s="1"/>
  <c r="E26" i="13" s="1"/>
  <c r="X36" i="13" l="1"/>
  <c r="Y36" i="13" s="1"/>
  <c r="Z36" i="13" s="1"/>
  <c r="W37" i="13" s="1"/>
  <c r="F26" i="13"/>
  <c r="G26" i="13" s="1"/>
  <c r="H26" i="13" s="1"/>
  <c r="E27" i="13" s="1"/>
  <c r="F27" i="13" l="1"/>
  <c r="X37" i="13"/>
  <c r="Y37" i="13" s="1"/>
  <c r="Z37" i="13" s="1"/>
  <c r="W38" i="13" s="1"/>
  <c r="X38" i="13" l="1"/>
  <c r="Y38" i="13" s="1"/>
  <c r="Z38" i="13" s="1"/>
  <c r="W39" i="13" s="1"/>
  <c r="G27" i="13"/>
  <c r="N16" i="13"/>
  <c r="X39" i="13" l="1"/>
  <c r="Y39" i="13" s="1"/>
  <c r="Z39" i="13" s="1"/>
  <c r="W40" i="13" s="1"/>
  <c r="O16" i="13"/>
  <c r="H27" i="13"/>
  <c r="E28" i="13" s="1"/>
  <c r="X40" i="13" l="1"/>
  <c r="Y40" i="13" s="1"/>
  <c r="Z40" i="13"/>
  <c r="W41" i="13" s="1"/>
  <c r="F28" i="13"/>
  <c r="G28" i="13" l="1"/>
  <c r="X41" i="13"/>
  <c r="Y41" i="13" s="1"/>
  <c r="Z41" i="13" s="1"/>
  <c r="W42" i="13" s="1"/>
  <c r="X42" i="13" l="1"/>
  <c r="Y42" i="13" s="1"/>
  <c r="Z42" i="13" s="1"/>
  <c r="W43" i="13" s="1"/>
  <c r="H28" i="13"/>
  <c r="E29" i="13" s="1"/>
  <c r="X43" i="13" l="1"/>
  <c r="Y43" i="13" s="1"/>
  <c r="Z43" i="13" s="1"/>
  <c r="W44" i="13" s="1"/>
  <c r="F29" i="13"/>
  <c r="X44" i="13" l="1"/>
  <c r="Y44" i="13" s="1"/>
  <c r="Z44" i="13"/>
  <c r="W45" i="13" s="1"/>
  <c r="G29" i="13"/>
  <c r="H29" i="13" l="1"/>
  <c r="E30" i="13" s="1"/>
  <c r="X45" i="13"/>
  <c r="Y45" i="13" s="1"/>
  <c r="Z45" i="13" s="1"/>
  <c r="W46" i="13" s="1"/>
  <c r="X46" i="13" l="1"/>
  <c r="Y46" i="13" s="1"/>
  <c r="Z46" i="13" s="1"/>
  <c r="W47" i="13" s="1"/>
  <c r="F30" i="13"/>
  <c r="X47" i="13" l="1"/>
  <c r="Y47" i="13" s="1"/>
  <c r="Z47" i="13" s="1"/>
  <c r="W48" i="13" s="1"/>
  <c r="G30" i="13"/>
  <c r="X48" i="13" l="1"/>
  <c r="Y48" i="13" s="1"/>
  <c r="Z48" i="13" s="1"/>
  <c r="W49" i="13" s="1"/>
  <c r="H30" i="13"/>
  <c r="E31" i="13" s="1"/>
  <c r="X49" i="13" l="1"/>
  <c r="Y49" i="13" s="1"/>
  <c r="Z49" i="13" s="1"/>
  <c r="W50" i="13" s="1"/>
  <c r="F31" i="13"/>
  <c r="G31" i="13" l="1"/>
  <c r="X50" i="13"/>
  <c r="Y50" i="13" s="1"/>
  <c r="Z50" i="13" s="1"/>
  <c r="W51" i="13" s="1"/>
  <c r="X51" i="13" l="1"/>
  <c r="Y51" i="13" s="1"/>
  <c r="Z51" i="13" s="1"/>
  <c r="W52" i="13" s="1"/>
  <c r="H31" i="13"/>
  <c r="E32" i="13" s="1"/>
  <c r="X52" i="13" l="1"/>
  <c r="Y52" i="13" s="1"/>
  <c r="Z52" i="13" s="1"/>
  <c r="W53" i="13" s="1"/>
  <c r="F32" i="13"/>
  <c r="X53" i="13" l="1"/>
  <c r="Y53" i="13" s="1"/>
  <c r="Z53" i="13"/>
  <c r="W54" i="13" s="1"/>
  <c r="G32" i="13"/>
  <c r="H32" i="13" l="1"/>
  <c r="E33" i="13" s="1"/>
  <c r="X54" i="13"/>
  <c r="Y54" i="13" s="1"/>
  <c r="Z54" i="13" s="1"/>
  <c r="W55" i="13" s="1"/>
  <c r="X55" i="13" l="1"/>
  <c r="Y55" i="13" s="1"/>
  <c r="Z55" i="13" s="1"/>
  <c r="W56" i="13" s="1"/>
  <c r="F33" i="13"/>
  <c r="G33" i="13" s="1"/>
  <c r="H33" i="13" s="1"/>
  <c r="E34" i="13" s="1"/>
  <c r="F34" i="13" l="1"/>
  <c r="G34" i="13" s="1"/>
  <c r="H34" i="13" s="1"/>
  <c r="E35" i="13" s="1"/>
  <c r="X56" i="13"/>
  <c r="Y56" i="13" s="1"/>
  <c r="Z56" i="13" s="1"/>
  <c r="W57" i="13" s="1"/>
  <c r="X57" i="13" l="1"/>
  <c r="Y57" i="13" s="1"/>
  <c r="Z57" i="13" s="1"/>
  <c r="W58" i="13" s="1"/>
  <c r="F35" i="13"/>
  <c r="G35" i="13" s="1"/>
  <c r="H35" i="13" s="1"/>
  <c r="E36" i="13" s="1"/>
  <c r="F36" i="13" l="1"/>
  <c r="G36" i="13" s="1"/>
  <c r="H36" i="13"/>
  <c r="E37" i="13" s="1"/>
  <c r="X58" i="13"/>
  <c r="Y58" i="13" s="1"/>
  <c r="Z58" i="13" s="1"/>
  <c r="W59" i="13" s="1"/>
  <c r="X59" i="13" l="1"/>
  <c r="Y59" i="13" s="1"/>
  <c r="Z59" i="13" s="1"/>
  <c r="W60" i="13" s="1"/>
  <c r="F37" i="13"/>
  <c r="G37" i="13" s="1"/>
  <c r="H37" i="13" s="1"/>
  <c r="E38" i="13" s="1"/>
  <c r="X60" i="13" l="1"/>
  <c r="Y60" i="13" s="1"/>
  <c r="Z60" i="13" s="1"/>
  <c r="W61" i="13" s="1"/>
  <c r="F38" i="13"/>
  <c r="G38" i="13" s="1"/>
  <c r="H38" i="13" s="1"/>
  <c r="E39" i="13" s="1"/>
  <c r="F39" i="13" l="1"/>
  <c r="X61" i="13"/>
  <c r="Y61" i="13" s="1"/>
  <c r="Z61" i="13" s="1"/>
  <c r="W62" i="13" s="1"/>
  <c r="X62" i="13" l="1"/>
  <c r="Y62" i="13" s="1"/>
  <c r="Z62" i="13" s="1"/>
  <c r="W63" i="13" s="1"/>
  <c r="G39" i="13"/>
  <c r="N17" i="13"/>
  <c r="O17" i="13" l="1"/>
  <c r="H39" i="13"/>
  <c r="E40" i="13" s="1"/>
  <c r="X63" i="13"/>
  <c r="Y63" i="13" s="1"/>
  <c r="Z63" i="13" s="1"/>
  <c r="W64" i="13" s="1"/>
  <c r="X64" i="13" l="1"/>
  <c r="Y64" i="13" s="1"/>
  <c r="Z64" i="13" s="1"/>
  <c r="W65" i="13" s="1"/>
  <c r="F40" i="13"/>
  <c r="X65" i="13" l="1"/>
  <c r="Y65" i="13" s="1"/>
  <c r="Z65" i="13" s="1"/>
  <c r="W66" i="13" s="1"/>
  <c r="G40" i="13"/>
  <c r="H40" i="13" l="1"/>
  <c r="E41" i="13" s="1"/>
  <c r="X66" i="13"/>
  <c r="Y66" i="13" s="1"/>
  <c r="Z66" i="13" s="1"/>
  <c r="W67" i="13" s="1"/>
  <c r="X67" i="13" l="1"/>
  <c r="Y67" i="13" s="1"/>
  <c r="Z67" i="13" s="1"/>
  <c r="W68" i="13" s="1"/>
  <c r="F41" i="13"/>
  <c r="X68" i="13" l="1"/>
  <c r="Y68" i="13" s="1"/>
  <c r="Z68" i="13" s="1"/>
  <c r="W69" i="13" s="1"/>
  <c r="G41" i="13"/>
  <c r="X69" i="13" l="1"/>
  <c r="Y69" i="13" s="1"/>
  <c r="Z69" i="13" s="1"/>
  <c r="W70" i="13" s="1"/>
  <c r="H41" i="13"/>
  <c r="E42" i="13" s="1"/>
  <c r="F42" i="13" l="1"/>
  <c r="X70" i="13"/>
  <c r="Y70" i="13" s="1"/>
  <c r="Z70" i="13" s="1"/>
  <c r="W71" i="13" s="1"/>
  <c r="X71" i="13" l="1"/>
  <c r="Y71" i="13" s="1"/>
  <c r="Z71" i="13" s="1"/>
  <c r="W72" i="13" s="1"/>
  <c r="G42" i="13"/>
  <c r="X72" i="13" l="1"/>
  <c r="Y72" i="13" s="1"/>
  <c r="Z72" i="13" s="1"/>
  <c r="W73" i="13" s="1"/>
  <c r="H42" i="13"/>
  <c r="E43" i="13" s="1"/>
  <c r="X73" i="13" l="1"/>
  <c r="Y73" i="13" s="1"/>
  <c r="Z73" i="13" s="1"/>
  <c r="W74" i="13" s="1"/>
  <c r="F43" i="13"/>
  <c r="G43" i="13" l="1"/>
  <c r="X74" i="13"/>
  <c r="Y74" i="13" s="1"/>
  <c r="Z74" i="13" s="1"/>
  <c r="W75" i="13" s="1"/>
  <c r="X75" i="13" l="1"/>
  <c r="Y75" i="13" s="1"/>
  <c r="Z75" i="13" s="1"/>
  <c r="H43" i="13"/>
  <c r="E44" i="13" s="1"/>
  <c r="F44" i="13" l="1"/>
  <c r="G44" i="13" l="1"/>
  <c r="H44" i="13" l="1"/>
  <c r="E45" i="13" s="1"/>
  <c r="F45" i="13" l="1"/>
  <c r="G45" i="13" s="1"/>
  <c r="H45" i="13" s="1"/>
  <c r="E46" i="13" s="1"/>
  <c r="F46" i="13" l="1"/>
  <c r="G46" i="13" s="1"/>
  <c r="H46" i="13" s="1"/>
  <c r="E47" i="13" s="1"/>
  <c r="F47" i="13" l="1"/>
  <c r="G47" i="13" s="1"/>
  <c r="H47" i="13" s="1"/>
  <c r="E48" i="13" s="1"/>
  <c r="F48" i="13" l="1"/>
  <c r="G48" i="13" s="1"/>
  <c r="H48" i="13" s="1"/>
  <c r="E49" i="13" s="1"/>
  <c r="F49" i="13" l="1"/>
  <c r="G49" i="13" s="1"/>
  <c r="H49" i="13" s="1"/>
  <c r="E50" i="13" s="1"/>
  <c r="F50" i="13" l="1"/>
  <c r="G50" i="13" s="1"/>
  <c r="H50" i="13" s="1"/>
  <c r="E51" i="13" s="1"/>
  <c r="F51" i="13" l="1"/>
  <c r="G51" i="13" l="1"/>
  <c r="N18" i="13"/>
  <c r="O18" i="13" l="1"/>
  <c r="H51" i="13"/>
  <c r="E52" i="13" s="1"/>
  <c r="F52" i="13" l="1"/>
  <c r="G52" i="13" l="1"/>
  <c r="H52" i="13" l="1"/>
  <c r="E53" i="13" s="1"/>
  <c r="F53" i="13" l="1"/>
  <c r="G53" i="13" l="1"/>
  <c r="H53" i="13" l="1"/>
  <c r="E54" i="13" s="1"/>
  <c r="F54" i="13" l="1"/>
  <c r="G54" i="13" l="1"/>
  <c r="H54" i="13" l="1"/>
  <c r="E55" i="13" s="1"/>
  <c r="F55" i="13" l="1"/>
  <c r="G55" i="13" l="1"/>
  <c r="H55" i="13" l="1"/>
  <c r="E56" i="13" s="1"/>
  <c r="F56" i="13" l="1"/>
  <c r="G56" i="13" l="1"/>
  <c r="H56" i="13" l="1"/>
  <c r="E57" i="13" s="1"/>
  <c r="F57" i="13" l="1"/>
  <c r="G57" i="13" s="1"/>
  <c r="H57" i="13" s="1"/>
  <c r="E58" i="13" s="1"/>
  <c r="F58" i="13" l="1"/>
  <c r="G58" i="13" s="1"/>
  <c r="H58" i="13" s="1"/>
  <c r="E59" i="13" s="1"/>
  <c r="F59" i="13" l="1"/>
  <c r="G59" i="13" s="1"/>
  <c r="H59" i="13" s="1"/>
  <c r="E60" i="13" s="1"/>
  <c r="F60" i="13" l="1"/>
  <c r="G60" i="13" s="1"/>
  <c r="H60" i="13" s="1"/>
  <c r="E61" i="13" s="1"/>
  <c r="F61" i="13" l="1"/>
  <c r="G61" i="13" s="1"/>
  <c r="H61" i="13" s="1"/>
  <c r="E62" i="13" s="1"/>
  <c r="F62" i="13" l="1"/>
  <c r="G62" i="13" s="1"/>
  <c r="H62" i="13" s="1"/>
  <c r="E63" i="13" s="1"/>
  <c r="F63" i="13" l="1"/>
  <c r="G63" i="13" l="1"/>
  <c r="N19" i="13"/>
  <c r="O19" i="13" l="1"/>
  <c r="H63" i="13"/>
  <c r="E64" i="13" s="1"/>
  <c r="F64" i="13" l="1"/>
  <c r="G64" i="13" l="1"/>
  <c r="H64" i="13" l="1"/>
  <c r="E65" i="13" s="1"/>
  <c r="F65" i="13" l="1"/>
  <c r="G65" i="13" l="1"/>
  <c r="H65" i="13" l="1"/>
  <c r="E66" i="13" s="1"/>
  <c r="F66" i="13" l="1"/>
  <c r="G66" i="13" l="1"/>
  <c r="H66" i="13" l="1"/>
  <c r="E67" i="13" s="1"/>
  <c r="F67" i="13" l="1"/>
  <c r="G67" i="13" l="1"/>
  <c r="H67" i="13" l="1"/>
  <c r="E68" i="13" s="1"/>
  <c r="F68" i="13" l="1"/>
  <c r="G68" i="13" l="1"/>
  <c r="H68" i="13" l="1"/>
  <c r="E69" i="13" s="1"/>
  <c r="F69" i="13" l="1"/>
  <c r="G69" i="13" s="1"/>
  <c r="H69" i="13" s="1"/>
  <c r="E70" i="13" s="1"/>
  <c r="F70" i="13" l="1"/>
  <c r="G70" i="13" s="1"/>
  <c r="H70" i="13" s="1"/>
  <c r="E71" i="13" s="1"/>
  <c r="F71" i="13" l="1"/>
  <c r="G71" i="13" s="1"/>
  <c r="H71" i="13" s="1"/>
  <c r="E72" i="13" s="1"/>
  <c r="F72" i="13" l="1"/>
  <c r="G72" i="13" s="1"/>
  <c r="H72" i="13" s="1"/>
  <c r="E73" i="13" s="1"/>
  <c r="F73" i="13" l="1"/>
  <c r="G73" i="13" s="1"/>
  <c r="H73" i="13" s="1"/>
  <c r="E74" i="13" s="1"/>
  <c r="F74" i="13" l="1"/>
  <c r="G74" i="13" s="1"/>
  <c r="H74" i="13" s="1"/>
  <c r="E75" i="13" s="1"/>
  <c r="F75" i="13" l="1"/>
  <c r="G75" i="13" l="1"/>
  <c r="N20" i="13"/>
  <c r="N22" i="13" s="1"/>
  <c r="O20" i="13" l="1"/>
  <c r="O22" i="13" s="1"/>
  <c r="H75"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2" authorId="0" shapeId="0" xr:uid="{00000000-0006-0000-0500-000001000000}">
      <text>
        <r>
          <rPr>
            <b/>
            <sz val="9"/>
            <rFont val="Tahoma"/>
            <family val="2"/>
            <charset val="1"/>
          </rPr>
          <t xml:space="preserve">GE User:
</t>
        </r>
      </text>
    </comment>
  </commentList>
</comments>
</file>

<file path=xl/sharedStrings.xml><?xml version="1.0" encoding="utf-8"?>
<sst xmlns="http://schemas.openxmlformats.org/spreadsheetml/2006/main" count="3288" uniqueCount="2322">
  <si>
    <t>CHECKLIST FOR RECENT POLICY REVISIONS</t>
  </si>
  <si>
    <t>Sr. No.</t>
  </si>
  <si>
    <t>Norm/Parameter</t>
  </si>
  <si>
    <t>Whether Parameter Breaching</t>
  </si>
  <si>
    <t>Is it Ok or No Go as per policy</t>
  </si>
  <si>
    <t>Industry Related Norms</t>
  </si>
  <si>
    <t>Whether Falls in Auto Ancilliary</t>
  </si>
  <si>
    <t>Whether applicant deals in Two Wheeler trading</t>
  </si>
  <si>
    <t>CIBIL Related Norms</t>
  </si>
  <si>
    <t>Whether both co-app is having CIBIL score less than 600</t>
  </si>
  <si>
    <t xml:space="preserve">Whether CMR is more than or equal to 7, 8,9 and 10 (Commercial CIBIL) </t>
  </si>
  <si>
    <t>Whether Unsecured loans CIBIL enquiries  are more than 10 for Banking Surrogate Cases in last 3 months.</t>
  </si>
  <si>
    <t>Financial Related Norms (Applicable for Income Programs only)</t>
  </si>
  <si>
    <t>Whether Debt Equity More than norms (applicable for Income Program)</t>
  </si>
  <si>
    <t>Whether Financial related deviations are Breaching</t>
  </si>
  <si>
    <t xml:space="preserve">Whether we are breaching turnover growth capping </t>
  </si>
  <si>
    <t>Whether Risk Layering Deviations are more than 2</t>
  </si>
  <si>
    <t>Financial Norms Check</t>
  </si>
  <si>
    <t>Met or Not</t>
  </si>
  <si>
    <t>Debtor days &gt; 120 days</t>
  </si>
  <si>
    <t>NWC &gt; 120 days</t>
  </si>
  <si>
    <t>Dip in turnover upto 20%</t>
  </si>
  <si>
    <t>Interest cover &lt; 1.5 and upto 1.25</t>
  </si>
  <si>
    <t>Dip in absolute EBIDTA ( absolute amount ) more than 10% and upto 15%</t>
  </si>
  <si>
    <t>Banking Analysis Related Norms</t>
  </si>
  <si>
    <t>Whether BTO less than 80%  (applicable for Income Program)</t>
  </si>
  <si>
    <t xml:space="preserve">Whether there is more than 15% Quarter on Quarter dip in Banking credits (Last 3 Months vs Earlier 3 Months)
</t>
  </si>
  <si>
    <t>RTR Related Norms</t>
  </si>
  <si>
    <t xml:space="preserve">Whether (i) any EMI bounce in last 6 months for Banking Surrogate cases or (ii) Whether there is more than 1 EMI bounce in last 6 months for cases other than Banking Surrogate Program (More than 5 loans).
</t>
  </si>
  <si>
    <t>Specific Banking Surrogate related norms (For Normal cases)</t>
  </si>
  <si>
    <t>Whether Lowest ABB:EMI ratio is below 1 for exposures upto 20 lacs under Banking Surrogate Cases</t>
  </si>
  <si>
    <t>Whether specific Risk Layering parameters applicable for Mumbai, Pune, Bangalore, Hyderabad and Delhi are breaching - Risk Layering 1</t>
  </si>
  <si>
    <t>Whether specific Risk Layering parameters applicable for Mumbai and Bangaloreare breaching - Risk Layering 1</t>
  </si>
  <si>
    <t>Maximum Turnover Cap Breaching (location wise)</t>
  </si>
  <si>
    <t>ABB/EMI Coverage norm breaching</t>
  </si>
  <si>
    <t>Additional norms for Banking Surrogate cases for amount more than 20 Lakhs )</t>
  </si>
  <si>
    <t>Lowest ABB:EMI Norms of minimum 2x breaching</t>
  </si>
  <si>
    <t>Inward Bounce norms of 1% breaching</t>
  </si>
  <si>
    <t>Annualised Credit norms of minimum 5 Cr breaching</t>
  </si>
  <si>
    <t>Eligibility Related Norms - Specifically for loan amount more than 35 lakhs</t>
  </si>
  <si>
    <t>Business Vintage Norms Breaching</t>
  </si>
  <si>
    <t>Turnover Growth Norm Breaching</t>
  </si>
  <si>
    <t>EBIDTA growth norm breaching</t>
  </si>
  <si>
    <t>Debt equity norm breaching</t>
  </si>
  <si>
    <t>Debtor days and NWC related norms breaching</t>
  </si>
  <si>
    <t>CIBIL Bureau Score Breaching</t>
  </si>
  <si>
    <t>Average Peak CC/OD Utilisation Norms</t>
  </si>
  <si>
    <t xml:space="preserve">Whether Credit Rating (More than BB+) </t>
  </si>
  <si>
    <t>Yes</t>
  </si>
  <si>
    <t>To be Enter Manually (select drop down)</t>
  </si>
  <si>
    <t>Whether serving unsecured loan of atleast 35 lakhs for more than 12 MOB</t>
  </si>
  <si>
    <t>Number of Risk Layering Deviations</t>
  </si>
  <si>
    <t>No of Risk Layering Deviations More than 2</t>
  </si>
  <si>
    <t>Metric</t>
  </si>
  <si>
    <t>Input</t>
  </si>
  <si>
    <t>Score</t>
  </si>
  <si>
    <t>S. No</t>
  </si>
  <si>
    <t>Score Calculation Basis</t>
  </si>
  <si>
    <t>Min</t>
  </si>
  <si>
    <t>Max</t>
  </si>
  <si>
    <t>Range</t>
  </si>
  <si>
    <t xml:space="preserve">Score </t>
  </si>
  <si>
    <t>Weight</t>
  </si>
  <si>
    <t>Type of Program</t>
  </si>
  <si>
    <t>A</t>
  </si>
  <si>
    <t>Financial Risk</t>
  </si>
  <si>
    <t>D/E</t>
  </si>
  <si>
    <t>DSCR ( Basis Annualised turnover as arrived basis VAT/ST Return or Basis Banking for current financial year)</t>
  </si>
  <si>
    <t xml:space="preserve">NWC (days) </t>
  </si>
  <si>
    <t>Cam C11</t>
  </si>
  <si>
    <t xml:space="preserve">Interest Cover </t>
  </si>
  <si>
    <t>EBIDTA Margin Growth</t>
  </si>
  <si>
    <t xml:space="preserve">DSCR </t>
  </si>
  <si>
    <t>Cash Profit Margin Growth</t>
  </si>
  <si>
    <t>Leverage</t>
  </si>
  <si>
    <t xml:space="preserve">Turnover Growth </t>
  </si>
  <si>
    <t>Prop/Partnership</t>
  </si>
  <si>
    <t>Financial Risk Score</t>
  </si>
  <si>
    <t xml:space="preserve">OD/CC Utilization </t>
  </si>
  <si>
    <t>Cam C13</t>
  </si>
  <si>
    <t>Banking Turnover</t>
  </si>
  <si>
    <t>Inward Bounce</t>
  </si>
  <si>
    <t>EMI Bounce</t>
  </si>
  <si>
    <t>Banking Risk Score</t>
  </si>
  <si>
    <t>NWC (days)</t>
  </si>
  <si>
    <t>Fin-1 Ratios</t>
  </si>
  <si>
    <t>Corporate CIBIL Score</t>
  </si>
  <si>
    <t>D98</t>
  </si>
  <si>
    <t>Number of CIBIL Enquiries</t>
  </si>
  <si>
    <t>latest AUDITED year</t>
  </si>
  <si>
    <t>Consumer CIBIL Score</t>
  </si>
  <si>
    <t>Recent Cashout Loans in last 3 months</t>
  </si>
  <si>
    <t>Credit Bureau Risk Score</t>
  </si>
  <si>
    <t>Residence Ownership</t>
  </si>
  <si>
    <t>Interest Cover</t>
  </si>
  <si>
    <t xml:space="preserve">Office Ownership </t>
  </si>
  <si>
    <t>D94</t>
  </si>
  <si>
    <t>Office Stability</t>
  </si>
  <si>
    <t>Residence Stability</t>
  </si>
  <si>
    <t>Business Vintage</t>
  </si>
  <si>
    <t xml:space="preserve">Succession Risk </t>
  </si>
  <si>
    <t>Constitution</t>
  </si>
  <si>
    <t>Fin 1 - Growth</t>
  </si>
  <si>
    <t>Management Risk Score</t>
  </si>
  <si>
    <t>No</t>
  </si>
  <si>
    <t>Look under Ratios</t>
  </si>
  <si>
    <t xml:space="preserve">Final BL Risk Score </t>
  </si>
  <si>
    <t>Loan Amount Requested</t>
  </si>
  <si>
    <t xml:space="preserve">Fin1 </t>
  </si>
  <si>
    <t>Tenor  (months)</t>
  </si>
  <si>
    <t xml:space="preserve">Row 91 (under ratios) </t>
  </si>
  <si>
    <t>ROI</t>
  </si>
  <si>
    <t>Turnover Growth</t>
  </si>
  <si>
    <t xml:space="preserve">Existing Obligations </t>
  </si>
  <si>
    <t>Fin 1 -  Growth</t>
  </si>
  <si>
    <t>EBITDA</t>
  </si>
  <si>
    <t>Risk Score Based DSCR Limit</t>
  </si>
  <si>
    <t>Additional EMI Limit( based on DSCR)</t>
  </si>
  <si>
    <t xml:space="preserve">Maximum Eligible Loan Amount (as per Risk Score) </t>
  </si>
  <si>
    <t>SUB-TOTAL Financial Risk Score</t>
  </si>
  <si>
    <t>Difference in Sanctioned v Eligible</t>
  </si>
  <si>
    <t>B</t>
  </si>
  <si>
    <t>Banking Risk</t>
  </si>
  <si>
    <t>OD/CC Utilization</t>
  </si>
  <si>
    <t>AVERAGE of peak utilization on BANKING sheet</t>
  </si>
  <si>
    <t>make sure the accounts are OD/CC!!!</t>
  </si>
  <si>
    <t xml:space="preserve">average should be &gt;0 </t>
  </si>
  <si>
    <t xml:space="preserve">Industry Margin DSCR Lookup </t>
  </si>
  <si>
    <t>CAM hidden columns</t>
  </si>
  <si>
    <t xml:space="preserve">Normal Income DSCR Lookup </t>
  </si>
  <si>
    <t>Banking L9</t>
  </si>
  <si>
    <t>look at consolidated OR write your own formula</t>
  </si>
  <si>
    <t>SUB-TOTAL - Business Risk Score</t>
  </si>
  <si>
    <t>C</t>
  </si>
  <si>
    <t>Bureau Risk</t>
  </si>
  <si>
    <t>NA</t>
  </si>
  <si>
    <t>if unavailable, default to 6</t>
  </si>
  <si>
    <t xml:space="preserve">Number of CIBIL Enquiries (in last 3 months) </t>
  </si>
  <si>
    <t>Exiting Loan G1</t>
  </si>
  <si>
    <t>Customer details</t>
  </si>
  <si>
    <t>750+</t>
  </si>
  <si>
    <t>Existing Loans G2</t>
  </si>
  <si>
    <t>SUB-TOTAL - Bureau  Risk Score</t>
  </si>
  <si>
    <t>D</t>
  </si>
  <si>
    <t>Management Risk</t>
  </si>
  <si>
    <t>Rented</t>
  </si>
  <si>
    <t>Owned</t>
  </si>
  <si>
    <t>Office Ownership</t>
  </si>
  <si>
    <t>Pagri</t>
  </si>
  <si>
    <t>if greater, then round up</t>
  </si>
  <si>
    <t>MARK when you are rounding up</t>
  </si>
  <si>
    <t>Customer Details</t>
  </si>
  <si>
    <t xml:space="preserve">Constitution </t>
  </si>
  <si>
    <t>Proprietorship</t>
  </si>
  <si>
    <t>Trust</t>
  </si>
  <si>
    <t>Society</t>
  </si>
  <si>
    <t>AOP</t>
  </si>
  <si>
    <t>Partnership</t>
  </si>
  <si>
    <t>LLP</t>
  </si>
  <si>
    <t>PVT</t>
  </si>
  <si>
    <t>Public</t>
  </si>
  <si>
    <t>SUB-TOTAL - Management Risk Score</t>
  </si>
  <si>
    <t>S.No.</t>
  </si>
  <si>
    <t>Type of Risk</t>
  </si>
  <si>
    <t xml:space="preserve">Bureau Risk </t>
  </si>
  <si>
    <t>Final Score</t>
  </si>
  <si>
    <t>Firm Name</t>
  </si>
  <si>
    <t>Industry &amp; Margin</t>
  </si>
  <si>
    <t>Enter latest yr of financials</t>
  </si>
  <si>
    <t>Audited</t>
  </si>
  <si>
    <t>Audited (DD-Month-YY)</t>
  </si>
  <si>
    <t>PROFIT AND LOSS ACCOUNT</t>
  </si>
  <si>
    <t>Sales/Receipts</t>
  </si>
  <si>
    <t>Other Income (Business Related)</t>
  </si>
  <si>
    <t>Other Income (Non Business Related)</t>
  </si>
  <si>
    <t>TOTAL INCOME</t>
  </si>
  <si>
    <t>COST OF Sales</t>
  </si>
  <si>
    <t>Opening Stock</t>
  </si>
  <si>
    <t>Purchases</t>
  </si>
  <si>
    <t xml:space="preserve">Changes in Inventories </t>
  </si>
  <si>
    <t>Closing Stock</t>
  </si>
  <si>
    <t>Manufacturing Expenses</t>
  </si>
  <si>
    <t>Wages</t>
  </si>
  <si>
    <t>Gross Profit (as per books)</t>
  </si>
  <si>
    <t>Gross Profit (Excl Non Business Income)</t>
  </si>
  <si>
    <t>Administrative Expenses</t>
  </si>
  <si>
    <t>Selling and Distribution Expenses</t>
  </si>
  <si>
    <t>Salary to partners/directors NOT coming on loan</t>
  </si>
  <si>
    <t xml:space="preserve">Bank &amp; Finance Charges </t>
  </si>
  <si>
    <t>Other Expenses</t>
  </si>
  <si>
    <t>Total Interest expenses</t>
  </si>
  <si>
    <t>Interest on OD/CC A/c</t>
  </si>
  <si>
    <t>Interest to FI/Banks (Other than OD/CC A/c)</t>
  </si>
  <si>
    <t>Interest to Pvt/Outside Parties</t>
  </si>
  <si>
    <t>Interest to partners/directors NOT coming on loan</t>
  </si>
  <si>
    <t>EBITDA (Incl Int on OD/CC)</t>
  </si>
  <si>
    <t>EBITDA (Excl Int on OD/CC)</t>
  </si>
  <si>
    <t>Depreciation</t>
  </si>
  <si>
    <t>Bad Debts Written Off</t>
  </si>
  <si>
    <t>Other Non Cash Expenditure (Prelim Exp/Def Rev Exp)</t>
  </si>
  <si>
    <t>Salary / Rent paid to Borrowers coming on loan</t>
  </si>
  <si>
    <t>Interest paid to Borrowers coming on loan</t>
  </si>
  <si>
    <t>PBT (as per books)</t>
  </si>
  <si>
    <t>PBT (Excl Non Business Income)</t>
  </si>
  <si>
    <t xml:space="preserve">Tax </t>
  </si>
  <si>
    <t>PAT (as per books)</t>
  </si>
  <si>
    <t>PAT (Excl Non Business Income)</t>
  </si>
  <si>
    <t>Cash Profits (Excl Non Business Income)</t>
  </si>
  <si>
    <t>Actual Cash Profits (CP as above + Sal/Int Borrowers coming on loan)</t>
  </si>
  <si>
    <t>Extraordinary items</t>
  </si>
  <si>
    <t>PAT (After Extraordinary Items)</t>
  </si>
  <si>
    <t>BALANCE SHEET</t>
  </si>
  <si>
    <t>LIABILITIES</t>
  </si>
  <si>
    <t>Capital</t>
  </si>
  <si>
    <t>Reserves and Surplus (excluding revaluation reserve)</t>
  </si>
  <si>
    <t>Revaluation Reserve</t>
  </si>
  <si>
    <t>Total Net Worth</t>
  </si>
  <si>
    <t>Unsecured Loans / Quasi Capital (from Directors/shareholders)</t>
  </si>
  <si>
    <t>Adjusted Net Worth</t>
  </si>
  <si>
    <t>Working Capital Limit from Banks/FI</t>
  </si>
  <si>
    <t>Secured Loans (term and vehicle loans etc)</t>
  </si>
  <si>
    <t>Unsecured Loans (from Banks/FI)</t>
  </si>
  <si>
    <t>Unsecured Loans (others)</t>
  </si>
  <si>
    <t>Other Long Term Liabilities</t>
  </si>
  <si>
    <t xml:space="preserve">Total Outside Borrowing </t>
  </si>
  <si>
    <t>Current Liabilties and Provisions</t>
  </si>
  <si>
    <t>Sundry Creditors</t>
  </si>
  <si>
    <t>Current Maturity of term loans</t>
  </si>
  <si>
    <t>Deferred Tax Liabilities</t>
  </si>
  <si>
    <t>Other Liabilities</t>
  </si>
  <si>
    <t>Total Liabilities to outsiders</t>
  </si>
  <si>
    <t>LIABILITIES - TOTAL</t>
  </si>
  <si>
    <t>ASSETS</t>
  </si>
  <si>
    <t>Gross Fixed Assets (Excl Plant and Machinery)</t>
  </si>
  <si>
    <t>Gross Plant and Machinery</t>
  </si>
  <si>
    <t>Accumulated Depreciation</t>
  </si>
  <si>
    <t>Intangible Assets</t>
  </si>
  <si>
    <t>Net Fixed Assets (excluding revaluation reserve)</t>
  </si>
  <si>
    <t>Investments</t>
  </si>
  <si>
    <t>Investments (Business related)</t>
  </si>
  <si>
    <t>Investments (Non Business related)</t>
  </si>
  <si>
    <t>Current Assets</t>
  </si>
  <si>
    <t>Inventories</t>
  </si>
  <si>
    <t>Debtors &gt; 6 months</t>
  </si>
  <si>
    <t>Debtors &lt; 6 months</t>
  </si>
  <si>
    <t>Cash and Bank</t>
  </si>
  <si>
    <t>Deferred Tax Assets</t>
  </si>
  <si>
    <t>Others</t>
  </si>
  <si>
    <t>Loans and Advances</t>
  </si>
  <si>
    <t>Loans and Advances (Business Related : Security Deposits &amp; other Long Term Advances)</t>
  </si>
  <si>
    <t>Loans and Advances (Business Related Short Term)</t>
  </si>
  <si>
    <t>Loans and Advances (Non Business Related)</t>
  </si>
  <si>
    <t>Other Non Current Assets</t>
  </si>
  <si>
    <t>Miscellaenous Expenditure (to the extent not w/off)/P&amp;L Dr balance</t>
  </si>
  <si>
    <t>Doubtful Loans and Advances</t>
  </si>
  <si>
    <t>ASSETS - TOTAL</t>
  </si>
  <si>
    <t>DIFF -        (Asset - Liabilities)</t>
  </si>
  <si>
    <t>RATIOS</t>
  </si>
  <si>
    <t>Growth in Sales</t>
  </si>
  <si>
    <t>Net Profit Margin Ratio</t>
  </si>
  <si>
    <t>Cash Profit Ratio</t>
  </si>
  <si>
    <t>EBITDA Ratio</t>
  </si>
  <si>
    <t>EBIDTA Ratio (net of interest to borrowers not coming on loan)</t>
  </si>
  <si>
    <t>Debt Equity Ratio</t>
  </si>
  <si>
    <t>Interest Coverage Ratio</t>
  </si>
  <si>
    <t>Debtor Days</t>
  </si>
  <si>
    <t>Stock Days</t>
  </si>
  <si>
    <t>Creditors Days</t>
  </si>
  <si>
    <t>Net Working Capital Cycle</t>
  </si>
  <si>
    <t>Net Working Capital</t>
  </si>
  <si>
    <t>Current Ratio (CL incl OD/CC)</t>
  </si>
  <si>
    <t>Current Ratio(CA Including Debtors &gt;6 Months) (CL incl OD/CC)</t>
  </si>
  <si>
    <t>Total Debt/EBITDA</t>
  </si>
  <si>
    <t>DSCR</t>
  </si>
  <si>
    <t>CASH FLOW STATEMENT</t>
  </si>
  <si>
    <t>CASH FLOW FROM OPERATIONS</t>
  </si>
  <si>
    <t>Profit After Tax (Excluding Non-Operating Income)</t>
  </si>
  <si>
    <t>Add back: Depreciation</t>
  </si>
  <si>
    <t>Add back: Depletion expense</t>
  </si>
  <si>
    <t>Add back: Bad debts written off</t>
  </si>
  <si>
    <t>Add back: Non Cash exps written off (Prelim Exp/Def Rev)</t>
  </si>
  <si>
    <t>NET CASH ACCRUALS</t>
  </si>
  <si>
    <t>Decrease / (Increase) in current assets</t>
  </si>
  <si>
    <t>Decrease / (Increase) in Non current assets</t>
  </si>
  <si>
    <t>Increase / (Decrease) in current liabilities</t>
  </si>
  <si>
    <t>Cash generated from Operations                   (A)</t>
  </si>
  <si>
    <t>Non Operating Income                                     (B)</t>
  </si>
  <si>
    <t>CASH FLOW FROM INVESTING ACTIVITIES</t>
  </si>
  <si>
    <t>Sale/ (Purchase) of Fixed Assets And Intangible Assets</t>
  </si>
  <si>
    <t>Decrease / (Increase) in investments / Loans &amp; Advances (Business related)</t>
  </si>
  <si>
    <t>Decrease / (Increase) in investments / Loans &amp; Advances (Non Business related)</t>
  </si>
  <si>
    <t xml:space="preserve">Net Cash used in investing activities   (C) </t>
  </si>
  <si>
    <t>CASH FLOW FROM FINANCING ACTIVITIES</t>
  </si>
  <si>
    <t>Increase / (Decrease) in Secured loans</t>
  </si>
  <si>
    <t>Increase / (Decrease) in Unsecured loans</t>
  </si>
  <si>
    <t>Increase / (Decrease) in networth</t>
  </si>
  <si>
    <t>Increase / (Decrease) in Funds from partners/director (unsecured loans)</t>
  </si>
  <si>
    <t>Net Cash used in financing activities     (D)</t>
  </si>
  <si>
    <t>Net Increase in cash and cash equivalents   (A+B+C+D)</t>
  </si>
  <si>
    <t>Cash Opening Balance</t>
  </si>
  <si>
    <t>Closing Balance</t>
  </si>
  <si>
    <t>Difference ---- should be zero</t>
  </si>
  <si>
    <t>COST OF SALES</t>
  </si>
  <si>
    <t>Bank and Finance Charges</t>
  </si>
  <si>
    <t>EBIDTA (Incl Int on OD/CC)</t>
  </si>
  <si>
    <t>EBIDTA (Excl Int on OD/CC)</t>
  </si>
  <si>
    <t>Reserves and Surplus</t>
  </si>
  <si>
    <t>Net Fixed Assets</t>
  </si>
  <si>
    <t>Loans and Advances (Business Related)</t>
  </si>
  <si>
    <t>EBIDTA Ratio</t>
  </si>
  <si>
    <t>Sale/ (Purchase) of Fixed Assets</t>
  </si>
  <si>
    <t>Increase / (Decrease) in working capital</t>
  </si>
  <si>
    <t>S. No.</t>
  </si>
  <si>
    <t>SUMMARY : A</t>
  </si>
  <si>
    <t>Borrower ( Main Applicant)</t>
  </si>
  <si>
    <t>Co-applicant's</t>
  </si>
  <si>
    <t>Product</t>
  </si>
  <si>
    <t>Program Type</t>
  </si>
  <si>
    <t>Proposed Loan Amount ( in Lacs )</t>
  </si>
  <si>
    <t>Whether Existing Exposure (Yes/No)</t>
  </si>
  <si>
    <t>Existing Exposure ( POS )</t>
  </si>
  <si>
    <t>Incremental / Total Exposure</t>
  </si>
  <si>
    <t>EMI (on Total Exposure)</t>
  </si>
  <si>
    <t>Tenure ( in Months )</t>
  </si>
  <si>
    <t>Risk Score V0.0</t>
  </si>
  <si>
    <t>Maximum Eligible Loan Amount as per Risk Score</t>
  </si>
  <si>
    <t>CIBIL Score</t>
  </si>
  <si>
    <t>DSA Name</t>
  </si>
  <si>
    <t>Payout % to the DSA</t>
  </si>
  <si>
    <t>Section B - Due Dilligence Checks</t>
  </si>
  <si>
    <t>Particulars/Report</t>
  </si>
  <si>
    <t>Status</t>
  </si>
  <si>
    <t>Remarks</t>
  </si>
  <si>
    <t>CPV-Residence &amp; Office</t>
  </si>
  <si>
    <t>Positive</t>
  </si>
  <si>
    <t>PD done by and status</t>
  </si>
  <si>
    <t>Negative</t>
  </si>
  <si>
    <t>SMA Dump Check</t>
  </si>
  <si>
    <t>Waived</t>
  </si>
  <si>
    <t>FCU/RCU</t>
  </si>
  <si>
    <t>Refered</t>
  </si>
  <si>
    <t>Dedupe/ Posidex</t>
  </si>
  <si>
    <t>CIBIL</t>
  </si>
  <si>
    <t>Corporate CIBIL</t>
  </si>
  <si>
    <t>Low</t>
  </si>
  <si>
    <t>Google Search</t>
  </si>
  <si>
    <t>Medium</t>
  </si>
  <si>
    <t>Watchout Investor Check</t>
  </si>
  <si>
    <t>High</t>
  </si>
  <si>
    <t>BIFR</t>
  </si>
  <si>
    <t>RBI Defaullter List</t>
  </si>
  <si>
    <t>Independent Reference Check</t>
  </si>
  <si>
    <t>External Rating</t>
  </si>
  <si>
    <t>Priority Sector Lending</t>
  </si>
  <si>
    <t>Not Applicable</t>
  </si>
  <si>
    <t xml:space="preserve">Overall Risk Rating as per AML Guideline </t>
  </si>
  <si>
    <t>Section- C SaveRisk Output</t>
  </si>
  <si>
    <t>SaveRisk Hit</t>
  </si>
  <si>
    <t>S.No 2 onwards applicable for SaveRisk "Match" accounts</t>
  </si>
  <si>
    <t>Any Legal Cases underway ?</t>
  </si>
  <si>
    <t>Shareholder details match with our borrower list ?</t>
  </si>
  <si>
    <t xml:space="preserve">Any cross holding in Real Estate / Negative Industry list ? </t>
  </si>
  <si>
    <t xml:space="preserve">Any negative match in the "Media" section ? </t>
  </si>
  <si>
    <t>Other comments</t>
  </si>
  <si>
    <t>Section- D Profile and other details on banking/RTR- very crisp and brief write up</t>
  </si>
  <si>
    <t>Particulars</t>
  </si>
  <si>
    <t>UNDERWRITER'S REMARKS/COMMENTS</t>
  </si>
  <si>
    <t>Promoter Background &amp; Succession</t>
  </si>
  <si>
    <t>Business Model/ Nature of Business</t>
  </si>
  <si>
    <t>Customer/Suppliers Details</t>
  </si>
  <si>
    <t>Financial Comments</t>
  </si>
  <si>
    <t>Additional Financial Comment if any</t>
  </si>
  <si>
    <t>End Use of Funds</t>
  </si>
  <si>
    <t>Banking</t>
  </si>
  <si>
    <t>Additional Banking Comment if any</t>
  </si>
  <si>
    <t>RTR details</t>
  </si>
  <si>
    <t>Additional RTR Details Comment if any</t>
  </si>
  <si>
    <t>Other Information</t>
  </si>
  <si>
    <t>Section E - Deal Recommendation Merits</t>
  </si>
  <si>
    <t>Deal Merits</t>
  </si>
  <si>
    <t>Section F- Risk &amp; Mitigates</t>
  </si>
  <si>
    <t>Concern/Risk</t>
  </si>
  <si>
    <t>MITIGANTS</t>
  </si>
  <si>
    <t xml:space="preserve">Section G :- Deviation </t>
  </si>
  <si>
    <t>Deviation Detail</t>
  </si>
  <si>
    <t>Level</t>
  </si>
  <si>
    <t>Risk Layer - Yes/No</t>
  </si>
  <si>
    <t>Mitigant</t>
  </si>
  <si>
    <t>Till 1 EMI bounce (No Deviation for More than 1 EMI bounce) only for Normal Income/Industry Margin/GST Margin if there are &gt;5 Loans Active EMI based Loans</t>
  </si>
  <si>
    <t>CIBIL Negative</t>
  </si>
  <si>
    <t>Q-o-Q dip in banking credit &gt;10% and upto 15%</t>
  </si>
  <si>
    <t>Check Approval Status on Risk Score --&gt;</t>
  </si>
  <si>
    <t>Section H :- Sanction Conditions</t>
  </si>
  <si>
    <t>Sanction Conditions</t>
  </si>
  <si>
    <t>Entity Type</t>
  </si>
  <si>
    <t>Name</t>
  </si>
  <si>
    <t>Income Considered or not</t>
  </si>
  <si>
    <t>Proposed Loan Amount</t>
  </si>
  <si>
    <t>Firm 1</t>
  </si>
  <si>
    <t>Tenor (in months)</t>
  </si>
  <si>
    <t>Firm 2</t>
  </si>
  <si>
    <t>% Growth in Sales</t>
  </si>
  <si>
    <t>NCM Deviation</t>
  </si>
  <si>
    <t>Basis Latest Audited Financials Available</t>
  </si>
  <si>
    <t>Basis GST Turnover of current running FY</t>
  </si>
  <si>
    <t>Basis Annualised Banking Summation of current running FY</t>
  </si>
  <si>
    <t>Basis Liquid Income Assessment</t>
  </si>
  <si>
    <t>Gross Receipts/Turnover</t>
  </si>
  <si>
    <t>Considered Turnover</t>
  </si>
  <si>
    <t>Reported EBIDTA margins (as per financials, in%age terms)</t>
  </si>
  <si>
    <t>Industry / Assessed Margin (in%age terms)</t>
  </si>
  <si>
    <t>Tax Expense</t>
  </si>
  <si>
    <t>EBIDTA as per reported margins (amount in lacs)</t>
  </si>
  <si>
    <t>EBIDTA as per Industry/Assessed margins (amount in lacs)</t>
  </si>
  <si>
    <t>TOTAL EBIDTA as per reported margins (of all the entities)</t>
  </si>
  <si>
    <t>TOTAL EBIDTA as per Industry/Assessed margins (of all the entities)</t>
  </si>
  <si>
    <t>Other Income -Rental Income</t>
  </si>
  <si>
    <t>Total EBIDTA as per reported margins including Other Income</t>
  </si>
  <si>
    <t>TOTAL EBIDTA as per Industry/Assessed margins Including Other Income</t>
  </si>
  <si>
    <t>Existing Annual Obligations (incl CC OD interest obligations)**</t>
  </si>
  <si>
    <t>Proposed Loan's Annual Obligation</t>
  </si>
  <si>
    <t>TOTAL OBLIGATIONS</t>
  </si>
  <si>
    <t>DSCR Basis Reported EBIDTA margin</t>
  </si>
  <si>
    <t>DSCR Basis Industry margin</t>
  </si>
  <si>
    <t>** less than 6 EMIs loan excluded</t>
  </si>
  <si>
    <r>
      <rPr>
        <b/>
        <sz val="11"/>
        <color rgb="FFFFFFFF"/>
        <rFont val="Calibri"/>
        <family val="2"/>
        <charset val="1"/>
      </rPr>
      <t>BANKING SYNOPSIS, (</t>
    </r>
    <r>
      <rPr>
        <b/>
        <i/>
        <sz val="11"/>
        <color rgb="FFFFFFFF"/>
        <rFont val="Calibri"/>
        <family val="2"/>
        <charset val="1"/>
      </rPr>
      <t>PS:- Data entry to be made from Row No. 15</t>
    </r>
    <r>
      <rPr>
        <b/>
        <sz val="11"/>
        <color rgb="FFFFFFFF"/>
        <rFont val="Calibri"/>
        <family val="2"/>
        <charset val="1"/>
      </rPr>
      <t>) - Ver Nov'18</t>
    </r>
  </si>
  <si>
    <t xml:space="preserve">Account Holder Name </t>
  </si>
  <si>
    <t>Bank Name</t>
  </si>
  <si>
    <t>Account No.</t>
  </si>
  <si>
    <t>Account Type</t>
  </si>
  <si>
    <t>Sanctioned Limit</t>
  </si>
  <si>
    <t>Peak Utilisation</t>
  </si>
  <si>
    <t>Average Monthly Credits (in lacs)</t>
  </si>
  <si>
    <t>Avg Utilisation</t>
  </si>
  <si>
    <t>Average Nos. of Monthly Credit entries</t>
  </si>
  <si>
    <t>Outward Bounce</t>
  </si>
  <si>
    <t>Lowest ABB of last 6 M</t>
  </si>
  <si>
    <t>Highest ABB of last 6 M</t>
  </si>
  <si>
    <t>Annualised banking credits</t>
  </si>
  <si>
    <t>Is it a business account</t>
  </si>
  <si>
    <t>BTO of business accounts</t>
  </si>
  <si>
    <t>Consolidated figure</t>
  </si>
  <si>
    <t>BTO% (Basis GST)</t>
  </si>
  <si>
    <t xml:space="preserve">Avg CC/OD Utilization </t>
  </si>
  <si>
    <t>BTO% (Basis Financial)</t>
  </si>
  <si>
    <t>Banking Surrogate (upto 2 banking can be clubbed)</t>
  </si>
  <si>
    <t>Trader check</t>
  </si>
  <si>
    <t>Debit/Credit (No)</t>
  </si>
  <si>
    <t>Risk Layer 1 -Banking Surrogate</t>
  </si>
  <si>
    <t>Debit/Credit (Value)</t>
  </si>
  <si>
    <t>Risk Layer 2--Banking Surrogate</t>
  </si>
  <si>
    <t>EMI Sensitivity</t>
  </si>
  <si>
    <t>Total Monthly Obligation that need to be considered as Obligation (Rs)</t>
  </si>
  <si>
    <t>Lowest ABB/EMI Coverage</t>
  </si>
  <si>
    <t>Annualised T/o</t>
  </si>
  <si>
    <t>ABB/EMI Coverage</t>
  </si>
  <si>
    <t>Latest 3 M / Prv 3 M Credit Growth</t>
  </si>
  <si>
    <t xml:space="preserve">Avg OD Utilisation </t>
  </si>
  <si>
    <t>Capture amount in lacs</t>
  </si>
  <si>
    <t>BANK 1</t>
  </si>
  <si>
    <t>Account Holder Name</t>
  </si>
  <si>
    <t>Business Account or not?</t>
  </si>
  <si>
    <t>Type of Account</t>
  </si>
  <si>
    <t xml:space="preserve">Current Account </t>
  </si>
  <si>
    <t>Sanctioned Limit (in lacs)</t>
  </si>
  <si>
    <t>Month</t>
  </si>
  <si>
    <t>Credits</t>
  </si>
  <si>
    <t>Debit Amount</t>
  </si>
  <si>
    <t>Utilisation Percentage</t>
  </si>
  <si>
    <t>Nos. of Credit</t>
  </si>
  <si>
    <t>Nos. of Debit</t>
  </si>
  <si>
    <t>ABB (Average Bank Balance)</t>
  </si>
  <si>
    <t>Peak Utilisation Level</t>
  </si>
  <si>
    <t>Average Utilization %</t>
  </si>
  <si>
    <t>CC/OD Account</t>
  </si>
  <si>
    <t>Y</t>
  </si>
  <si>
    <t>Saving Account</t>
  </si>
  <si>
    <t>N</t>
  </si>
  <si>
    <t>Total</t>
  </si>
  <si>
    <t>Annualised Banking Credits</t>
  </si>
  <si>
    <t>Lowest ABB of last 6 months</t>
  </si>
  <si>
    <t>BANK 2</t>
  </si>
  <si>
    <t>BANK 3</t>
  </si>
  <si>
    <t>BANK 4</t>
  </si>
  <si>
    <t>BANK 5</t>
  </si>
  <si>
    <t>Login Date</t>
  </si>
  <si>
    <t>Loan Amount (in lacs)</t>
  </si>
  <si>
    <t>Application ID</t>
  </si>
  <si>
    <t>Business Loan</t>
  </si>
  <si>
    <t>Branch</t>
  </si>
  <si>
    <t>Delhi</t>
  </si>
  <si>
    <t>GST Program</t>
  </si>
  <si>
    <t>EMI</t>
  </si>
  <si>
    <t>Sales Manager Name</t>
  </si>
  <si>
    <t>Applicant Deatil</t>
  </si>
  <si>
    <t>Applicants Name</t>
  </si>
  <si>
    <t>Constitution/Relationship</t>
  </si>
  <si>
    <t>Shareholding/Profit Sharing</t>
  </si>
  <si>
    <t>DOI/DOB</t>
  </si>
  <si>
    <t>Age</t>
  </si>
  <si>
    <t>Age at the time of Maturity</t>
  </si>
  <si>
    <t>Biz Type</t>
  </si>
  <si>
    <t>Industry</t>
  </si>
  <si>
    <t>Segment</t>
  </si>
  <si>
    <t>Industry Margin</t>
  </si>
  <si>
    <t>Resi CPV</t>
  </si>
  <si>
    <t>Office CPV</t>
  </si>
  <si>
    <t>Main Applicant</t>
  </si>
  <si>
    <t>Trading</t>
  </si>
  <si>
    <t>Others_Tradings</t>
  </si>
  <si>
    <t>Industry_not_classified_elsewhere_Trading_Segment</t>
  </si>
  <si>
    <t>Industries_not_classified_elsewhere_Trading_Segment</t>
  </si>
  <si>
    <t>Positve</t>
  </si>
  <si>
    <t>Chandigarh</t>
  </si>
  <si>
    <t>Normal Income Programme</t>
  </si>
  <si>
    <t>Manufacturing</t>
  </si>
  <si>
    <t>Proprietor</t>
  </si>
  <si>
    <t>Banking Programme</t>
  </si>
  <si>
    <t>Spouse</t>
  </si>
  <si>
    <t>Mumbai</t>
  </si>
  <si>
    <t>Industry Margin Programme</t>
  </si>
  <si>
    <t>Service</t>
  </si>
  <si>
    <t>Banglore</t>
  </si>
  <si>
    <t>Partnership Firm</t>
  </si>
  <si>
    <t>Bhopal</t>
  </si>
  <si>
    <t>Partner</t>
  </si>
  <si>
    <t>Jaipur</t>
  </si>
  <si>
    <t>Chennai</t>
  </si>
  <si>
    <t>Director</t>
  </si>
  <si>
    <t>Resi Owned</t>
  </si>
  <si>
    <t>Resi Stability</t>
  </si>
  <si>
    <t>Min CIBIL</t>
  </si>
  <si>
    <t>Hyderabad</t>
  </si>
  <si>
    <t>Office Owned</t>
  </si>
  <si>
    <t>Pune</t>
  </si>
  <si>
    <t>Brother</t>
  </si>
  <si>
    <t>Property Ownership Proof available (Yes/No)</t>
  </si>
  <si>
    <t>Succession Risk</t>
  </si>
  <si>
    <t>Ahmedabad</t>
  </si>
  <si>
    <t>Father</t>
  </si>
  <si>
    <t>Residence Address</t>
  </si>
  <si>
    <t>CIBIL Score is impacted due to prior default on credit card, bouncing and delays due to technical issues, Overdues  charges , TDS related issues, and wrong reporting in CIBIL  etc.</t>
  </si>
  <si>
    <t>Any Other</t>
  </si>
  <si>
    <t>Mother</t>
  </si>
  <si>
    <t>Office Address</t>
  </si>
  <si>
    <t>Other</t>
  </si>
  <si>
    <t>Contact Number</t>
  </si>
  <si>
    <t>d</t>
  </si>
  <si>
    <t>1.5C</t>
  </si>
  <si>
    <t>Turnover as per VAT return/ ST</t>
  </si>
  <si>
    <t>Monthly/quarterly</t>
  </si>
  <si>
    <t>Monthly</t>
  </si>
  <si>
    <t>Month1/Quarter1</t>
  </si>
  <si>
    <t>Month 2/Quarter 2</t>
  </si>
  <si>
    <t>Quarterly</t>
  </si>
  <si>
    <t>Month 3/Quarter 3</t>
  </si>
  <si>
    <t>Month 4/Quarter 4</t>
  </si>
  <si>
    <t>Month 5</t>
  </si>
  <si>
    <t>Month 6</t>
  </si>
  <si>
    <t>Month 7</t>
  </si>
  <si>
    <t>Month 8</t>
  </si>
  <si>
    <t>Month 9</t>
  </si>
  <si>
    <t>Month 10</t>
  </si>
  <si>
    <t>Month 11</t>
  </si>
  <si>
    <t>Month 12</t>
  </si>
  <si>
    <t>Annualised VAT TO / ST</t>
  </si>
  <si>
    <t>Do not capture turnover as Zero if you don’t have VAT return. It will do wrong calculation.</t>
  </si>
  <si>
    <t>If returns are quarterly, put turnover figure in row no. 4, 5, 6 and 7. And leave other cells blank and do not put zero in other cells.</t>
  </si>
  <si>
    <t>No. of CIBIL Enquieris in Last 3 Months All loans</t>
  </si>
  <si>
    <t>No. of Cash Out Loan in Last 3 month</t>
  </si>
  <si>
    <t>No of Unsecured loans CIBIL Enquiry in last 3 months</t>
  </si>
  <si>
    <t>EMI bounce in last 6 months</t>
  </si>
  <si>
    <t>Borrower Name</t>
  </si>
  <si>
    <t>Bank/FI Name</t>
  </si>
  <si>
    <t>Loan Type</t>
  </si>
  <si>
    <t>Loan Category</t>
  </si>
  <si>
    <t>Loan Status (Live /Closed / Will be closed / Not to be obligated)</t>
  </si>
  <si>
    <t>EMI / Interest / Instalment  (Rs. Not in lacs)</t>
  </si>
  <si>
    <t>ROI (mandatory for OD/CC)</t>
  </si>
  <si>
    <t>Loan Start Date</t>
  </si>
  <si>
    <t>Loan End Date</t>
  </si>
  <si>
    <t>MOB Vintage Months</t>
  </si>
  <si>
    <t>Balance Tenor</t>
  </si>
  <si>
    <t>Bank A/c from where EMI validated thru bank statement</t>
  </si>
  <si>
    <t>EMI Date</t>
  </si>
  <si>
    <t>Live Loans EMI</t>
  </si>
  <si>
    <t>Mortgage Loan (LAP)</t>
  </si>
  <si>
    <t>Secured</t>
  </si>
  <si>
    <t>Live</t>
  </si>
  <si>
    <t>Currency Loan</t>
  </si>
  <si>
    <t>Unsecured</t>
  </si>
  <si>
    <t>Clear</t>
  </si>
  <si>
    <t>Auto Loan (Non Commercial)</t>
  </si>
  <si>
    <t>Auto Loan (Commercial)</t>
  </si>
  <si>
    <t>Bill Discounted</t>
  </si>
  <si>
    <t>Term Loan (Prin + Int)</t>
  </si>
  <si>
    <t>Education Loan</t>
  </si>
  <si>
    <t>Commercial Vehicle</t>
  </si>
  <si>
    <t>Equipment Loan</t>
  </si>
  <si>
    <t>Home Loan</t>
  </si>
  <si>
    <t>BT - Takeover</t>
  </si>
  <si>
    <t>Letter of Credit</t>
  </si>
  <si>
    <t>Closed</t>
  </si>
  <si>
    <t>Loan Against Receivables</t>
  </si>
  <si>
    <t>Will be closed</t>
  </si>
  <si>
    <t>Not to be obligated</t>
  </si>
  <si>
    <t>CC/OD Limit</t>
  </si>
  <si>
    <t>Moratorium Loan</t>
  </si>
  <si>
    <t>Structured Loan/Graded EMI</t>
  </si>
  <si>
    <t>ENTER ONLY IN GREEN CELLS</t>
  </si>
  <si>
    <t>Split Instalment chart</t>
  </si>
  <si>
    <t>EMI Chart</t>
  </si>
  <si>
    <t>Principle</t>
  </si>
  <si>
    <t>Split Ratio</t>
  </si>
  <si>
    <t>Instalment</t>
  </si>
  <si>
    <t>Tenor</t>
  </si>
  <si>
    <t>Flat Rate</t>
  </si>
  <si>
    <t>IRR on Split Intallment</t>
  </si>
  <si>
    <t>IRR on EMI</t>
  </si>
  <si>
    <t>Ensure that total below should be 100% and Start,end &amp; No of instalment match with tenor.</t>
  </si>
  <si>
    <t>Amount Receivable</t>
  </si>
  <si>
    <t>Start Instalment</t>
  </si>
  <si>
    <t>End Instalment</t>
  </si>
  <si>
    <t xml:space="preserve"> No of Inst</t>
  </si>
  <si>
    <t>Ratio</t>
  </si>
  <si>
    <t>Total Installments</t>
  </si>
  <si>
    <t>Normal EMI Calculator</t>
  </si>
  <si>
    <t>Loan Amount</t>
  </si>
  <si>
    <t>IRR</t>
  </si>
  <si>
    <t>Flat - P.A</t>
  </si>
  <si>
    <t>Net Cash Flow</t>
  </si>
  <si>
    <t>STRUCTURED EMI &amp; AMORT</t>
  </si>
  <si>
    <t>NORMAL EMI &amp; AMORT</t>
  </si>
  <si>
    <t>Clix IRR</t>
  </si>
  <si>
    <t>No of Instl</t>
  </si>
  <si>
    <t>Per Lac</t>
  </si>
  <si>
    <t>NORMAL METHOD</t>
  </si>
  <si>
    <t>Loan Amt</t>
  </si>
  <si>
    <t>Flat</t>
  </si>
  <si>
    <t>Normal Emi</t>
  </si>
  <si>
    <t>Structured Amort</t>
  </si>
  <si>
    <t>Normal Amort</t>
  </si>
  <si>
    <t>IRR ==&gt;&gt;</t>
  </si>
  <si>
    <t>Inst</t>
  </si>
  <si>
    <t>Emi</t>
  </si>
  <si>
    <t>Prin</t>
  </si>
  <si>
    <t>Int</t>
  </si>
  <si>
    <t>Prin o/s</t>
  </si>
  <si>
    <t>Year</t>
  </si>
  <si>
    <t>Interest</t>
  </si>
  <si>
    <t>Princ</t>
  </si>
  <si>
    <t>I st year</t>
  </si>
  <si>
    <t>II nd year</t>
  </si>
  <si>
    <t>IIIrd Year</t>
  </si>
  <si>
    <t>Ivth Year</t>
  </si>
  <si>
    <t>Vth year</t>
  </si>
  <si>
    <t>Magma</t>
  </si>
  <si>
    <t>Inst-1</t>
  </si>
  <si>
    <t>Inst -2</t>
  </si>
  <si>
    <t>Inst - 3</t>
  </si>
  <si>
    <t>Inst - 4</t>
  </si>
  <si>
    <t>Inst - 5</t>
  </si>
  <si>
    <t>Inst - 6</t>
  </si>
  <si>
    <t>Deviation Name</t>
  </si>
  <si>
    <t>Deviation Description</t>
  </si>
  <si>
    <t>Level/Approving Authority</t>
  </si>
  <si>
    <t>Risk Layer</t>
  </si>
  <si>
    <t>Profile</t>
  </si>
  <si>
    <t>Caution Profile</t>
  </si>
  <si>
    <t>ZCM</t>
  </si>
  <si>
    <t>Lady Co-applicant</t>
  </si>
  <si>
    <t>Lady Co-applicant not coming on Loan structure where required</t>
  </si>
  <si>
    <t>CM</t>
  </si>
  <si>
    <t>Shareholding</t>
  </si>
  <si>
    <t>Stakeholders on loan less than 51%</t>
  </si>
  <si>
    <t>Property Owner</t>
  </si>
  <si>
    <t>Property owner not coming on loan structure</t>
  </si>
  <si>
    <t>RCM</t>
  </si>
  <si>
    <t>Banking Quality</t>
  </si>
  <si>
    <t>O/W cheque return &gt; norms</t>
  </si>
  <si>
    <t>CC/OD overutilized upto 120% without inward cheque bouncing</t>
  </si>
  <si>
    <t>CC/OD overutilized &gt;100% with inward cheque bouncing</t>
  </si>
  <si>
    <t>NCM</t>
  </si>
  <si>
    <t>CC/OD Limit Renewal Letter Not Available</t>
  </si>
  <si>
    <r>
      <rPr>
        <sz val="11"/>
        <color rgb="FF000000"/>
        <rFont val="Calibri"/>
        <family val="2"/>
        <charset val="1"/>
      </rPr>
      <t xml:space="preserve">Avg OD/CC Utilization &gt; 98% for Trader subject to </t>
    </r>
    <r>
      <rPr>
        <b/>
        <sz val="11"/>
        <color rgb="FF000000"/>
        <rFont val="Calibri"/>
        <family val="2"/>
        <charset val="1"/>
      </rPr>
      <t xml:space="preserve">(Applicable for Bangalore, Hyderabad, Chandigarh, Jaipur)
</t>
    </r>
    <r>
      <rPr>
        <sz val="11"/>
        <color rgb="FF000000"/>
        <rFont val="Calibri"/>
        <family val="2"/>
        <charset val="1"/>
      </rPr>
      <t>1. Nil Inward Return
2. Judgmental risk Score &gt;= 80
3. Nil EMI Bounce</t>
    </r>
  </si>
  <si>
    <t>No Deviation</t>
  </si>
  <si>
    <t>Contactability</t>
  </si>
  <si>
    <t>CPV/TVR negative</t>
  </si>
  <si>
    <t>Negative FI due to OGL</t>
  </si>
  <si>
    <t>Operational</t>
  </si>
  <si>
    <t>Breach in Financial Ratios</t>
  </si>
  <si>
    <t>Debtors &gt; 120 days</t>
  </si>
  <si>
    <r>
      <rPr>
        <sz val="11"/>
        <color rgb="FF000000"/>
        <rFont val="Calibri"/>
        <family val="2"/>
        <charset val="1"/>
      </rPr>
      <t xml:space="preserve">Debt/Equity &gt;3 </t>
    </r>
    <r>
      <rPr>
        <b/>
        <sz val="11"/>
        <color rgb="FF000000"/>
        <rFont val="Calibri"/>
        <family val="2"/>
        <charset val="1"/>
      </rPr>
      <t>(Deviation Allowed Only for Proprietorships)</t>
    </r>
  </si>
  <si>
    <t>Interest cover &lt; 1.5x</t>
  </si>
  <si>
    <t>Dip in absolute EBIDTA ( absolute amount ) upto 15%</t>
  </si>
  <si>
    <t>Qualifying RTR</t>
  </si>
  <si>
    <t>-          RTR of min MOB and related to Loans only for &gt; 30 Lacs Loan.</t>
  </si>
  <si>
    <t>CIBIL / Repayment Track</t>
  </si>
  <si>
    <t>RTR Norm</t>
  </si>
  <si>
    <t>D-Dupe</t>
  </si>
  <si>
    <t>D-Dupe Negative</t>
  </si>
  <si>
    <t>RCU</t>
  </si>
  <si>
    <t>RCU – Negative/Fraud</t>
  </si>
  <si>
    <t>NCM + FCU Head</t>
  </si>
  <si>
    <t>RCU Referred</t>
  </si>
  <si>
    <t>Stability</t>
  </si>
  <si>
    <t xml:space="preserve">Residence and Office Stability norms not met ( No Deviation allowed on Minimum Business Vintage of 3 years </t>
  </si>
  <si>
    <t>Financials</t>
  </si>
  <si>
    <t>More than 50% Growth in TO considered for Current year</t>
  </si>
  <si>
    <t>PEP/ Adverse Media</t>
  </si>
  <si>
    <t>Cases where one of the parties is a politically exposed party or associated with adverse media reports.  (Customer to be treated as ‘High Risk’ and monitored accordingly)</t>
  </si>
  <si>
    <t>CRO + Chief Compliance Officer</t>
  </si>
  <si>
    <t>Other Deviation</t>
  </si>
  <si>
    <t>Other Exception/Policy Deviations</t>
  </si>
  <si>
    <t>CRO</t>
  </si>
  <si>
    <r>
      <rPr>
        <b/>
        <sz val="11"/>
        <color rgb="FF000000"/>
        <rFont val="Calibri"/>
        <family val="2"/>
        <charset val="1"/>
      </rPr>
      <t xml:space="preserve">Applicable Industries
</t>
    </r>
    <r>
      <rPr>
        <sz val="11"/>
        <color rgb="FF000000"/>
        <rFont val="Calibri"/>
        <family val="2"/>
        <charset val="1"/>
      </rPr>
      <t>1. Medicals/Pharma
2. Professional Services
3. Industrial Equipment’s
4. Specialty</t>
    </r>
  </si>
  <si>
    <t>I/w return upto 3% is allowed for mentioned applicable industries (including Trader, Manufacturer &amp; Services)</t>
  </si>
  <si>
    <t>Type</t>
  </si>
  <si>
    <t>Product 1</t>
  </si>
  <si>
    <t xml:space="preserve">Product 2 </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</si>
  <si>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</si>
  <si>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</si>
  <si>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</si>
  <si>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</si>
  <si>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</si>
  <si>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</si>
  <si>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</si>
  <si>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</si>
  <si>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</si>
  <si>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</si>
  <si>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</si>
  <si>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</si>
  <si>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</si>
  <si>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</si>
  <si>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</si>
  <si>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</si>
  <si>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</si>
  <si>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</si>
  <si>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</si>
  <si>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</si>
  <si>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</si>
  <si>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</si>
  <si>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</si>
  <si>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</si>
  <si>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</si>
  <si>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</si>
  <si>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</si>
  <si>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</si>
  <si>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</si>
  <si>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</si>
  <si>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</si>
  <si>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</si>
  <si>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</si>
  <si>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</si>
  <si>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</si>
  <si>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</si>
  <si>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</si>
  <si>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</si>
  <si>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</si>
  <si>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</si>
  <si>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</si>
  <si>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</si>
  <si>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</si>
  <si>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</si>
  <si>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</si>
  <si>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</si>
  <si>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</si>
  <si>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</si>
  <si>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</si>
  <si>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</si>
  <si>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</si>
  <si>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</si>
  <si>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</si>
  <si>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</si>
  <si>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</si>
  <si>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</si>
  <si>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</si>
  <si>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</si>
  <si>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</si>
  <si>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</si>
  <si>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</si>
  <si>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</si>
  <si>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</si>
  <si>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</si>
  <si>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</si>
  <si>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</si>
  <si>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</si>
  <si>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</si>
  <si>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</si>
  <si>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</si>
  <si>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</si>
  <si>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</si>
  <si>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</si>
  <si>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</si>
  <si>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</si>
  <si>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</si>
  <si>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</si>
  <si>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</si>
  <si>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</si>
  <si>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</si>
  <si>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</si>
  <si>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</si>
  <si>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</si>
  <si>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</si>
  <si>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</si>
  <si>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</si>
  <si>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</si>
  <si>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</si>
  <si>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</si>
  <si>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</si>
  <si>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</si>
  <si>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</si>
  <si>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</si>
  <si>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</si>
  <si>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</si>
  <si>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</si>
  <si>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</si>
  <si>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</si>
  <si>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</si>
  <si>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Product 102</t>
  </si>
  <si>
    <t>Product 103</t>
  </si>
  <si>
    <t>Product 104</t>
  </si>
  <si>
    <t>Product 105</t>
  </si>
  <si>
    <t>Product 106</t>
  </si>
  <si>
    <t>Product 107</t>
  </si>
  <si>
    <t>Product 108</t>
  </si>
  <si>
    <t>Product 109</t>
  </si>
  <si>
    <t>Product 110</t>
  </si>
  <si>
    <t>Product 111</t>
  </si>
  <si>
    <t>Product 112</t>
  </si>
  <si>
    <t>Product 113</t>
  </si>
  <si>
    <t>Margin 1</t>
  </si>
  <si>
    <t>Margin 2</t>
  </si>
  <si>
    <t>Margin 3</t>
  </si>
  <si>
    <t>Margin 4</t>
  </si>
  <si>
    <t>Margin 5</t>
  </si>
  <si>
    <t>Margin 6</t>
  </si>
  <si>
    <t>Margin 7</t>
  </si>
  <si>
    <t>Margin 8</t>
  </si>
  <si>
    <t>Margin 9</t>
  </si>
  <si>
    <t>Margin 10</t>
  </si>
  <si>
    <t>Margin 11</t>
  </si>
  <si>
    <t>Margin 12</t>
  </si>
  <si>
    <t>Margin 13</t>
  </si>
  <si>
    <t>Margin 14</t>
  </si>
  <si>
    <t>Margin 15</t>
  </si>
  <si>
    <t>Margin 16</t>
  </si>
  <si>
    <t>Margin 17</t>
  </si>
  <si>
    <t>Margin 18</t>
  </si>
  <si>
    <t>Margin 19</t>
  </si>
  <si>
    <t>Margin 20</t>
  </si>
  <si>
    <t>Margin 21</t>
  </si>
  <si>
    <t>Margin 22</t>
  </si>
  <si>
    <t>Margin 23</t>
  </si>
  <si>
    <t>Margin 24</t>
  </si>
  <si>
    <t>Margin 25</t>
  </si>
  <si>
    <t>Margin 26</t>
  </si>
  <si>
    <t>Margin 27</t>
  </si>
  <si>
    <t>Margin 28</t>
  </si>
  <si>
    <t>Margin 29</t>
  </si>
  <si>
    <t>Margin 30</t>
  </si>
  <si>
    <t>Margin 31</t>
  </si>
  <si>
    <t>Margin 32</t>
  </si>
  <si>
    <t>Margin 33</t>
  </si>
  <si>
    <t>Margin 34</t>
  </si>
  <si>
    <t>Margin 35</t>
  </si>
  <si>
    <t>Margin 36</t>
  </si>
  <si>
    <t>Margin 37</t>
  </si>
  <si>
    <t>Margin 38</t>
  </si>
  <si>
    <t>Margin 39</t>
  </si>
  <si>
    <t>Margin 40</t>
  </si>
  <si>
    <t>Margin 41</t>
  </si>
  <si>
    <t>Margin 42</t>
  </si>
  <si>
    <t>Margin 43</t>
  </si>
  <si>
    <t>Margin 44</t>
  </si>
  <si>
    <t>Margin 45</t>
  </si>
  <si>
    <t>Margin 46</t>
  </si>
  <si>
    <t>Margin 47</t>
  </si>
  <si>
    <t>Margin 48</t>
  </si>
  <si>
    <t>Margin 49</t>
  </si>
  <si>
    <t>Margin 50</t>
  </si>
  <si>
    <t>Margin 51</t>
  </si>
  <si>
    <t>Margin 52</t>
  </si>
  <si>
    <t>Margin 53</t>
  </si>
  <si>
    <t>Margin 54</t>
  </si>
  <si>
    <t>Margin 55</t>
  </si>
  <si>
    <t>Margin 56</t>
  </si>
  <si>
    <t>Margin 57</t>
  </si>
  <si>
    <t>Margin 58</t>
  </si>
  <si>
    <t>Margin 59</t>
  </si>
  <si>
    <t>Margin 60</t>
  </si>
  <si>
    <t>Margin 61</t>
  </si>
  <si>
    <t>Margin 62</t>
  </si>
  <si>
    <t>Margin 63</t>
  </si>
  <si>
    <t>Margin 64</t>
  </si>
  <si>
    <t>Margin 65</t>
  </si>
  <si>
    <t>Margin 66</t>
  </si>
  <si>
    <t>Margin 67</t>
  </si>
  <si>
    <t>Margin 68</t>
  </si>
  <si>
    <t>Margin 69</t>
  </si>
  <si>
    <t>Margin 70</t>
  </si>
  <si>
    <t>Margin 71</t>
  </si>
  <si>
    <t>Margin 72</t>
  </si>
  <si>
    <t>Margin 73</t>
  </si>
  <si>
    <t>Margin 74</t>
  </si>
  <si>
    <t>Margin 75</t>
  </si>
  <si>
    <t>Margin 76</t>
  </si>
  <si>
    <t>Margin 77</t>
  </si>
  <si>
    <t>Margin 78</t>
  </si>
  <si>
    <t>Margin 79</t>
  </si>
  <si>
    <t>Margin 80</t>
  </si>
  <si>
    <t>Margin 81</t>
  </si>
  <si>
    <t>Margin 82</t>
  </si>
  <si>
    <t>Margin 83</t>
  </si>
  <si>
    <t>Margin 84</t>
  </si>
  <si>
    <t>Margin 85</t>
  </si>
  <si>
    <t>Margin 86</t>
  </si>
  <si>
    <t>Margin 87</t>
  </si>
  <si>
    <t>Margin 88</t>
  </si>
  <si>
    <t>Margin 89</t>
  </si>
  <si>
    <t>Margin 90</t>
  </si>
  <si>
    <t>Margin 91</t>
  </si>
  <si>
    <t>Margin 92</t>
  </si>
  <si>
    <t>Margin 93</t>
  </si>
  <si>
    <t>Margin 94</t>
  </si>
  <si>
    <t>Margin 95</t>
  </si>
  <si>
    <t>Margin 96</t>
  </si>
  <si>
    <t>Margin 97</t>
  </si>
  <si>
    <t>Margin 98</t>
  </si>
  <si>
    <t>Margin 99</t>
  </si>
  <si>
    <t>Margin 100</t>
  </si>
  <si>
    <t>Margin 101</t>
  </si>
  <si>
    <t>Margin 102</t>
  </si>
  <si>
    <t>Margin 103</t>
  </si>
  <si>
    <t>Margin 104</t>
  </si>
  <si>
    <t>Margin 105</t>
  </si>
  <si>
    <t>Margin 106</t>
  </si>
  <si>
    <t>Margin 107</t>
  </si>
  <si>
    <t>Margin 108</t>
  </si>
  <si>
    <t>Margin 109</t>
  </si>
  <si>
    <t>Margin 110</t>
  </si>
  <si>
    <t>Margin 111</t>
  </si>
  <si>
    <t>Margin 112</t>
  </si>
  <si>
    <t>Margin 113</t>
  </si>
  <si>
    <t>Agriculture_M</t>
  </si>
  <si>
    <t>Milling_Product__Mfg_Segment_</t>
  </si>
  <si>
    <t>Flour milling</t>
  </si>
  <si>
    <t>Milling of maida</t>
  </si>
  <si>
    <t>Milling of maize</t>
  </si>
  <si>
    <t>Milling of sooji</t>
  </si>
  <si>
    <t>Rice milling</t>
  </si>
  <si>
    <t>Dal (pulses) milling</t>
  </si>
  <si>
    <t>Grain milling other than wheat, rice and dal</t>
  </si>
  <si>
    <t>Vegetable milling (production of flour or meal of dried leguminous vegetables(except dal), of roots or tubers, or of edible nuts)</t>
  </si>
  <si>
    <t>Other grain milling and processing n.e.c.</t>
  </si>
  <si>
    <t>Spices_and_Grams__Mfg_Segment_</t>
  </si>
  <si>
    <t>Grinding and processing of spices</t>
  </si>
  <si>
    <t>Processing of spices</t>
  </si>
  <si>
    <t>Dry_Fruits__Mfg_Segment_</t>
  </si>
  <si>
    <t>Growing of cashews</t>
  </si>
  <si>
    <t>Processing of cashew</t>
  </si>
  <si>
    <t>Fruits_and_Nurts_and_Vegatables__Mfg_Segment_</t>
  </si>
  <si>
    <t>Growing of edible nuts (almonds, cashew nuts, chestnuts, hazelnuts pistachios, walnuts and other nuts)</t>
  </si>
  <si>
    <t>Seed_Related__Mfg_Segment_</t>
  </si>
  <si>
    <t>Growing of pulses (dal) and other leguminous crops such as peas and beans, not used as oilseeds</t>
  </si>
  <si>
    <t>Growing of other oil seeds</t>
  </si>
  <si>
    <t>Growing of vegetable seeds (except beet seed)</t>
  </si>
  <si>
    <t>Growing of vegetable seeds</t>
  </si>
  <si>
    <t>Seed processing for propagation</t>
  </si>
  <si>
    <t>Cleaning and grading of seeds</t>
  </si>
  <si>
    <t>Processing of seeds</t>
  </si>
  <si>
    <t>Auto_Ancilliaries_M</t>
  </si>
  <si>
    <t>Auto_Ancilliaries__Mfg_Segment_</t>
  </si>
  <si>
    <t>Production of automation oil</t>
  </si>
  <si>
    <t>Manufacture of automated machines</t>
  </si>
  <si>
    <t>Manufacture of other automotive components</t>
  </si>
  <si>
    <t>Manufacture of automotive components</t>
  </si>
  <si>
    <t>Manufacture of automotive electrical equipment1</t>
  </si>
  <si>
    <t>Bearings__Mfg_Segment_</t>
  </si>
  <si>
    <t>Manufacture of bearings, gears, gearing and driving elements</t>
  </si>
  <si>
    <t>Manufacture of bearings</t>
  </si>
  <si>
    <t>Valves__Mfg_Segment_</t>
  </si>
  <si>
    <t>Manufacture of other pumps, compressors, taps and valves etc.3</t>
  </si>
  <si>
    <t>Manufacture of fluid valves</t>
  </si>
  <si>
    <t>Manufacture of non fluid valves</t>
  </si>
  <si>
    <t>Automobile_4W_M</t>
  </si>
  <si>
    <t>Authorised_car_dealers_servicing_manufacturers__Mfg_Segment_</t>
  </si>
  <si>
    <t>Manufacture of commercial vehicles such as vans, lorries, over-the-road tractors for semi-trailers etc.1</t>
  </si>
  <si>
    <t>Casting_and_Forgings_M</t>
  </si>
  <si>
    <t>Castings_and_Forgings__Mfg_Segment_</t>
  </si>
  <si>
    <t>Manufacture of other iron and steel casting and products thereof1</t>
  </si>
  <si>
    <t>Manufacture of steel casting products2</t>
  </si>
  <si>
    <t>Casting of non-ferrous metals3</t>
  </si>
  <si>
    <t>Casting of aluminium products1</t>
  </si>
  <si>
    <t>Manufacture of ductile iron castings1</t>
  </si>
  <si>
    <t>Forging, pressing, stamping and roll-forming of metal; powder metallurgy1</t>
  </si>
  <si>
    <t>Cement_M</t>
  </si>
  <si>
    <t>Cement_and_Asbestos_Products__Mfg_Segment_</t>
  </si>
  <si>
    <t>Manufacture of clinkers and cement</t>
  </si>
  <si>
    <t>Manufacture of Portland cement, aluminous cement, slag cement and similar hydraulic cement1</t>
  </si>
  <si>
    <t>Manufacture of articles articles of concrete, cement or artificial stone (tiles, bricks etc.)</t>
  </si>
  <si>
    <t>Manufacture of articles of concrete and cement</t>
  </si>
  <si>
    <t>Manufacture of hume pipes and other pre-fabricated structural components of cement and/or concrete for building or civil engineering</t>
  </si>
  <si>
    <t>Manufacture of other cement and asbestos cement products n.e.c.</t>
  </si>
  <si>
    <t>Chemicals_M</t>
  </si>
  <si>
    <t>Chemicals_petrochemicals_specility_chemicals__Mfg_Segment_</t>
  </si>
  <si>
    <t>Manufacture of basic chemical elements</t>
  </si>
  <si>
    <t>Manufacture of armoatic chemicals</t>
  </si>
  <si>
    <t>Manufacture of organic and inorganic chemical compounds n.e.c.</t>
  </si>
  <si>
    <t>Manufacture of chemical and intermediates</t>
  </si>
  <si>
    <t>Manufacture of chemical compounds</t>
  </si>
  <si>
    <t>Manufacture of special chemicals</t>
  </si>
  <si>
    <t>Manufacture of other agrochemical products n.e.c.</t>
  </si>
  <si>
    <t>Manufacture of essential oils; modification by chemical processes of oils and fats (e.g. by oxidation, polymerization etc.)</t>
  </si>
  <si>
    <t>Manufacture of chemical products or preparations of a kind used in the textiles, paper, leather and like industries</t>
  </si>
  <si>
    <t>Manufacture of chemical blowing agents</t>
  </si>
  <si>
    <t>Manufacture of metal treatment chemicals</t>
  </si>
  <si>
    <t>Manufacture of water treatment chemicals</t>
  </si>
  <si>
    <t>Manufacture of organic &amp; inorganic chemicals</t>
  </si>
  <si>
    <t>Manufacture of homoeopathic or biochemical pharmaceutical preparations1</t>
  </si>
  <si>
    <t>Coal_M</t>
  </si>
  <si>
    <t>Coal_and_Lignite_Minerals__Mfg_Segment_</t>
  </si>
  <si>
    <t>Opencast mining of hard coal1</t>
  </si>
  <si>
    <t>Cleaning, sizing, grading, pulverizing, compressing etc. of coal</t>
  </si>
  <si>
    <t>Other operations relating to mining and agglomeration of hard coal2</t>
  </si>
  <si>
    <t>Coffee_M</t>
  </si>
  <si>
    <t>Coffee_Producers_and_coffee_chains__Mfg_Segment_</t>
  </si>
  <si>
    <t>Coffee curing, roasting, grinding blending etc. and manufacturing of coffee products</t>
  </si>
  <si>
    <t>Commercial_Vehicle_M</t>
  </si>
  <si>
    <t>LCV_HCV_Commercial_Vehicles__Mfg_Segment_</t>
  </si>
  <si>
    <t>Manufacture of commercial vehicles such as vans, lorries, over-the-road tractors for semi-trailers etc.11</t>
  </si>
  <si>
    <t>Cosmetics_and_Toiletries_M</t>
  </si>
  <si>
    <t>Perfumes_cosmetics_toiletries_hair_oil_cream__Mfg_Segment_</t>
  </si>
  <si>
    <t>Manufacture of perfumes and cologne de-eau</t>
  </si>
  <si>
    <t>Manufacture of perfumes</t>
  </si>
  <si>
    <t>Manufacture of cosmetics and toiletries</t>
  </si>
  <si>
    <t>Manufacture of cosmetics</t>
  </si>
  <si>
    <t>Drug_Stores_M</t>
  </si>
  <si>
    <t>Drugs_and_pharmaceuticals_drug_proprietaries_and_druggists_sundries__Mfg_Segment_</t>
  </si>
  <si>
    <t>Manufacture of medicinal substances used in the manufacture of pharmaceuticals: antibiotics, endocrine products, basic vitamins; opium derivatives; sulpha drugs; serums and plasmas; salicylic acid, its salts and esters; glycosides and vegetable alkal1</t>
  </si>
  <si>
    <t>Manufacture of medicinal substances used in the manufacture of pharmaceuticals: antibiotics, endocrine products, basic vitamins; opium derivatives; sulpha drugs; serums and plasmas; salicylic acid, its salts and esters; glycosides and vegetable alkal2</t>
  </si>
  <si>
    <t>Manufacture of pharmaceutical formulations3</t>
  </si>
  <si>
    <t>Manufacture of active pharmaceutical ingredient2</t>
  </si>
  <si>
    <t>Manufacture of allopathic pharmaceutical preparations2</t>
  </si>
  <si>
    <t>Manufacture of `ayurvedic’ or `unani’ pharmaceutical preparation2</t>
  </si>
  <si>
    <t>Manufacture of other pharmaceutical and botanical products n.e.c. like hina powder etc.2</t>
  </si>
  <si>
    <t>Manufacture of pharmaceuticals2</t>
  </si>
  <si>
    <t>Dyes_and_Pigments_M</t>
  </si>
  <si>
    <t>Dyes_and_Pigments__Mfg_Segment_</t>
  </si>
  <si>
    <t>Manufacture of dyes and pigments from any source in basic form or as concentrate1</t>
  </si>
  <si>
    <t>Manufacture of dyes and dye intermediates</t>
  </si>
  <si>
    <t>Manufacture of dyes and pigments from any source in basic form or as concentrate</t>
  </si>
  <si>
    <t>Manufacturer of color pigments</t>
  </si>
  <si>
    <t>Manufacture of prepared pigments, prepared opacifiers and prepared colors, verifiable enamels and glazes engobes and similar preparations of a kind used in the ceramic, enameling or glass industry</t>
  </si>
  <si>
    <t>Electricals_M</t>
  </si>
  <si>
    <t>Electrical_good_and_equipments__Mfg_Segment_</t>
  </si>
  <si>
    <t>Manufacture of electrical insulators and insulating fittings of ceramics</t>
  </si>
  <si>
    <t>Manufacture of metal household articles (plates, saucers, pots, kettles, saucepans, frying pans and other non-electrical utensils, small hand-operated kitchen appliances and accessories)1</t>
  </si>
  <si>
    <t>Manufacture of electrical control panel</t>
  </si>
  <si>
    <t>Manufacture of electrical cables</t>
  </si>
  <si>
    <t>Manufacture of other electrical equipment</t>
  </si>
  <si>
    <t>Manufacture of electrical equipment</t>
  </si>
  <si>
    <t>Manufacture of motor vehicle electrical equipment, such as generators, alternators, spark plugs, ignition wiring harnesses, power window and door systems, assembly of purchased gauges into instrument panels, voltage regulators, etc.1</t>
  </si>
  <si>
    <t>Manufacture of automotive electrical equipment</t>
  </si>
  <si>
    <t>Engineering_M</t>
  </si>
  <si>
    <t>Precision_Dyes_and_Parts_Fasteners__Mfg_Segment_</t>
  </si>
  <si>
    <t>Manufacture of hume pipes and other pre-fabricated structural components of cement and/or concrete for building or civil engineering1</t>
  </si>
  <si>
    <t>Fertiliser_M</t>
  </si>
  <si>
    <t>Fertilisers__Mfg_Segment_</t>
  </si>
  <si>
    <t>Manufacture of urea and other organic fertilizers</t>
  </si>
  <si>
    <t>Manufacture of organic fertilizers</t>
  </si>
  <si>
    <t>Manufacture of straight mixed, compound or complex inorganic fertilizers</t>
  </si>
  <si>
    <t>Manufacture of NPK / mix fertilizers</t>
  </si>
  <si>
    <t>Manufacture of other fertilizers n.e.c.</t>
  </si>
  <si>
    <t>Manufacture of ploughs, manure spreaders, seeders, harrows and similar agricultural machinery for soil preparation, planting or fertilizing, harvesting or threshing machinery2</t>
  </si>
  <si>
    <t>Food_Processing_M</t>
  </si>
  <si>
    <t>Soft_drinks_bottled_water_Non_alcoholic_beverages__Mfg_Segment_</t>
  </si>
  <si>
    <t>Manufacture of mineral water</t>
  </si>
  <si>
    <t>Food_processing__Mfg_Segment_</t>
  </si>
  <si>
    <t>Cafeterias, fast-food restaurants and other food preparation in market stalls</t>
  </si>
  <si>
    <t>Manufacture of packaged snacks</t>
  </si>
  <si>
    <t>Cocoa_Confectionary_Dairy_packaged_food_bakery__Mfg_Segment_</t>
  </si>
  <si>
    <t>Manufacture of cocoa products</t>
  </si>
  <si>
    <t>Manufacture of other cocoa, chocolate, sugar confectionery products n.e.c.1</t>
  </si>
  <si>
    <t>Manufacture of chocolate and chocolate confectionery</t>
  </si>
  <si>
    <t>Manufacture of chocolate confectionery</t>
  </si>
  <si>
    <t>Manufacture of sugar confectionery (except sweetmeats)</t>
  </si>
  <si>
    <t>Manufacture of other cocoa, chocolate, sugar confectionery products n.e.c.</t>
  </si>
  <si>
    <t>Manufacture of sugar confectionery products</t>
  </si>
  <si>
    <t>Manufacture of other dairy products n.e.c.</t>
  </si>
  <si>
    <t>Manufacture of other dairy products</t>
  </si>
  <si>
    <t>Manufacture of other bakery products n.e.c.</t>
  </si>
  <si>
    <t>Marine_Foods_Soya_bean_products__Mfg_Segment_</t>
  </si>
  <si>
    <t>Processing and preserving of fish crustacean and similar foods</t>
  </si>
  <si>
    <t>Processing of cuttlefish</t>
  </si>
  <si>
    <t>Processing of fish</t>
  </si>
  <si>
    <t>Processing and canning of fish</t>
  </si>
  <si>
    <t>Production of fishmeal for human consumption or animal feed1</t>
  </si>
  <si>
    <t>Production, processing and preservation of other fish products n.e.c.</t>
  </si>
  <si>
    <t>Manufacture of fish oil</t>
  </si>
  <si>
    <t>Gems_and_Jewellery_M</t>
  </si>
  <si>
    <t>Gems_and_jewellery__Mfg_Segment_</t>
  </si>
  <si>
    <t>Manufacture of jewellery of gold, silver and other precious or base metal metal clad with precious metals or precious or semi-precious stones, or of combinations of precious metal and precious or semi-precious stones or of other materials</t>
  </si>
  <si>
    <t>Manufacture of gold jewellery</t>
  </si>
  <si>
    <t>Manufacture of diamond jewellery</t>
  </si>
  <si>
    <t>Manufacture of diamond studded jewellery</t>
  </si>
  <si>
    <t>Manufacture of silver jewellery</t>
  </si>
  <si>
    <t>Glass_M</t>
  </si>
  <si>
    <t>Glass_and_Glass_Products__Mfg_Segment_</t>
  </si>
  <si>
    <t>Manufacture of glass in primary or semi-manufactured forms (such as sheets &amp; plate glass) including mirror sheets and wired, colored, tinted, toughened or laminated glass</t>
  </si>
  <si>
    <t>Manufacture of glass fiber (including glass-wool) and yarn of glass fiber nonwoven glass fabrics, mats, boards and similar non-woven products2</t>
  </si>
  <si>
    <t>Manufacture of hollow glassware (bottles, jars etc.) for the conveyance or packing of goods</t>
  </si>
  <si>
    <t>Manufacture of glass bottles</t>
  </si>
  <si>
    <t>Manufacture of other glassware/glass products: articles of glass used in construction such as glass blocks; clock or watch glasses, optical glass and optical glass elements not optically worked; and other glass products (including glass beads) n.e.c.</t>
  </si>
  <si>
    <t>Manufacture of glass rectangular wires</t>
  </si>
  <si>
    <t>Manufacture of other general purpose machinery n.e.c. ( fans intended for industrial applications, exhaust hoods for commercial, laboratory or industrial use; calendaring or other rolling machines other than for metals or glass; gaskets and similar j</t>
  </si>
  <si>
    <t>Manufacture of ophthalmic goods, eyeglasses, sunglasses, lenses ground to prescription, contact lenses, safety goggles etc.</t>
  </si>
  <si>
    <t>Industrial_Equipment_or_Machinery_M</t>
  </si>
  <si>
    <t>Compressors__Mfg_Segment_</t>
  </si>
  <si>
    <t>Manufacture of other pumps, compressors, taps and valves etc.2</t>
  </si>
  <si>
    <t>Manufacture of compressor</t>
  </si>
  <si>
    <t>Industrial_Machinery__Mfg_Segment_</t>
  </si>
  <si>
    <t>Manufacture of weighing machinery (other than sensitive laboratory balances)</t>
  </si>
  <si>
    <t>Manufacture of other general purpose machinery n.e.c. ( fans intended for industrial applications, exhaust hoods for commercial, laboratory or industrial use; calendaring or other rolling machines other than for metals or glass; gaskets and similar j2</t>
  </si>
  <si>
    <t>Manufacture of various parts for machinery</t>
  </si>
  <si>
    <t>Manufacture of ploughs, manure spreaders, seeders, harrows and similar agricultural machinery for soil preparation, planting or fertilizing, harvesting or threshing machinery</t>
  </si>
  <si>
    <t>Manufacture of spraying machinery for agricultural use</t>
  </si>
  <si>
    <t>Manufacture of other agricultural and forestry machinery n.e.c.</t>
  </si>
  <si>
    <t>Manufacture of agricultural machinery</t>
  </si>
  <si>
    <t>Manufacture of metal-forming machinery and machine tools n.e.c</t>
  </si>
  <si>
    <t>Manufacture of boring, cutting, sinking and tunneling machinery (whether or not for underground use)</t>
  </si>
  <si>
    <t>Manufacture of concrete and mortar mixers, piled rivers and pile-extractors, mortar spreaders, bitumen spreaders, concrete surfacing machinery</t>
  </si>
  <si>
    <t>Manufacture of parts and accessories for machinery/equipment used by construction and mining industries</t>
  </si>
  <si>
    <t>Manufacture of other machinery for mining, quarrying and construction n.e.c.</t>
  </si>
  <si>
    <t>Manufacture of machinery for the dairy industry</t>
  </si>
  <si>
    <t>Manufacture of machinery for the grain milling industry</t>
  </si>
  <si>
    <t>Manufacture of machinery for the bakery industry or for making macaroni, noodles, pasta etc.</t>
  </si>
  <si>
    <t>Manufacture of machinery for the extraction or preparation of animal or vegetable fats or oils</t>
  </si>
  <si>
    <t>Manufacture of machinery for the preparation of tobacco and for the making of cigarettes or cigars, or for pipe or chewing tobacco or snuff</t>
  </si>
  <si>
    <t>Manufacture of other machinery for the industrial preparation or manufacture of food or drink n.e.c. (including tea or coffee making machines)</t>
  </si>
  <si>
    <t>Manufacture of tea blending machinery</t>
  </si>
  <si>
    <t>Manufacture of machinery for preparation of textile fibers, spinning machines, machines for preparing textile yarns, weaving machines (looms), including hand looms, knitting machines</t>
  </si>
  <si>
    <t>Manufacture of textile printing machinery</t>
  </si>
  <si>
    <t>Manufacture of machinery for washing, bleaching, dyeing, dressing, finishing coating or impregnating textile fabrics, machines for reeling, unreeling, folding, cutting or pinking textile fabrics, and similar machinery for fabric processing</t>
  </si>
  <si>
    <t>Manufacture of machinery for textile</t>
  </si>
  <si>
    <t>Manufacture of ironing machines, commercial washing and drying machines, dry-cleaning machines and other laundry machinery</t>
  </si>
  <si>
    <t>Manufacture of machinery for preparing, tanning or working hides, skins or leather, machinery for making or repairing footwear or other articles of hides, skins, leather or fur skins</t>
  </si>
  <si>
    <t>Manufacture of other machinery for textiles, apparel and leather production n.e.c.</t>
  </si>
  <si>
    <t>Manufacture of machinery for making paper pulp, paper, paperboard and articles of paper board</t>
  </si>
  <si>
    <t>Manufacture of machinery for working soft rubber or plastics or for the</t>
  </si>
  <si>
    <t>Manufacture of other special-purpose machinery n.e.c.</t>
  </si>
  <si>
    <t xml:space="preserve">Manufacture of machinery for feeding </t>
  </si>
  <si>
    <t>Manufacture of laboratory apparatus (laboratory ultrasonic cleaning machinery, laboratory sterilizers, laboratory type distilling apparatus, laboratory centrifuges etc.)</t>
  </si>
  <si>
    <t>Machine_Tools__Mfg_Segment_</t>
  </si>
  <si>
    <t>Manufacture of machine tools for turning, drilling, milling, shaping, planning, boring, grinding etc.2</t>
  </si>
  <si>
    <t>Manufacture of parts and accessories for the machine tools listed above</t>
  </si>
  <si>
    <t>Manufacture of metal-forming machinery and machine tools n.e.c2</t>
  </si>
  <si>
    <t>Manufacture of machine tools for turning, drilling, milling, shaping, planning, boring, grinding etc.</t>
  </si>
  <si>
    <t>Engines__Mfg_Segment_</t>
  </si>
  <si>
    <t>Manufacture of power generators (except battery charging alternators for internal combustion engines), motor generator sets (except turbine generator set units)2</t>
  </si>
  <si>
    <t>Manufacture of electric motors (except internal combustion engine starting motors)2</t>
  </si>
  <si>
    <t>Manufacture of engines and turbines, except aircraft, vehicle and cycle engines</t>
  </si>
  <si>
    <t>Industrial_Furnaces__Mfg_Segment_</t>
  </si>
  <si>
    <t>Manufacture of ovens, furnaces and furnace burners</t>
  </si>
  <si>
    <t>Switching_Appratus__Mfg_Segment_</t>
  </si>
  <si>
    <t>Manufacture of switchgear</t>
  </si>
  <si>
    <t>Manufacture of switch, switch box, lamp holders, lugs etc.</t>
  </si>
  <si>
    <t>Manufacture of switch</t>
  </si>
  <si>
    <t>Pumps__Mfg_Segment_</t>
  </si>
  <si>
    <t>Manufacture of other pumps, compressors, taps and valves etc.</t>
  </si>
  <si>
    <t>Manufacture of fluid pumps</t>
  </si>
  <si>
    <t>General_Purpose_Machinery__Mfg_Segment_</t>
  </si>
  <si>
    <t>Manufacture of other general purpose machinery n.e.c. ( fans intended for industrial applications, exhaust hoods for commercial, laboratory or industrial use; calendaring or other rolling machines other than for metals or glass; gaskets and similar j1</t>
  </si>
  <si>
    <t>Jute_M</t>
  </si>
  <si>
    <t>Jute__Mfg_Segment_</t>
  </si>
  <si>
    <t>Manufacture of carpets, and other floor coverings made of jute, Mesta and coir</t>
  </si>
  <si>
    <t>Manufacture of coir and jute mats</t>
  </si>
  <si>
    <t>Manufacture of jute bags</t>
  </si>
  <si>
    <t>Leather_M</t>
  </si>
  <si>
    <t>Luggage_and_Leather_Goods_or_other_leather_prodycts__Mfg_Segment_</t>
  </si>
  <si>
    <t>Manufacture of leather footwear such as shoes, sandals, chappals, leather-cum-rubber/plastic cloth sandles and chappals</t>
  </si>
  <si>
    <t>Manufacture of leather footwear</t>
  </si>
  <si>
    <t>Manufacture of footwear made primarily of vulcanized or molded rubber and plastic.1</t>
  </si>
  <si>
    <t>Liquor_or_Breweries_or_imfi_M</t>
  </si>
  <si>
    <t>Beer_Wine_and_Distilled_Alcoholic_Beverages__Mfg_Segment_</t>
  </si>
  <si>
    <t>Manufacture of beer</t>
  </si>
  <si>
    <t>Manufacture of distilled, potable, alcoholic beverages such as whisky, brandy, gin, “mixed drinks” etc.</t>
  </si>
  <si>
    <t>Live_Stock_M</t>
  </si>
  <si>
    <t>Animal_Feed__Mfg_Segment_</t>
  </si>
  <si>
    <t>Production of fishmeal for human consumption or animal feed</t>
  </si>
  <si>
    <t>Metals_aluminium_M</t>
  </si>
  <si>
    <t>Aluminium_and_Aluminium_Products__manufacturers___Mfg_Segment_</t>
  </si>
  <si>
    <t>Mining of Aluminium ore (bauxite)1</t>
  </si>
  <si>
    <t>Manufacture of aluminium powder</t>
  </si>
  <si>
    <t>Manufacture of Portland cement, aluminous cement, slag cement and similar hydraulic cement</t>
  </si>
  <si>
    <t>Manufacture of Aluminum from alumina and by other methods and products of aluminum and alloys</t>
  </si>
  <si>
    <t>Manufacture of aluminium products</t>
  </si>
  <si>
    <t>Manufacture of aluminium extrusions</t>
  </si>
  <si>
    <t>Manufacture of aluminium ingots</t>
  </si>
  <si>
    <t>Manufacture of aluminium alloys</t>
  </si>
  <si>
    <t>Casting of aluminium products</t>
  </si>
  <si>
    <t>Manufacture of aluminium utensils</t>
  </si>
  <si>
    <t>Manufacture of other electronic and electric wires and cables (insulated wire and cable made of steel, copper, aluminum)12</t>
  </si>
  <si>
    <t>Manufacture of aluminium wires</t>
  </si>
  <si>
    <t>Metals_copper_M</t>
  </si>
  <si>
    <t>Copper_and_Copper_Products__Mfg_Segment_</t>
  </si>
  <si>
    <t>Manufacture of Copper from ore, and other copper products and alloys</t>
  </si>
  <si>
    <t>Manufacture of copper products</t>
  </si>
  <si>
    <t>Manufacture of other electronic and electric wires and cables (insulated wire and cable made of steel, copper, aluminum)1</t>
  </si>
  <si>
    <t>Manufacture of copper wires</t>
  </si>
  <si>
    <t>Metals_Iron_and_Steel_M</t>
  </si>
  <si>
    <t>Iron_Steel_and_Steel_Alloys_Wires_and_Cables__Mfg_Segment_</t>
  </si>
  <si>
    <t>Mining of iron ores2</t>
  </si>
  <si>
    <t>Manufacture of direct reduction of iron (sponge iron) and other spongy ferrous products</t>
  </si>
  <si>
    <t>Manufacture of sponge iron</t>
  </si>
  <si>
    <t>Manufacture of tube and tube fittings of basic iron and steel1</t>
  </si>
  <si>
    <t>Manufacture of other basic iron and steel n.e.c11</t>
  </si>
  <si>
    <t>Manufacture of tubes, pipes and hollow profiles and of tube or pipe fittings of cast-iron/cast-steel1</t>
  </si>
  <si>
    <t>Manufacture of other iron and steel casting and products thereof12</t>
  </si>
  <si>
    <t>Manufacture of iron casted products</t>
  </si>
  <si>
    <t>Manufacture of ductile iron castings</t>
  </si>
  <si>
    <t>Manufacture of galvanized iron wires</t>
  </si>
  <si>
    <t>Manufacture of steel in ingots or other primary forms, and other semi-finished products of steel</t>
  </si>
  <si>
    <t>Manufacture of mild steel ingots</t>
  </si>
  <si>
    <t>Manufacture of steel in ingots</t>
  </si>
  <si>
    <t>Manufacture of steel mats</t>
  </si>
  <si>
    <t>Manufacture of steel rolls</t>
  </si>
  <si>
    <t>Manufacture of hot-rolled and cold-rolled products of steel</t>
  </si>
  <si>
    <t xml:space="preserve">Manufacture of cold rolled steel products </t>
  </si>
  <si>
    <t>Manufacture of other structured steel products</t>
  </si>
  <si>
    <t>Manufacture of hot rolled steel products</t>
  </si>
  <si>
    <t>Manufacture of stainless steel products</t>
  </si>
  <si>
    <t>Manufacture of tube and tube fittings of basic iron and steel</t>
  </si>
  <si>
    <t>Manufacture of railway track materials (unassembled rails) of steel</t>
  </si>
  <si>
    <t>Manufacture of wire of steel by cold drawing or stretching</t>
  </si>
  <si>
    <t>Manufacture of other basic iron and steel n.e.c</t>
  </si>
  <si>
    <t>Manufacture of alloy steel products</t>
  </si>
  <si>
    <t>Manufacture of other steel products</t>
  </si>
  <si>
    <t>Manufacture of tubes, pipes and hollow profiles and of tube or pipe fittings of cast-iron/cast-steel12</t>
  </si>
  <si>
    <t>Manufacture of steel pipes 1</t>
  </si>
  <si>
    <t>Manufacture of steel strips/tubes</t>
  </si>
  <si>
    <t>Manufacture of other iron and steel casting and products thereof</t>
  </si>
  <si>
    <t>Manufacture of steel products</t>
  </si>
  <si>
    <t>Manufacture of steel casting products</t>
  </si>
  <si>
    <t>Manufacture of steel scaffolding</t>
  </si>
  <si>
    <t>Fabrication of structured steel</t>
  </si>
  <si>
    <t>Manufacture of stainless steel utensils</t>
  </si>
  <si>
    <t>Manufacture of steel bathroom accessories</t>
  </si>
  <si>
    <t>Manufacture of other electronic and electric wires and cables (insulated wire and cable made of steel, copper, aluminum)</t>
  </si>
  <si>
    <t>Manufacture of steel wires</t>
  </si>
  <si>
    <t>Metals_others_M</t>
  </si>
  <si>
    <t>other_than_iron_and_steel_zince_copper_aluminium__Mfg_Segment_</t>
  </si>
  <si>
    <t>Manufacture of other non-ferrous metals n.e.c.</t>
  </si>
  <si>
    <t>Casting of non-ferrous metals</t>
  </si>
  <si>
    <t>Manufacture of metal frameworks or skeletons for construction and parts thereof (towers, masts, trusses, bridges etc.)1</t>
  </si>
  <si>
    <t>Manufacture of other structural metal products</t>
  </si>
  <si>
    <t>Manufacture of metal containers for compressed or liquefied gas</t>
  </si>
  <si>
    <t>Manufacture of metal reservoirs, tanks and similar containers</t>
  </si>
  <si>
    <t>Forging, pressing, stamping and roll-forming of metal; powder metallurgy</t>
  </si>
  <si>
    <t>Manufacture of precision sheet metal fabrication</t>
  </si>
  <si>
    <t>Manufacture of sheet metal</t>
  </si>
  <si>
    <t>Machining; treatment and coating of metals</t>
  </si>
  <si>
    <t>Manufacture of metal fasteners (nails, rivets, tacks, pins, staples, washers and similar non-threaded products and nuts, bolts, screws and other threaded products)</t>
  </si>
  <si>
    <t>Manufacture of brass metal fasteners</t>
  </si>
  <si>
    <t>Manufacture of metal fasteners</t>
  </si>
  <si>
    <t>Manufacture of metal containers</t>
  </si>
  <si>
    <t>Manufacture of metal cable and other articles made of wire (except for electric transmission)</t>
  </si>
  <si>
    <t>Manufacture of metal household articles (plates, saucers, pots, kettles, saucepans, frying pans and other non-electrical utensils, small hand-operated kitchen appliances and accessories)</t>
  </si>
  <si>
    <t>Manufacture of metal sanitary ware such as baths, sinks, washbasins and similar articles</t>
  </si>
  <si>
    <t>Manufacture of metal sanitary ware</t>
  </si>
  <si>
    <t>Manufacture of reinforced safes, vaults, strong room doors, gates and metal goods for office use (other than office furniture) and other purposes</t>
  </si>
  <si>
    <t>Manufacture of other fabricated metal products n.e.c.</t>
  </si>
  <si>
    <t>Manufacture of fabricated metal products</t>
  </si>
  <si>
    <t>Metals_zinc_M</t>
  </si>
  <si>
    <t>Zinc__Mfg_Segment_</t>
  </si>
  <si>
    <t>Manufacturing of lead, zinc and tin products and alloys</t>
  </si>
  <si>
    <t>Manufacture of zinc casted products</t>
  </si>
  <si>
    <t>Mining_M</t>
  </si>
  <si>
    <t>Mining__Mfg_Segment_</t>
  </si>
  <si>
    <t>Opencast mining of hard coal</t>
  </si>
  <si>
    <t>Other operations relating to mining and agglomeration of hard coal</t>
  </si>
  <si>
    <t>Mining of iron ores</t>
  </si>
  <si>
    <t>Mining of Aluminium ore (bauxite)</t>
  </si>
  <si>
    <t>Mining of manganese ore</t>
  </si>
  <si>
    <t>Mining of chromium ore</t>
  </si>
  <si>
    <t>Mining of precious metal ore (gold, silver)</t>
  </si>
  <si>
    <t>Mining of precious metal ore (gold)</t>
  </si>
  <si>
    <t>Mining of precious metal ore (silver)</t>
  </si>
  <si>
    <t>Mining of lead and zinc ore</t>
  </si>
  <si>
    <t>Mining of lead and zinc ores</t>
  </si>
  <si>
    <t>Mining of other non-ferrous metal ores, n.e.c. [titanium (limonite and rutile),niobium, tantalum, vanadium or zirconium ores; tin bearing ores and, nickel, cobalt, tungsten, molybdenum, antimony and other non-ferrous metal ores]</t>
  </si>
  <si>
    <t>Mining of antimony</t>
  </si>
  <si>
    <t>Mining of cobalt</t>
  </si>
  <si>
    <t>Mining of molybdenum</t>
  </si>
  <si>
    <t>Mining of nickel</t>
  </si>
  <si>
    <t>Mining of niobium</t>
  </si>
  <si>
    <t>Mining of other non-ferrous metal ores</t>
  </si>
  <si>
    <t>Mining of tantalum</t>
  </si>
  <si>
    <t>Mining of tin bearing ores</t>
  </si>
  <si>
    <t>Mining of titanium (ilmenite and rutile)</t>
  </si>
  <si>
    <t>Mining of tungsten</t>
  </si>
  <si>
    <t>Mining of vanadium or zirconium ores</t>
  </si>
  <si>
    <t>Mining of dolomite</t>
  </si>
  <si>
    <t>Mining of gypsum including selenite</t>
  </si>
  <si>
    <t>Mining/quarrying of limestone, lime shell, ‘kankar’ and other calcareous minerals including calcite, chalk and shale</t>
  </si>
  <si>
    <t>Mining/quarrying of calcite</t>
  </si>
  <si>
    <t>Mining/quarrying of chalk</t>
  </si>
  <si>
    <t>Mining/quarrying of limestone</t>
  </si>
  <si>
    <t>Mining/quarrying of other calcareous minerals</t>
  </si>
  <si>
    <t>Mining/quarrying of shale</t>
  </si>
  <si>
    <t>Mining/quarrying of limeshell</t>
  </si>
  <si>
    <t>Mining of clays (kaolin, ball clay, wollastonite, bentonite, fuller’s earth, fire clay etc.)</t>
  </si>
  <si>
    <t>Mining of ball clay</t>
  </si>
  <si>
    <t>Mining of bentonite</t>
  </si>
  <si>
    <t>Mining of fire clay</t>
  </si>
  <si>
    <t>Mining of fuller’s earth</t>
  </si>
  <si>
    <t>Mining of kaolin</t>
  </si>
  <si>
    <t>Mining of other clays</t>
  </si>
  <si>
    <t>Mining of wollastonite</t>
  </si>
  <si>
    <t>Mining of refractory non-clay minerals (andalusite, kyanite, sillimanite, dunite, diaspore magnesite, diaspore, magnesite)</t>
  </si>
  <si>
    <t>Mining of andalusite</t>
  </si>
  <si>
    <t>Mining of diaspore magnesite</t>
  </si>
  <si>
    <t>Mining of dunite</t>
  </si>
  <si>
    <t>Mining of kyanite</t>
  </si>
  <si>
    <t xml:space="preserve">Mining of refractory non-clay minerals </t>
  </si>
  <si>
    <t>Mining of sillimanite</t>
  </si>
  <si>
    <t>Mining of native sulphur or pyrites and pyrrhotites valued chiefly for sulphur</t>
  </si>
  <si>
    <t>Mining of native sulphur</t>
  </si>
  <si>
    <t>Mining of pyrites and pyrrhotites valued chiefly</t>
  </si>
  <si>
    <t>Mining of natural phosphates including apatite minerals</t>
  </si>
  <si>
    <t>Mining of apatite minerals</t>
  </si>
  <si>
    <t>Mining of natural phosphates</t>
  </si>
  <si>
    <t>Mining of earth colors (ochre including red oxide).</t>
  </si>
  <si>
    <t>Mining of earth colours</t>
  </si>
  <si>
    <t>Mining of ochre</t>
  </si>
  <si>
    <t>Mining of red oxide</t>
  </si>
  <si>
    <t>Mining of fluorspar</t>
  </si>
  <si>
    <t>Mining of barytes</t>
  </si>
  <si>
    <t>Mining of potash bearing salts/minerals; borate minerals and other fertilizer and chemical minerals n.e.c.</t>
  </si>
  <si>
    <t>Mining of borate minerals</t>
  </si>
  <si>
    <t>Mining of other fertiliser and chemical minerals</t>
  </si>
  <si>
    <t>Mining of potash bearing mineral</t>
  </si>
  <si>
    <t>Mining of potash bearing salts</t>
  </si>
  <si>
    <t>Salt mining, quarrying, screening etc.</t>
  </si>
  <si>
    <t>Mining of gemstones (agate, diamond, emerald, garnet (gem), jasper, rubby/sapphire etc.</t>
  </si>
  <si>
    <t>Mining of agate</t>
  </si>
  <si>
    <t>Mining of diamond</t>
  </si>
  <si>
    <t>Mining of emerald</t>
  </si>
  <si>
    <t>Mining of garnet (gem)</t>
  </si>
  <si>
    <t>Mining of gemstones</t>
  </si>
  <si>
    <t>Mining of jasper</t>
  </si>
  <si>
    <t>Mining of rubby/saphire</t>
  </si>
  <si>
    <t>Mining and quarrying of abrasive materials (pumice stone, emery, corundum, garnet and other natural abrasives)</t>
  </si>
  <si>
    <t>Mining and quarrying of abrasive materials</t>
  </si>
  <si>
    <t>Mining and quarrying of corundum</t>
  </si>
  <si>
    <t>Mining and quarrying of emery</t>
  </si>
  <si>
    <t>Mining and quarrying of garnet</t>
  </si>
  <si>
    <t>Mining and quarrying of other natural abrasives</t>
  </si>
  <si>
    <t>Mining and quarrying pumice stone</t>
  </si>
  <si>
    <t>Mining of mica</t>
  </si>
  <si>
    <t>Mining of natural graphite</t>
  </si>
  <si>
    <t>Mining of asbestos</t>
  </si>
  <si>
    <t>Mining of vermiculite, perlite and chlorites</t>
  </si>
  <si>
    <t>Mining of chlorites</t>
  </si>
  <si>
    <t>Mining of perlite</t>
  </si>
  <si>
    <t>Mining of vermiculite</t>
  </si>
  <si>
    <t>Mining of felspar and silica minerals including quartz, quartzite and fuch. Quartzite</t>
  </si>
  <si>
    <t>Mining of felspar</t>
  </si>
  <si>
    <t>Mining of quartz</t>
  </si>
  <si>
    <t>Mining of quartzite and fuch. quartzite</t>
  </si>
  <si>
    <t>Mining of silica minerals</t>
  </si>
  <si>
    <t>Mining of talc/steatite</t>
  </si>
  <si>
    <t>Mining of talc</t>
  </si>
  <si>
    <t>Mining of laterite, diatomite and siliceous fossil meals (e.g. diatomite) and other natural fluxes, natural asphalt or bitumen and other mining n.e.c.</t>
  </si>
  <si>
    <t>Mining of bitumen</t>
  </si>
  <si>
    <t>Mining of diatomite</t>
  </si>
  <si>
    <t>Mining of laterite</t>
  </si>
  <si>
    <t>Mining of other</t>
  </si>
  <si>
    <t>Mining of other natural fluxes</t>
  </si>
  <si>
    <t>Mining of silicious fossil meals</t>
  </si>
  <si>
    <t>Mining ofnatural asphalt</t>
  </si>
  <si>
    <t>Others_Mfg</t>
  </si>
  <si>
    <t>Industries_not_classified_elsewhere__Mfg_Segment_1</t>
  </si>
  <si>
    <t>Industries_not_classified_elsewhere__Mfg_Segment</t>
  </si>
  <si>
    <t>-</t>
  </si>
  <si>
    <t>Packaging_M</t>
  </si>
  <si>
    <t>Packaging_Material__Mfg_Segment_</t>
  </si>
  <si>
    <t>Manufacture of HDPE packaging material</t>
  </si>
  <si>
    <t>Plastic_Packaging_Goods__Mfg_Segment_</t>
  </si>
  <si>
    <t>Manufacture of plastic articles for the packing of goods (plastic bags, sacks, containers, boxes, cases, carboys, bottles etc.)1</t>
  </si>
  <si>
    <t>Manufacture of flexible packagingg</t>
  </si>
  <si>
    <t>Paints_M</t>
  </si>
  <si>
    <t>Paints_and_Varnishes__Mfg_Segment_</t>
  </si>
  <si>
    <t>Manufacture of paints and varnishes, enamels or lacquers</t>
  </si>
  <si>
    <t>Manufacture of paints</t>
  </si>
  <si>
    <t>Manufacture of caulking compounds and similar non-refractory filling or surfacing preparations, mastics, prepared paint or varnish removers, organic composite solvents and thinners and other related products n.e.c.</t>
  </si>
  <si>
    <t>Paper_M</t>
  </si>
  <si>
    <t>Paper_and_Paper_Products__Mfg_Segment_</t>
  </si>
  <si>
    <t>Manufacture of packing paper</t>
  </si>
  <si>
    <t>Manufacture of other special purpose paper (excluding computer stationary)</t>
  </si>
  <si>
    <t>Manufacture of paper board, straw board</t>
  </si>
  <si>
    <t>Manufacture of paper board</t>
  </si>
  <si>
    <t>Manufacture of other primary paper materials including composite paper and paper board n.e.c.</t>
  </si>
  <si>
    <t>Manufacture of kraft paper</t>
  </si>
  <si>
    <t>Manufacture of corrugated paper and paperboard</t>
  </si>
  <si>
    <t>Manufacture of corrugated paper board containers</t>
  </si>
  <si>
    <t>Manufacture of other containers of paper and paperboard n.e.c.</t>
  </si>
  <si>
    <t>Manufacture of paper cups, saucers, plates, hoops, cones and other similar products</t>
  </si>
  <si>
    <t>Manufacture of paper cup</t>
  </si>
  <si>
    <t>Manufacture of printing, writing and photocopying paper ready for use</t>
  </si>
  <si>
    <t>Manufacture of writing &amp; printing paper</t>
  </si>
  <si>
    <t>Manufacture of paper pulp articles other than containers (such as egg trays)</t>
  </si>
  <si>
    <t>Manufacture of wall paper</t>
  </si>
  <si>
    <t>Manufacture of carbon paper &amp; stationary items</t>
  </si>
  <si>
    <t>Manufacture of other paper products n.e.c.</t>
  </si>
  <si>
    <t>Manufacture of paper roll</t>
  </si>
  <si>
    <t>Manufacture of paper stationery product</t>
  </si>
  <si>
    <t>Manufacture of photo graphic color paper</t>
  </si>
  <si>
    <t>Pesticides_M</t>
  </si>
  <si>
    <t>Pesticied__Mfg_Segment_</t>
  </si>
  <si>
    <t>Manufacture of pesticides</t>
  </si>
  <si>
    <t>Pharmaceuticals_M</t>
  </si>
  <si>
    <t>Biotech_Research__Mfg_Segment_</t>
  </si>
  <si>
    <t>Manufacture of medicinal substances used in the manufacture of pharmaceuticals: antibiotics, endocrine products, basic vitamins; opium derivatives; sulpha drugs; serums and plasmas; salicylic acid, its salts and esters; glycosides and vegetable alkal1x</t>
  </si>
  <si>
    <t>CRAMS_or_Formulations_or_API_or_Ayurveda_or_Bulk_Drugs__Mfg_Segment_</t>
  </si>
  <si>
    <t>Manufacture of medicinal substances used in the manufacture of pharmaceuticals: antibiotics, endocrine products, basic vitamins; opium derivatives; sulpha drugs; serums and plasmas; salicylic acid, its salts and esters; glycosides and vegetable alkal</t>
  </si>
  <si>
    <t>Manufacture of allopathic mediciness</t>
  </si>
  <si>
    <t>Manufacture of ayurvedic medicinal productss</t>
  </si>
  <si>
    <t>Manufacture of pharmaceutical formulations</t>
  </si>
  <si>
    <t>Manufacture of active pharmaceutical ingredient</t>
  </si>
  <si>
    <t>Manufacture of allopathic pharmaceutical preparations</t>
  </si>
  <si>
    <t>Manufacture of allopathic medicines</t>
  </si>
  <si>
    <t>Manufacture of `ayurvedic’ or `unani’ pharmaceutical preparation</t>
  </si>
  <si>
    <t>Manufacture of ayurvedic medicinal products</t>
  </si>
  <si>
    <t>Manufacture of veterinary preparations</t>
  </si>
  <si>
    <t>Manufacture of veterinary formulations</t>
  </si>
  <si>
    <t>Manufacture of medical impregnated wadding, gauze, bandages, dressings, surgical gut string etc.</t>
  </si>
  <si>
    <t>Manufacture of other pharmaceutical and botanical products n.e.c. like hina powder etc.</t>
  </si>
  <si>
    <t>Manufacture of contrast media intermediaries</t>
  </si>
  <si>
    <t>Manufacture of drug intermediaries</t>
  </si>
  <si>
    <t>Manufacture of iodine derivatives</t>
  </si>
  <si>
    <t>Manufacture of pharmaceuticals</t>
  </si>
  <si>
    <t>Photographic_and_Allied_Products_M</t>
  </si>
  <si>
    <t>Photgraphic_and_Allied_Products__Mfg_Segment_</t>
  </si>
  <si>
    <t>Manufacture of printing, writing and photocopying paper ready for uses</t>
  </si>
  <si>
    <t>Pipes_M</t>
  </si>
  <si>
    <t>Manufacturing_and_sales_of_pipes_PVC_including_dealers__Mfg_Segment_</t>
  </si>
  <si>
    <t>Manufacture of rubber plates, sheets, strips, rods, tubes, pipes, hoses and profile -shapes etc</t>
  </si>
  <si>
    <t>Manufacture of HDPE pipe fittings</t>
  </si>
  <si>
    <t>Manufacture of HDPE pipes</t>
  </si>
  <si>
    <t>Manufacture of PVC pipe fittings</t>
  </si>
  <si>
    <t>Manufacture of PVC pipes</t>
  </si>
  <si>
    <t>Manufacture of hume pipes and other pre-fabricated structural components of cement and/or concrete for building or civil engineerings</t>
  </si>
  <si>
    <t>Manufacture of tubes, pipes and hollow profiles and of tube or pipe fittings of cast-iron/cast-steel</t>
  </si>
  <si>
    <t>Manufacture of pipe fittings</t>
  </si>
  <si>
    <t>Manufacture of welded pipes</t>
  </si>
  <si>
    <t>Plastics_M</t>
  </si>
  <si>
    <t>Polymers__Mfg_Segment_</t>
  </si>
  <si>
    <t>Manufacture of polymer/ synthetic / PVC water storage tanks</t>
  </si>
  <si>
    <t>Manufacture of display components (plasma, polymer, LCD, LED)</t>
  </si>
  <si>
    <t>Plastic_Films__Mfg_Segment_</t>
  </si>
  <si>
    <t>Manufacture of plastic films</t>
  </si>
  <si>
    <t>Manufacture of plastic in primary forms</t>
  </si>
  <si>
    <t>Plastic_tubes_and_sheets_and_other_plastic_products_plastic_resins_thermoplastics__Mfg_Segment_</t>
  </si>
  <si>
    <t>Manufacture of footwear made primarily of vulcanized or molded rubber and plastic</t>
  </si>
  <si>
    <t>Manufacture of semi-finished of plastic products (plastic plates, sheets, blocks, film, foil, strip etc.)</t>
  </si>
  <si>
    <t>Manufacture of plastic rolls</t>
  </si>
  <si>
    <t>Manufacture of tableware, kitchenware and other household articles and toilet articles of plastic, including manufacture of vacuum flasks and other vacuum vessels</t>
  </si>
  <si>
    <t>Manufacture of plastics jars and caps</t>
  </si>
  <si>
    <t>Manufacture of plastic articles for the packing of goods (plastic bags, sacks, containers, boxes, cases, carboys, bottles etc.)</t>
  </si>
  <si>
    <t>Manufacture of plastic bags</t>
  </si>
  <si>
    <t>Manufacture of plastic bottles</t>
  </si>
  <si>
    <t>Manufacture  plastic containers</t>
  </si>
  <si>
    <t>Manufacture of bathing tubs, wash-basins, lavatory pans and covers, flushing cisterns and similar sanitary-ware of plastics</t>
  </si>
  <si>
    <t>Manufacture of plastic buckets</t>
  </si>
  <si>
    <t>Manufacture of travel goods of plastics (suitcase, vanity bags, holdalls and similar articles)</t>
  </si>
  <si>
    <t>Manufacture of spectacle frames of plastic</t>
  </si>
  <si>
    <t>Manufacture of molded industrial accessories of plastics</t>
  </si>
  <si>
    <t>Manufacture of industrial plastic components</t>
  </si>
  <si>
    <t>Manufacture of plastic mouldings</t>
  </si>
  <si>
    <t>Manufacture of plastic preforms</t>
  </si>
  <si>
    <t>Manufacture of other plastics products n.e.c.</t>
  </si>
  <si>
    <t>Manufacture of disposable plastic cups</t>
  </si>
  <si>
    <t>Manufacture of disposable plastic glass</t>
  </si>
  <si>
    <t>Manufacture of disposable plastic plates</t>
  </si>
  <si>
    <t>Manufacture of plastic sheet products</t>
  </si>
  <si>
    <t>Manufacture of self-adhesive plastic tapes</t>
  </si>
  <si>
    <t>Manufacture of plastic components</t>
  </si>
  <si>
    <t>Poultry_M</t>
  </si>
  <si>
    <t>Poultry_and_Meat_Products__Mfg_Segment_</t>
  </si>
  <si>
    <t>Preservation, Processing and canning of meat</t>
  </si>
  <si>
    <t>Processing of buffalo meat</t>
  </si>
  <si>
    <t>Operation of poultry hatcheries</t>
  </si>
  <si>
    <t>Manufacture of poultry feed</t>
  </si>
  <si>
    <t>Power_M</t>
  </si>
  <si>
    <t>Motors_Generator_and_pumps_and_other_power_equipments__Mfg_Segment_</t>
  </si>
  <si>
    <t>Manufacture of power generators (except battery charging alternators for internal combustion engines), motor generator sets (except turbine generator set units</t>
  </si>
  <si>
    <t>Manufacture of electric motors (except internal combustion engine starting motors)</t>
  </si>
  <si>
    <t>Manufacture of power generators (except battery charging alternators for internal combustion engines), motor generator sets (except turbine generator set units)</t>
  </si>
  <si>
    <t>Manufacture of motor vehicle electrical equipment, such as generators, alternators, spark plugs, ignition wiring harnesses, power window and door systems, assembly of purchased gauges into instrument panels, voltage regulators, etc.</t>
  </si>
  <si>
    <t>Transformers__Mfg_Segment_</t>
  </si>
  <si>
    <t>Manufacture of electronic capacitors, resistors, chokes, coils, transformers (electronic) and similar components</t>
  </si>
  <si>
    <t>Manufacture of electric power distribution transformers, arc-welding transformers, fluorescent ballasts, transmission and distribution voltage regulators</t>
  </si>
  <si>
    <t>Manufacture of transformer bushings</t>
  </si>
  <si>
    <t>Rubber_Natural_M</t>
  </si>
  <si>
    <t>Rubber_and_Rubber_products__Mfg_Segment_</t>
  </si>
  <si>
    <t>Manufacture of footwear made primarily of vulcanized or molded rubber and plastic.</t>
  </si>
  <si>
    <t>Manufacture of rubber tyres and tubes for motor vehicles, motorcycles, scooters, three-wheelers, tractors and aircrafts</t>
  </si>
  <si>
    <t>Manufacture of rubber tyres and tubes n.e.c…</t>
  </si>
  <si>
    <t>Manufacture of rubber plates, sheets, strips, rods, tubes, pipes, hoses and profile -shapes etc.</t>
  </si>
  <si>
    <t>Manufacture of rubber conveyor or transmission belts or belting</t>
  </si>
  <si>
    <t>Manufacture of rubber balloons</t>
  </si>
  <si>
    <t>Manufacture of other rubber products n.e.c.</t>
  </si>
  <si>
    <t xml:space="preserve">Manufacture of other rubber products for automobile </t>
  </si>
  <si>
    <t>Manufacture of rubber gaskets</t>
  </si>
  <si>
    <t>Manufacture of rubber mats</t>
  </si>
  <si>
    <t>Manufacture of rubber soles</t>
  </si>
  <si>
    <t>Soaps_and_Detergents_M</t>
  </si>
  <si>
    <t>Manufacturers_of_toiler_soaps_detergents_shampoos_toothpaste_shaving_products_shoe_polish_and_household_accessories__Mfg_Segment_</t>
  </si>
  <si>
    <t>Manufacture of hair oil, shampoo, hair dye etcs</t>
  </si>
  <si>
    <t>Manufacture of soap all forms</t>
  </si>
  <si>
    <t>Manufacture of detergent and similar washing agents excluding soap</t>
  </si>
  <si>
    <t>Manufacture of hair oil, shampoo, hair dye etc.</t>
  </si>
  <si>
    <t>Manufacture of hair oil</t>
  </si>
  <si>
    <t>Speciality_M</t>
  </si>
  <si>
    <t>Sports_Goods_Sports_Academy__Mfg_Segment_</t>
  </si>
  <si>
    <t>Manufacture of sports goods</t>
  </si>
  <si>
    <t>Home_Furnishing_or_Kitchen_and_household_hardware__Mfg_Segment_</t>
  </si>
  <si>
    <t>Manufacture of door hardware products</t>
  </si>
  <si>
    <t>Manufacture of cutlery such as knives, forks, spoons, cleavers, choppers, razors, razor blades, scissors, hair clippers etc.</t>
  </si>
  <si>
    <t>Sugar_M</t>
  </si>
  <si>
    <t>Sugar__Mfg_Segment_</t>
  </si>
  <si>
    <t>Manufacture or refining of sugar (sucrose) from sugarcane</t>
  </si>
  <si>
    <t>Manufacture or refining of sugercane sugar (sucrose)</t>
  </si>
  <si>
    <t>Tea_M</t>
  </si>
  <si>
    <t>Tea__Mfg_Segment_</t>
  </si>
  <si>
    <t>Growing of tea</t>
  </si>
  <si>
    <t>Plantation &amp; cultivation of tea</t>
  </si>
  <si>
    <t>Processing and blending of tea including manufacture of instant tea</t>
  </si>
  <si>
    <t>Processing of tea</t>
  </si>
  <si>
    <t>Manufacture of other machinery for the industrial preparation or manufacture of food or drink n.e.c. (including tea or coffee making machines).</t>
  </si>
  <si>
    <t>Textile_Machinery_M</t>
  </si>
  <si>
    <t>Textile_machinery__Mfg_Segment_</t>
  </si>
  <si>
    <t>Manufacture of machinery for preparation of textile fibers, spinning machines, machines for preparing textile yarns, weaving machines (looms), including hand looms, knitting machine</t>
  </si>
  <si>
    <t>Manufacture of machinery for washing, bleaching, dyeing, dressing, finishing coating or impregnating textile fabrics, machines for reeling, unreeling, folding, cutting or pinking textile fabrics, and similar machinery for fabric processings</t>
  </si>
  <si>
    <t>Textile_Furnishing_M</t>
  </si>
  <si>
    <t>Home_furnishing__Mfg_Segment_</t>
  </si>
  <si>
    <t>Manufacture of home furnishing</t>
  </si>
  <si>
    <t>Textile_Yarn_M</t>
  </si>
  <si>
    <t>Textiles_Blended_Yarn__Mfg_Segment_</t>
  </si>
  <si>
    <t>Manufacture of cotton yarn</t>
  </si>
  <si>
    <t>Preparation and spinning of jute, Mesta and other natural fibers including blended natural fibers n.e.c. *Blended yarn/fabrics means, yarn/fabrics containing more than 50% of one fiber.</t>
  </si>
  <si>
    <t>Manufacture hosiery yarn</t>
  </si>
  <si>
    <t>Manufacture of metallized yarn or gimped yarn, rubber thread or cord covered with textile material, textile yarn or strip impregnated, covered or sheathed with rubber or plastic</t>
  </si>
  <si>
    <t>Manufacture of textile yarn or strip impregnated</t>
  </si>
  <si>
    <t>Manufacture of grey fabric yarns</t>
  </si>
  <si>
    <t>Manufacture of multifilament yarn</t>
  </si>
  <si>
    <t>Manufacture of synthetic or artificial filament yarn, tenacity yarn whether or not textured including high tenacity yarn</t>
  </si>
  <si>
    <t>Manufacture of synthetic yarn</t>
  </si>
  <si>
    <t>Textile_Garments_and_Apparels_M</t>
  </si>
  <si>
    <t>Readymade_garments__Mfg_Segment_</t>
  </si>
  <si>
    <t>Manufacture of all types of textile garments and clothing accessories</t>
  </si>
  <si>
    <t>Manufacture of ready-made garments</t>
  </si>
  <si>
    <t>Manufacturing of garments</t>
  </si>
  <si>
    <t>Textile_Fabric_M</t>
  </si>
  <si>
    <t>Cotton_synthetic_blended_knitted_and_silk_fabric_or_cloth__Mfg_Segment_</t>
  </si>
  <si>
    <t>Manufacture grey fabric</t>
  </si>
  <si>
    <t>Weaving, manufacture of cotton and cotton mixture fabrics.</t>
  </si>
  <si>
    <t>Manufacture of cotton fabric</t>
  </si>
  <si>
    <t>Weaving, manufacturing of man-made fiber and man-made mixture fabric</t>
  </si>
  <si>
    <t>Manufacture of polyester fabric</t>
  </si>
  <si>
    <t>Finishing of jute, mesta and other vegetable textiles fabrics</t>
  </si>
  <si>
    <t>Dyeing &amp; printing grey fabric</t>
  </si>
  <si>
    <t>Manufacture of knitted and crocheted cotton fabrics</t>
  </si>
  <si>
    <t>Manufacture of knitted and crocheted woolen fabrics</t>
  </si>
  <si>
    <t>Manufacture of knitted and crocheted synthetic fabrics</t>
  </si>
  <si>
    <t>Manufacture of synthetic fabrics</t>
  </si>
  <si>
    <t>Manufacture of other knitted and crocheted fabrics</t>
  </si>
  <si>
    <t>Manufacture of grey fabric yarn</t>
  </si>
  <si>
    <t>Manufacture of non woven fabric</t>
  </si>
  <si>
    <t>Manufacture of shirting fabric</t>
  </si>
  <si>
    <t>Manufacture of textile fabric</t>
  </si>
  <si>
    <t>Manufacture of rain coats of waterproof textile fabrics or plastic sheetings</t>
  </si>
  <si>
    <t>Manufacture of rain coats of waterproof textile fabrics</t>
  </si>
  <si>
    <t>Manufacture of prefabricated buildings, or elements thereof, predominantly of wood</t>
  </si>
  <si>
    <t>Manufacture of PP fabric</t>
  </si>
  <si>
    <t>Manufacture of HDPE fabric</t>
  </si>
  <si>
    <t>Manufacture of glass fiber (including glass-wool) and yarn of glass fiber nonwoven glass fabrics, mats, boards and similar non-woven products</t>
  </si>
  <si>
    <t>Textile_Ginning_M</t>
  </si>
  <si>
    <t>Ginning_of_cotton__Mfg_Segment_</t>
  </si>
  <si>
    <t>Cotton ginning, cleaning and bailing</t>
  </si>
  <si>
    <t>Ginning of cotton</t>
  </si>
  <si>
    <t>Activity of ginning and pressing cotton bales</t>
  </si>
  <si>
    <t>Textile_Others_M</t>
  </si>
  <si>
    <t>Textile_other_than_mentioned_above__Mfg_Segment_</t>
  </si>
  <si>
    <t>Other activities relating to finishing of textile n.e.c.</t>
  </si>
  <si>
    <t>Manufacture of other made-up textile articles, except apparel n.e.c.</t>
  </si>
  <si>
    <t>Manufacture of other textiles/textile products n.e.c.</t>
  </si>
  <si>
    <t>Manufacture of made-up textiles</t>
  </si>
  <si>
    <t>Textile_Synthetic_M</t>
  </si>
  <si>
    <t>Silk_PSF_VSF_nylon__Mfg_Segment_</t>
  </si>
  <si>
    <t>Preparation and spinning of man-made fiber including blended* man-made fiber</t>
  </si>
  <si>
    <t>Preparation of man-made fiber</t>
  </si>
  <si>
    <t>Spinning of man-made fibers</t>
  </si>
  <si>
    <t>Weaving, manufacturing of man-made fiber and man-made mixture fabrics.</t>
  </si>
  <si>
    <t>Finishing of man-made and blended man-made textiles.</t>
  </si>
  <si>
    <t>Spinning of man-made fiber</t>
  </si>
  <si>
    <t>Woolen__Mfg_Segment_</t>
  </si>
  <si>
    <t>Preparation and spinning of wool, including other animal hair and blended* wool including other animal hair</t>
  </si>
  <si>
    <t>Weaving, manufacture of wool and wool mixture fabrics.</t>
  </si>
  <si>
    <t>Manufacture of knitted and crocheted woolen fabric</t>
  </si>
  <si>
    <t>Manufacture of carpets and other floor coverings made of wool</t>
  </si>
  <si>
    <t>Manufacture of carpets made of wool</t>
  </si>
  <si>
    <t>Manufacture of rugs made of wool</t>
  </si>
  <si>
    <t>Tiles_Ceramic_or_Building_Construction_Material_M</t>
  </si>
  <si>
    <t>Construction_materials_ceramic_tiles__Mfg_Segment_</t>
  </si>
  <si>
    <t>Manufacture of ceramic tiles</t>
  </si>
  <si>
    <t>Manufactures raw material used in ceramic tiles</t>
  </si>
  <si>
    <t>Manufacture of metal frameworks or skeletons for construction and parts thereof (towers, masts, trusses, bridges etc.)</t>
  </si>
  <si>
    <t>Operation of sand or gravel pits, basalt/porphyry, clay (ordinary), crushing and breaking of stone for use as a flux or raw material in lime or cement, manufacture or as building material, road metal or ballast and other materials for construction</t>
  </si>
  <si>
    <t>Manufacture of m-sand</t>
  </si>
  <si>
    <t>Marble_and_Granite__Mfg_Segment_</t>
  </si>
  <si>
    <t>Quarrying of marble</t>
  </si>
  <si>
    <t>Quarrying of slate and building and monumental stone other than marble and granite</t>
  </si>
  <si>
    <t>Manufacture of marbles</t>
  </si>
  <si>
    <t>Quarrying of marbles</t>
  </si>
  <si>
    <t>Quarrying of granite</t>
  </si>
  <si>
    <t>Quarrying of red granite</t>
  </si>
  <si>
    <t>Quarrying of slate and building and monumental stone other than marble and granites</t>
  </si>
  <si>
    <t>Manufacture of granite tiles</t>
  </si>
  <si>
    <t>Manufacture of granite slabs</t>
  </si>
  <si>
    <t>Timber_and_Timber_Products_M</t>
  </si>
  <si>
    <t>Wood_and_wood_products__including_furnitures__Mfg_Segment_</t>
  </si>
  <si>
    <t>Logging camps and loggers primarily engaged in felling timber and producing wood in the rough such as pitprops, split poles, pickets, hewn railway ties</t>
  </si>
  <si>
    <t>Producing wood in the rough</t>
  </si>
  <si>
    <t>Manufacture of ply wood and veneer sheets</t>
  </si>
  <si>
    <t>Manufacture of decorative ply wood</t>
  </si>
  <si>
    <t>Manufacture of ply wood</t>
  </si>
  <si>
    <t>Manufacture of particle board and fiberboard including densified wood</t>
  </si>
  <si>
    <t>Manufacture of other plywood products n.e.c.</t>
  </si>
  <si>
    <t>Manufacture of structural wooden goods</t>
  </si>
  <si>
    <t>Manufacture of wooden boxes, barrels, vats, tubs, packing cases etc.</t>
  </si>
  <si>
    <t>Manufacture of wooden boxes &amp; racks</t>
  </si>
  <si>
    <t>Manufacture of plywood chests</t>
  </si>
  <si>
    <t>Manufacture of other wooden containers and products entirely or mainly of cane, rattan, bamboo, willow, fiber, leaves and grass n.e.c.</t>
  </si>
  <si>
    <t>Manufacture of wooden industrial goods</t>
  </si>
  <si>
    <t>Manufacture of wooden agricultural implements</t>
  </si>
  <si>
    <t>Manufacture of other wood products n.e.c.</t>
  </si>
  <si>
    <t>Printing directly onto textiles, flexographic plastic, glass, metal, wood and ceramics</t>
  </si>
  <si>
    <t>Manufacture of cleaning and polishing products (preparations for perfuming or deodorizing rooms; artificial waxes and prepared waxes; polishes and creams for leather, wood, glass, metal etc.; scouring pastes and powders, including paper, wadding etc.</t>
  </si>
  <si>
    <t>Manufacture of insulation boards of vegetable fiber, straw or wood waste, agglomerated with cement &amp; other mineral binders.</t>
  </si>
  <si>
    <t>Manufacture of furniture made of wood</t>
  </si>
  <si>
    <t>Manufacture of wooden furniture</t>
  </si>
  <si>
    <t>Tobacco_M</t>
  </si>
  <si>
    <t>Tobacco_Products__Mfg_Segment_</t>
  </si>
  <si>
    <t>Preparation of tobacco leaves</t>
  </si>
  <si>
    <t>Manufacture of other tobacco products including chewing tobacco n.e.c.</t>
  </si>
  <si>
    <t>Tractors_M</t>
  </si>
  <si>
    <t>Tractors__Mfg_Segment_</t>
  </si>
  <si>
    <t>Manufacture of tractors used in agriculture and forestry</t>
  </si>
  <si>
    <t>Manufacture of commercial vehicles such as vans, lorries, over-the-road tractors for semi-trailers etc.</t>
  </si>
  <si>
    <t>Tyres_M</t>
  </si>
  <si>
    <t>Tyres__Mfg_Segment_</t>
  </si>
  <si>
    <t>Manufacture of rubber tyres and tubes for motor vehicles, motorcycles, scooters, three-wheelers, tractors and aircraft</t>
  </si>
  <si>
    <t>Manufacture of rubber tyres and tubes n.e.c.</t>
  </si>
  <si>
    <t>Watches_M</t>
  </si>
  <si>
    <t>Clocks_and_Watches__Mfg_Segment_</t>
  </si>
  <si>
    <t>Manufacture of watches and clocks, including instrument panel clocks (except time-recording equipment)</t>
  </si>
  <si>
    <t>Product 2</t>
  </si>
  <si>
    <t>Agriculture_Trading</t>
  </si>
  <si>
    <t>Spices_and_Grams_Trading_Segment</t>
  </si>
  <si>
    <t>Wholesale of edible oils, fats, sugar and processed/manufactured spices etc.1</t>
  </si>
  <si>
    <t>Wholesale of spices</t>
  </si>
  <si>
    <t>Retail sale of cereals and pulses, tea, coffee, spices and flour2</t>
  </si>
  <si>
    <t>Dry_Fruits_Trading_Segment</t>
  </si>
  <si>
    <t>Wholesale of cashew kernels</t>
  </si>
  <si>
    <t>Wholesale of dryfruits</t>
  </si>
  <si>
    <t>Wholesale of cashew nuts</t>
  </si>
  <si>
    <t>Floriculture_Trading_Segment</t>
  </si>
  <si>
    <t>Wholesale of flowers and plants</t>
  </si>
  <si>
    <t>Seed_Related_Trading_Segment</t>
  </si>
  <si>
    <t>Wholesale of oilseed oleaginous fruits</t>
  </si>
  <si>
    <t>Wholesale of cotton seeds</t>
  </si>
  <si>
    <t>Wholesale of seeds</t>
  </si>
  <si>
    <t>Wholesale of ploughs, manure spreaders, seeders, harvesters, threshers</t>
  </si>
  <si>
    <t>Auto_Ancilliaries_Trading</t>
  </si>
  <si>
    <t>Auto_Ancilliaries_Trading_Segment</t>
  </si>
  <si>
    <t>Wholesale of automotive components</t>
  </si>
  <si>
    <t>Retail sale of automotive fuel in specialized stores (includes the activity of petrol filling stations)</t>
  </si>
  <si>
    <t>Storage_Batteries_Trading_Segment</t>
  </si>
  <si>
    <t>Wholesale of batteries</t>
  </si>
  <si>
    <t>Valves_Trading_Segment</t>
  </si>
  <si>
    <t>Wholesale of electronic valves and tubes, semiconductor devices, microchips, integrated circuits and printed circuits</t>
  </si>
  <si>
    <t>Automobile_2W_Trading</t>
  </si>
  <si>
    <t>Two_wheeler_dealers_and_manufacturers_including_scooters_bikes_etc_Trading_Segment</t>
  </si>
  <si>
    <t>Wholesale or retail sale of new motorcycles, mopeds, scooters and three wheelers</t>
  </si>
  <si>
    <t>Retail of three wheeler</t>
  </si>
  <si>
    <t>Retail sale of two wheeler</t>
  </si>
  <si>
    <t>Wholesale of three wheeler</t>
  </si>
  <si>
    <t>Wholesale of two wheeler</t>
  </si>
  <si>
    <t>Wholesale or retail sale of parts and accessories of motorcycles, mopeds, scooters and three wheelers</t>
  </si>
  <si>
    <t>Wholesale of three wheeler spares</t>
  </si>
  <si>
    <t>Wholesale of two wheeler spares</t>
  </si>
  <si>
    <t>Retail of two wheeler spares</t>
  </si>
  <si>
    <t>Automobile_4W_Trading</t>
  </si>
  <si>
    <t>Authorised_car_dealers_servicing_manufacturers_Trading_Segment</t>
  </si>
  <si>
    <t>Retail of commercial vehicle</t>
  </si>
  <si>
    <t>Retail of heavy commercial vehicle</t>
  </si>
  <si>
    <t>Retail of light commercial vehicle</t>
  </si>
  <si>
    <t>Retail of medium commercial vehicle</t>
  </si>
  <si>
    <t>Retail sale of passenger motor vehicles</t>
  </si>
  <si>
    <t>Retail of small commercial vehicle</t>
  </si>
  <si>
    <t>Wholesale of commercial vehicle</t>
  </si>
  <si>
    <t>Wholesale of heavy commercial vehicle</t>
  </si>
  <si>
    <t>Wholesale of light commercial vehicle</t>
  </si>
  <si>
    <t>Wholesale of medium commercial vehicle</t>
  </si>
  <si>
    <t>Wholesale of passenger motor vehicle</t>
  </si>
  <si>
    <t>Wholesale of small commercial vehicle</t>
  </si>
  <si>
    <t>Wholesale and retail sale of used motor vehicles</t>
  </si>
  <si>
    <t>Wholesale of used motor vehicles</t>
  </si>
  <si>
    <t>Cement_Trading</t>
  </si>
  <si>
    <t>Cement_and_Asbestos_Products_Trading_Segment</t>
  </si>
  <si>
    <t>Wholesale of cement</t>
  </si>
  <si>
    <t>Chemicals_Trading</t>
  </si>
  <si>
    <t>Chemicals_petrochemicals_specility_chemicals_Trading_Segment</t>
  </si>
  <si>
    <t>Activities of commission agents dealing in wholesale trade in wood, paper, skin, leather and fur, fuel, petroleum products, chemicals, perfumery and cosmetics, glass, minerals, ores and metals</t>
  </si>
  <si>
    <t>Wholesale of petrochemicals</t>
  </si>
  <si>
    <t>Wholesale of industrial chemical</t>
  </si>
  <si>
    <t>Wholesale of chemicals used in paper industries.</t>
  </si>
  <si>
    <t>Wholesale of chemicals</t>
  </si>
  <si>
    <t>Wholesale of industrial chemicals</t>
  </si>
  <si>
    <t>Wholesale of speciality chemicals</t>
  </si>
  <si>
    <t>Wholesale of fertilizers and agrochemical products.</t>
  </si>
  <si>
    <t>Coal_Trading</t>
  </si>
  <si>
    <t>Coal_and_Lignite_Minerals_Trading_Segment</t>
  </si>
  <si>
    <t>Wholesale of coal</t>
  </si>
  <si>
    <t>Wholesale of non-coking coal</t>
  </si>
  <si>
    <t>Coffee_Trading</t>
  </si>
  <si>
    <t>Coffee_Producers_and_coffee_chains_Trading_Segment</t>
  </si>
  <si>
    <t>Wholesale of tea, coffee &amp; cocoa.</t>
  </si>
  <si>
    <t>Wholesale of coffee</t>
  </si>
  <si>
    <t>Retail sale of cereals and pulses, tea, coffee, spices and flours</t>
  </si>
  <si>
    <t>Commercial_Vehicle_Trading</t>
  </si>
  <si>
    <t>LCV_HCV_Commercial_Vehicles_Trading_Segment</t>
  </si>
  <si>
    <t>Retail of commercial vehicles</t>
  </si>
  <si>
    <t>Retail of heavy commercial vehicles</t>
  </si>
  <si>
    <t>Retail of light commercial vehicles</t>
  </si>
  <si>
    <t>Retail of medium commercial vehicles</t>
  </si>
  <si>
    <t>Retail of small commercial vehicles</t>
  </si>
  <si>
    <t>Wholesale of commercial vehicles</t>
  </si>
  <si>
    <t>Wholesale of heavy commercial vehicles</t>
  </si>
  <si>
    <t>Wholesale of light commercial vehicles</t>
  </si>
  <si>
    <t>Wholesale of medium commercial vehicles</t>
  </si>
  <si>
    <t>Wholesale of small commercial vehicles</t>
  </si>
  <si>
    <t>Consumer_Durables_Trading</t>
  </si>
  <si>
    <t>Electronic_Equipment_Trading_Segment</t>
  </si>
  <si>
    <t>Wholesale of other electronic equipment's and parts thereof.</t>
  </si>
  <si>
    <t>Consumer_Electronic_Spares___Components_Trading_Segment</t>
  </si>
  <si>
    <t>Wholesale of other electronic equipment's and parts thereof</t>
  </si>
  <si>
    <t>Cosmetics_and_Toiletries_Trading</t>
  </si>
  <si>
    <t>Perfumes_cosmetics_toiletries_hair_oil_cream_Trading_Segment</t>
  </si>
  <si>
    <t>Wholesale of toiletry, perfumery and cosmetics</t>
  </si>
  <si>
    <t>Drug_Stores_Trading</t>
  </si>
  <si>
    <t>Drugs_and_pharmaceuticals_drug_proprietaries_and_druggists_sundries_Trading_Segment</t>
  </si>
  <si>
    <t>Wholesale of bulk drugs</t>
  </si>
  <si>
    <t>Retail sale of pharmaceuticals, medical and orthopedic goods and toilet articles</t>
  </si>
  <si>
    <t>Wholesale of pharmaceutical and medical goods</t>
  </si>
  <si>
    <t>Wholesale of pharmaceutical products</t>
  </si>
  <si>
    <t>Wholesale of pharmaceutical goods</t>
  </si>
  <si>
    <t>Wholesale of pharmaceuticals</t>
  </si>
  <si>
    <t>Dyes_and_Pigments_Trading</t>
  </si>
  <si>
    <t>Dyes_and_Pigments_Trading_Segment</t>
  </si>
  <si>
    <t>Wholesale of dyes</t>
  </si>
  <si>
    <t>Edible_Oils_Trading</t>
  </si>
  <si>
    <t>Edible_Oils_Trading_Segment</t>
  </si>
  <si>
    <t>Wholesale of edible oils, fats, sugar and processed/manufactured spices etc.2</t>
  </si>
  <si>
    <t>Wholesale of edible oil</t>
  </si>
  <si>
    <t>Electricals_Trading</t>
  </si>
  <si>
    <t>Electrical_good_and_equipments_Trading_Segment</t>
  </si>
  <si>
    <t>Wholesale of other electrical equipment</t>
  </si>
  <si>
    <t>Wholesale of electrical machinery, equipment and supplies, n.e.c..</t>
  </si>
  <si>
    <t>Wholesale of electrical equipment</t>
  </si>
  <si>
    <t>Retail sale of refrigerators, washing machines and other electrical/electronic household goods.</t>
  </si>
  <si>
    <t>Fertiliser_Trading</t>
  </si>
  <si>
    <t>Fertilisers_Trading_Segment</t>
  </si>
  <si>
    <t>Wholesale of fertilizers and agrochemical products</t>
  </si>
  <si>
    <t>Wholesale of fertilizers</t>
  </si>
  <si>
    <t>FMCG_Trading</t>
  </si>
  <si>
    <t>Wholesales_of_food_products_Trading_Segment</t>
  </si>
  <si>
    <t>Wholesale of food products</t>
  </si>
  <si>
    <t>Food_Processing_Trading</t>
  </si>
  <si>
    <t>Cocoa_Confectionary_Dairy_packaged_food_bakery_Trading_Segment</t>
  </si>
  <si>
    <t>Wholesale of tea, coffee &amp; cocoa..</t>
  </si>
  <si>
    <t>Wholesale of confectionery, bakery products and beverages other than intoxicants</t>
  </si>
  <si>
    <t>Wholesale of confectionery products</t>
  </si>
  <si>
    <t>Wholesale of raw milk &amp; dairy products</t>
  </si>
  <si>
    <t>Wholesale of dairy products</t>
  </si>
  <si>
    <t>Retail sale of bakery products, dairy products and eggs</t>
  </si>
  <si>
    <t>Marine_Foods_Soya_bean_products_Trading_Segment</t>
  </si>
  <si>
    <t>Wholesale of meat, fish &amp; eggs.</t>
  </si>
  <si>
    <t>Gems_and_Jewellery_Trading</t>
  </si>
  <si>
    <t>Gems_and_jewellery_Trading_Segment</t>
  </si>
  <si>
    <t>Wholesale of gold jewellery</t>
  </si>
  <si>
    <t>Wholesale of precious metals and jewellery</t>
  </si>
  <si>
    <t>Retail sale of jewellery and imitation jewellery</t>
  </si>
  <si>
    <t>Retail sale of gold jewellery</t>
  </si>
  <si>
    <t>Retail sale of silver jewellery</t>
  </si>
  <si>
    <t>Retail sale of diamond jewellery</t>
  </si>
  <si>
    <t>Retail sale of diamond-studded jewellery</t>
  </si>
  <si>
    <t>Industrial_Equipment_or_Machinery_Trading</t>
  </si>
  <si>
    <t>Industrial_Machinery_Trading_Segment</t>
  </si>
  <si>
    <t>Wholesale of agricultural machinery</t>
  </si>
  <si>
    <t>Wholesale of other agriculture machinery n.e.c.</t>
  </si>
  <si>
    <t>Wholesale of electrical machinery, equipment and supplies, n.e.c.</t>
  </si>
  <si>
    <t>Wholesale of construction and civil engineering machinery and equipment</t>
  </si>
  <si>
    <t>Wholesale of construction and civil machinery and equipment</t>
  </si>
  <si>
    <t>Wholesale of machinery and equipment for the textile, wood and metal industries etc..</t>
  </si>
  <si>
    <t>Wholesale of scientific, medical and surgical machinery and equipment</t>
  </si>
  <si>
    <t>Wholesale of other machinery, equipment and supplies n.e.c. including computer-controlled machine tools and computer-controlled sewing and knitting machines</t>
  </si>
  <si>
    <t>Wholesale of machinery, equipment and supplies</t>
  </si>
  <si>
    <t>Machine_Tools_Trading_Segment</t>
  </si>
  <si>
    <t>Wholesale of other machinery, equipment and supplies n.e.c. including computer-controlled machine tools and computer-controlled sewing and knitting machines.</t>
  </si>
  <si>
    <t>Pumps_Trading_Segment</t>
  </si>
  <si>
    <t>Wholesale of pump sets</t>
  </si>
  <si>
    <t>Liquor_or_Breweries_or_imfi_Trading</t>
  </si>
  <si>
    <t>Beer_Wine_and_Distilled_Alcoholic_Beverages_Trading_Segment</t>
  </si>
  <si>
    <t>Wholesale of beer</t>
  </si>
  <si>
    <t>Retail sale of alcoholic beverages not consumed on the spot</t>
  </si>
  <si>
    <t>Medical_or_Pharma_Equipments_Trading</t>
  </si>
  <si>
    <t>Medical_Equipment_Trading_Segment</t>
  </si>
  <si>
    <t>Wholesale of medical equipment</t>
  </si>
  <si>
    <t>Metals_aluminium_Trading</t>
  </si>
  <si>
    <t>Aluminium_and_Aluminium_Products__manufacturers__Trading_Segment</t>
  </si>
  <si>
    <t>Wholesale of aluminium products</t>
  </si>
  <si>
    <t>Metals_copper_Trading</t>
  </si>
  <si>
    <t>Copper_and_Copper_Products_Trading_Segment</t>
  </si>
  <si>
    <t>Wholesale of copper products</t>
  </si>
  <si>
    <t>Metals_Iron_and_Steel_Trading</t>
  </si>
  <si>
    <t>Iron_Steel_and_Steel_Alloys_Wires_and_Cables_Trading_Segment</t>
  </si>
  <si>
    <t>Wholesale of iron products</t>
  </si>
  <si>
    <t>Wholesale of iron ore</t>
  </si>
  <si>
    <t>Wholesale of pig iron</t>
  </si>
  <si>
    <t>Wholesale of sponge iron</t>
  </si>
  <si>
    <t>Wholesale of cast iron</t>
  </si>
  <si>
    <t>Wholesale of iron and steel product</t>
  </si>
  <si>
    <t>Wholesale of iron ore fines</t>
  </si>
  <si>
    <t>Wholesale of iron scrap</t>
  </si>
  <si>
    <t>Wholesale of other steel products</t>
  </si>
  <si>
    <t>Wholesale of structured steel products</t>
  </si>
  <si>
    <t>Wholesale of steel pipes.</t>
  </si>
  <si>
    <t>Wholesale of mild-steel products</t>
  </si>
  <si>
    <t>Wholesale of steel sheet</t>
  </si>
  <si>
    <t>Wholesale of steel strips/tubes</t>
  </si>
  <si>
    <t>Wholesale of cold-rolled steel coils</t>
  </si>
  <si>
    <t>Wholesale of hot and cold rolled steel coils</t>
  </si>
  <si>
    <t>Wholesale of hot-rolled steel coils</t>
  </si>
  <si>
    <t>Wholesale of iron and steel products</t>
  </si>
  <si>
    <t>Wholesale of steel</t>
  </si>
  <si>
    <t>Wholesale of steel  billets</t>
  </si>
  <si>
    <t>Wholesale of steel angles</t>
  </si>
  <si>
    <t>Wholesale of steel beams</t>
  </si>
  <si>
    <t>Wholesale of steel channels</t>
  </si>
  <si>
    <t>Wholesale of steel coils</t>
  </si>
  <si>
    <t>Wholesale of steel plates</t>
  </si>
  <si>
    <t>Wholesale of steel product</t>
  </si>
  <si>
    <t>Wholesale of steel round bars</t>
  </si>
  <si>
    <t>Wholesale of steel utensils</t>
  </si>
  <si>
    <t>Wholesale of steel scrap</t>
  </si>
  <si>
    <t>Wholesale of steel sheets</t>
  </si>
  <si>
    <t>Metals_others_Trading</t>
  </si>
  <si>
    <t>other_than_iron_and_steel_zince_copper_aluminium_Trading_Segment</t>
  </si>
  <si>
    <t>Wholesale of metals and metal ores</t>
  </si>
  <si>
    <t>Wholesale of other metal products</t>
  </si>
  <si>
    <t>Wholesale of metal and non-metal waste and scrap n.e.c.</t>
  </si>
  <si>
    <t>Wholesale of metal waste</t>
  </si>
  <si>
    <t>Wholesale of other metal scrap</t>
  </si>
  <si>
    <t>Wholesale of metal wastes</t>
  </si>
  <si>
    <t>Metals_zinc_Trading</t>
  </si>
  <si>
    <t>Zinc_Trading_Segment</t>
  </si>
  <si>
    <t>Wholesale of zinc</t>
  </si>
  <si>
    <t>Paints_Trading</t>
  </si>
  <si>
    <t>Paints_and_Varnishes_Trading_Segment</t>
  </si>
  <si>
    <t>Wholesale of paints, varnishes, and lacquers</t>
  </si>
  <si>
    <t>Wholesale of paints</t>
  </si>
  <si>
    <t>Paper_Trading</t>
  </si>
  <si>
    <t>Paper_and_Paper_Products_Trading_Segment</t>
  </si>
  <si>
    <t>Wholesale of paper and other stationery items; books, magazines and newspapers.</t>
  </si>
  <si>
    <t>Wholesale of writing paper</t>
  </si>
  <si>
    <t>Wholesale of newsprint paper</t>
  </si>
  <si>
    <t>wholesale of coated paper</t>
  </si>
  <si>
    <t>Wholesale of kraft paper</t>
  </si>
  <si>
    <t>Wholesale of specialty paper</t>
  </si>
  <si>
    <t>Wholesale of uncoated paper</t>
  </si>
  <si>
    <t>Wholesale of chemicals used in paper industries</t>
  </si>
  <si>
    <t>Wholesale of paper in bulk</t>
  </si>
  <si>
    <t>Wholesale of paper</t>
  </si>
  <si>
    <t>Wholesale of waste paper</t>
  </si>
  <si>
    <t>Retail sale of wallpaper and floor coverings</t>
  </si>
  <si>
    <t>Retail sale of stationery office supplies such as pens, pencils, paper etc…</t>
  </si>
  <si>
    <t>Pesticides_Trading</t>
  </si>
  <si>
    <t>Pesticied_Trading_Segment</t>
  </si>
  <si>
    <t>Wholesale of pesticides</t>
  </si>
  <si>
    <t>Pipes_Trading</t>
  </si>
  <si>
    <t>Manufacturing_and_sales_of_pipes_PVC_including_dealers_Trading_Segment</t>
  </si>
  <si>
    <t>Wholesale of steel pipes</t>
  </si>
  <si>
    <t>Wholesale of pipes</t>
  </si>
  <si>
    <t>Plastics_Trading</t>
  </si>
  <si>
    <t>Polymers_Trading_Segment</t>
  </si>
  <si>
    <t>Del-crdere agent for polymer products</t>
  </si>
  <si>
    <t>Wholesale of polymers</t>
  </si>
  <si>
    <t>Plastic_tubes_and_sheets_and_other_plastic_products_plastic_resins_thermoplastics_Trading_Segment</t>
  </si>
  <si>
    <t>Wholesale of plastic materials in primary forms.</t>
  </si>
  <si>
    <t>Wholesale of polyethylene plastic granules</t>
  </si>
  <si>
    <t>Wholesale of plastic granuels</t>
  </si>
  <si>
    <t>Wholesale of plastic materials in primary forms</t>
  </si>
  <si>
    <t>Poultry_Trading</t>
  </si>
  <si>
    <t>Poultry_and_Meat_Products_Trading_Segment</t>
  </si>
  <si>
    <t>Wholesale of meat, fish &amp; eggs</t>
  </si>
  <si>
    <t>Wholesale of live animals and poultry</t>
  </si>
  <si>
    <t>Wholesale of straw, fodder &amp; other animal/poultry feed</t>
  </si>
  <si>
    <t>Wholesale of poultry feed</t>
  </si>
  <si>
    <t>Retail_Trading</t>
  </si>
  <si>
    <t>Multibrand_Stores_Trading_Segment</t>
  </si>
  <si>
    <t>Retail sale of textiles in specialized stores..</t>
  </si>
  <si>
    <t>Other retail sale of new goods in specialized stores n.e.c (weapons and ammunition, non food products)</t>
  </si>
  <si>
    <t>General_Merchandise_Stores___Kiryana_Stores_grocery_stores_etc_Trading_Segment</t>
  </si>
  <si>
    <t>Retail sale of cereals and pulses, tea, coffee, spices and flour.</t>
  </si>
  <si>
    <t>Rubber_Natural_Trading</t>
  </si>
  <si>
    <t>Rubber_and_Rubber_products_Trading_Segment</t>
  </si>
  <si>
    <t>Wholesale of rubber</t>
  </si>
  <si>
    <t>Speciality_Trading</t>
  </si>
  <si>
    <t>Books_office_supplies_and_stationery_Trading_Segment</t>
  </si>
  <si>
    <t>Wholesale of paper and other stationery items; books, magazines and newspapers</t>
  </si>
  <si>
    <t>Wholesale of stationery items</t>
  </si>
  <si>
    <t>Sports_Goods_Sports_Academy_Trading_Segment</t>
  </si>
  <si>
    <t>Wholesale of textiles, fabrics, yarn, household linen, articles of clothing, floor coverings and tapestry, sports clothes..</t>
  </si>
  <si>
    <t>Home_Furnishing___Kitchen_and_household_hardware_Trading_Segment</t>
  </si>
  <si>
    <t>Wholesale of hardware and sanitary fittings and fixtures and flat glass including tools such as hammers, saws, screwdrivers and other hand tools</t>
  </si>
  <si>
    <t>Home_Appliances___Kitchen_Appliances_Trading_Segment</t>
  </si>
  <si>
    <t>Wholesale of radio, television and other consumer electronics including CD/DVD players and recorders</t>
  </si>
  <si>
    <t>Retail sale of refrigerators, washing machines and other electrical/electronic household goods</t>
  </si>
  <si>
    <t>Retail sale of household appliances</t>
  </si>
  <si>
    <t>Sugar_Trading</t>
  </si>
  <si>
    <t>Sugar_Trading_Segment</t>
  </si>
  <si>
    <t>Wholesale of edible oils, fats, sugar and processed/manufactured spices etc.3</t>
  </si>
  <si>
    <t>Wholesale of sugar</t>
  </si>
  <si>
    <t>Tea_Trading</t>
  </si>
  <si>
    <t>Tea_Trading_Segment</t>
  </si>
  <si>
    <t>Wholesale of tea, coffee &amp; cocoa</t>
  </si>
  <si>
    <t>Wholesale of tea</t>
  </si>
  <si>
    <t>Retail sale of cereals and pulses, tea, coffee, spices and flour</t>
  </si>
  <si>
    <t>Telecom_and_Telecom_Products_Trading</t>
  </si>
  <si>
    <t>Other_communication_services__telex_wireless_fax_pager_other_telephone___communication_services__mobile_phones_retail_wholesale_seller_Trading_Segment</t>
  </si>
  <si>
    <t>Retail sale of telecommunication equipment</t>
  </si>
  <si>
    <t>Wholesale of telephone, mobile phone and communications equipment and parts</t>
  </si>
  <si>
    <t>Wholesale of mobile phones</t>
  </si>
  <si>
    <t>Textile_Yarn_Trading</t>
  </si>
  <si>
    <t>Textiles_Blended_Yarn_Trading_Segment</t>
  </si>
  <si>
    <t>Wholesale of textiles, fabrics, yarn, household linen, articles of clothing, floor coverings and tapestry, sports clothes</t>
  </si>
  <si>
    <t>Wholesale of cotton yarn</t>
  </si>
  <si>
    <t>Wholesale of other yarn</t>
  </si>
  <si>
    <t>Wholesale of synthetic yarn</t>
  </si>
  <si>
    <t>Wholesale of viscose yarn</t>
  </si>
  <si>
    <t>Textile_Garments_and_Apparels_Trading</t>
  </si>
  <si>
    <t>Readymade_garments_Trading_Segment</t>
  </si>
  <si>
    <t>Wholesale of ready-made garments</t>
  </si>
  <si>
    <t>Wholesale of garment</t>
  </si>
  <si>
    <t>Retail sale of readymade garments, hosiery goods, other articles of clothing and clothing accessories such as gloves, ties, braces etc.</t>
  </si>
  <si>
    <t>Retail sale of ready made garments</t>
  </si>
  <si>
    <t>Textile_Fabric_Trading</t>
  </si>
  <si>
    <t>Cotton_synthetic_blended_knitted_and_silk_fabric_or_cloth_Trading_Segment</t>
  </si>
  <si>
    <t>Wholesale of fabric</t>
  </si>
  <si>
    <t>Wholesale of cotton fabrics</t>
  </si>
  <si>
    <t>Wholesale of grey fabric</t>
  </si>
  <si>
    <t>Textile_Others_Trading</t>
  </si>
  <si>
    <t>Textile_other_than_mentioned_above_Trading_Segment</t>
  </si>
  <si>
    <t>Retail sale of textiles in specialized stores</t>
  </si>
  <si>
    <t>Tiles_Ceramic_or_Building_Construction_Material_Trading</t>
  </si>
  <si>
    <t>Construction_materials_ceramic_tiles_Trading_Segment</t>
  </si>
  <si>
    <t>Wholesale of ceramic tiles</t>
  </si>
  <si>
    <t>Wholesale of construction materials (sand, gravel etc.)</t>
  </si>
  <si>
    <t>Wholesale of construction material</t>
  </si>
  <si>
    <t>Marble_and_Granite_Trading_Segment</t>
  </si>
  <si>
    <t>Wholesale of marbles</t>
  </si>
  <si>
    <t>Wholesale of granite</t>
  </si>
  <si>
    <t>Timber_and_Timber_Products_Trading</t>
  </si>
  <si>
    <t>Wood_and_wood_products__including_furnitures_Trading_Segment</t>
  </si>
  <si>
    <t>Wholesale of wood in the rough and products of primary processing of wood</t>
  </si>
  <si>
    <t>Wholesale of wood</t>
  </si>
  <si>
    <t>Wholesale of hardwood</t>
  </si>
  <si>
    <t>Wholesale of plywood</t>
  </si>
  <si>
    <t>Wholesale of softwood</t>
  </si>
  <si>
    <t>Wholesale of teak wood</t>
  </si>
  <si>
    <t>Retail sale of building material such as bricks, wood, sanitary equipment</t>
  </si>
  <si>
    <t>Retail sale of household fuel oil, bottled gas, coal and fuel wood</t>
  </si>
  <si>
    <t>Tobacco_Trading</t>
  </si>
  <si>
    <t>Tobacco_Products_Trading_Segment</t>
  </si>
  <si>
    <t>Wholesale of un-manufactured tobacco, paan (betel leaf), opium, ganja, cinchona etc.</t>
  </si>
  <si>
    <t>Wholesale of manufactured tobacco &amp; tobacco products</t>
  </si>
  <si>
    <t>Tractors_Trading</t>
  </si>
  <si>
    <t>Tractors_Trading_Segment</t>
  </si>
  <si>
    <t>Wholesale of tractors used in agriculture and forestry</t>
  </si>
  <si>
    <t>Wholesale of tractors</t>
  </si>
  <si>
    <t>Watches_Trading</t>
  </si>
  <si>
    <t>Clocks_and_Watches_Trading_Segment</t>
  </si>
  <si>
    <t>Retail sale of watches and clocks</t>
  </si>
  <si>
    <t xml:space="preserve">Automobile_4W_Services_Industry
</t>
  </si>
  <si>
    <t>Authorised_car_dealers__servicing__manufacturers_Service_Segment</t>
  </si>
  <si>
    <t>Maintenance and repair of motor vehicles</t>
  </si>
  <si>
    <t>Maintenance and repair of passenger motor vehicles</t>
  </si>
  <si>
    <t>Sale of motor vehicle parts and accessoriess</t>
  </si>
  <si>
    <t>Sale of motor vehicle parts and accessories</t>
  </si>
  <si>
    <t>Maintenance and repair of commercial vehicless</t>
  </si>
  <si>
    <t>Maintenance and repair of motor vehicles1</t>
  </si>
  <si>
    <t xml:space="preserve">Aviation_Services_Industry
</t>
  </si>
  <si>
    <t>Maintenance_and_overhauling_servicesl_ground_handling_Service_Segment</t>
  </si>
  <si>
    <t>Cargo handling incidental to land transport</t>
  </si>
  <si>
    <t>Cargo handling incidental to water transport</t>
  </si>
  <si>
    <t>Cargo handling incidental to air transport</t>
  </si>
  <si>
    <t xml:space="preserve">Cable_TV_Services_Industry
</t>
  </si>
  <si>
    <t>Cable_and_other_pay_TV_services_Service_Segment</t>
  </si>
  <si>
    <t>Installation of telecommunications wiring, computer network and cable television wiring, including fiber optic, satellite dishessx</t>
  </si>
  <si>
    <t xml:space="preserve">Cold_Storage_Services_Industry
</t>
  </si>
  <si>
    <t>Cold_storage_chains_Service_Segment</t>
  </si>
  <si>
    <t>Warehousing of refrigerated (cold storage)</t>
  </si>
  <si>
    <t>Cold storage facility</t>
  </si>
  <si>
    <t>Cold storage facility for potato farmers</t>
  </si>
  <si>
    <t xml:space="preserve">Commercial_Vehicle_Services_Industry
</t>
  </si>
  <si>
    <t>LCV__HCV__Commercial_Vehicles_Service_Segment</t>
  </si>
  <si>
    <t>Maintenance and repair of commercial vehicles</t>
  </si>
  <si>
    <t xml:space="preserve">Computer_and_Peripherals_Services_Industry
</t>
  </si>
  <si>
    <t>Office_Equipment__Networking_Service_Segment</t>
  </si>
  <si>
    <t>Installation of telecommunications wiring, computer network and cable television wiring, including fiber optic, satellite dishes.</t>
  </si>
  <si>
    <t xml:space="preserve">Construction_Services_Industry
</t>
  </si>
  <si>
    <t>Contractor_Service_Segment</t>
  </si>
  <si>
    <t>Construction and maintenance of motorways, streets, roads, other vehicular and pedestrian ways, highways, bridges, tunnels and subwayss</t>
  </si>
  <si>
    <t>Structurals_Service_Segment</t>
  </si>
  <si>
    <t>Construction of bridges.</t>
  </si>
  <si>
    <t>Construction of roads.</t>
  </si>
  <si>
    <t>Construction and maintenance of railways and rail-bridges.</t>
  </si>
  <si>
    <t>Construction of railway infrastructures</t>
  </si>
  <si>
    <t>Construction and maintenance of airfield runways.</t>
  </si>
  <si>
    <t>Construction and maintenance of power plants.</t>
  </si>
  <si>
    <t>Construction of hydroelectric power plants.</t>
  </si>
  <si>
    <t>Construction of power plants.</t>
  </si>
  <si>
    <t>Construction of power substations.</t>
  </si>
  <si>
    <t>Construction of power houses.</t>
  </si>
  <si>
    <t>Construction/erection and maintenance of power, telecommunication and transmission lines.</t>
  </si>
  <si>
    <t>Construction of transmission lines.</t>
  </si>
  <si>
    <t>Construction of long distance pipelines or urban pipelines.</t>
  </si>
  <si>
    <t>Construction of pipelines.</t>
  </si>
  <si>
    <t>Construction and maintenance of water main and line connection, water reservoirs including irrigation system (canal).</t>
  </si>
  <si>
    <t>Construction of irrigation systems.</t>
  </si>
  <si>
    <t>Construction of water supply line.</t>
  </si>
  <si>
    <t>Construction of water tanks.</t>
  </si>
  <si>
    <t>Construction and repair of sewer systems including sewage disposal plants and pumping stations.</t>
  </si>
  <si>
    <t>Construction of sewage system.</t>
  </si>
  <si>
    <t>Construction of drainage works.</t>
  </si>
  <si>
    <t>Construction of utility projects n.e.c..</t>
  </si>
  <si>
    <t>Construction of utility projects.</t>
  </si>
  <si>
    <t>Construction and maintenance of industrial facilities such as refineries.</t>
  </si>
  <si>
    <t>Construction of industrial plants.</t>
  </si>
  <si>
    <t>Construction of waterways, harbors and river works, dredging of waterways.</t>
  </si>
  <si>
    <t>Construction of dams etc..</t>
  </si>
  <si>
    <t>Construction of dams.</t>
  </si>
  <si>
    <t>Construction of outdoor sports facilities.</t>
  </si>
  <si>
    <t>Civil construction &amp; engineering servicess</t>
  </si>
  <si>
    <t xml:space="preserve">Construction_Equipment_Services_Industry
</t>
  </si>
  <si>
    <t>Prime_Movers_Service_Segment</t>
  </si>
  <si>
    <t>Clearing of building sites, earth moving: excavation, landfill, levelling and grading of construction sites, trench digging, rock removal, blasting etc.</t>
  </si>
  <si>
    <t>Activities of earth work</t>
  </si>
  <si>
    <t xml:space="preserve">Consumer_Durables_Services_Industry
</t>
  </si>
  <si>
    <t>Electronic_Equipment_Service_Segment</t>
  </si>
  <si>
    <t>Renting of tent, furniture, pottery and glass, kitchen and tableware, utensils, household electrical and electronic equipment's etc..</t>
  </si>
  <si>
    <t xml:space="preserve">Education_Services_Industry
</t>
  </si>
  <si>
    <t>Education_Service_Segment</t>
  </si>
  <si>
    <t>Pre-primary education (education preceding the first level)</t>
  </si>
  <si>
    <t>Education - pre-primary</t>
  </si>
  <si>
    <t>Primary education (education at the first level)</t>
  </si>
  <si>
    <t>Education - primary</t>
  </si>
  <si>
    <t>General school education in the first stage of the secondary level (up to X th standard) without any special subject pre-requisite</t>
  </si>
  <si>
    <t>Education - school</t>
  </si>
  <si>
    <t>General school education in the second stage of the secondary level (Senior/Higher secondary) giving, in principle, access to higher education</t>
  </si>
  <si>
    <t>Education - junior college</t>
  </si>
  <si>
    <t>Special education for handicapped students at first stage or second stage of secondary level</t>
  </si>
  <si>
    <t>Technical and vocational education below the level of higher education except for handicapped</t>
  </si>
  <si>
    <t>Technical and vocational education for handicapped students below the level of higher education</t>
  </si>
  <si>
    <t>Higher education in science, commerce, humanity and fine arts leading to a university degree or equivalent</t>
  </si>
  <si>
    <t>Education - non technical</t>
  </si>
  <si>
    <t>Higher education in engineering / other technical courses leading to a university degree or equivalent</t>
  </si>
  <si>
    <t>Education - technical</t>
  </si>
  <si>
    <t>Higher education in medical/bio-technology and related courses leading to a university degree or equivalent</t>
  </si>
  <si>
    <t>Education - medical</t>
  </si>
  <si>
    <t>Education - para-medical</t>
  </si>
  <si>
    <t>Higher education in management courses leading to a degree or equivalent</t>
  </si>
  <si>
    <t>Education - management</t>
  </si>
  <si>
    <t>Higher education in law leading to a degree or equivalent</t>
  </si>
  <si>
    <t>Education - law</t>
  </si>
  <si>
    <t>Higher education in other professional/ vocational courses leading to a degree or equivalent</t>
  </si>
  <si>
    <t>Education - fashion designing</t>
  </si>
  <si>
    <t>Education - film making</t>
  </si>
  <si>
    <t>Education - hotel management &amp; catering</t>
  </si>
  <si>
    <t>Higher education not leading to a degree or equivalent</t>
  </si>
  <si>
    <t>Sports and recreation education</t>
  </si>
  <si>
    <t>Cultural education</t>
  </si>
  <si>
    <t>Other educational services n.e.c.</t>
  </si>
  <si>
    <t>Educational support services</t>
  </si>
  <si>
    <t>Engineering_Services_Industry</t>
  </si>
  <si>
    <t>Engineering_Service_Segment</t>
  </si>
  <si>
    <t>Civil construction &amp; engineering services.</t>
  </si>
  <si>
    <t xml:space="preserve">Entertainment_and_Leisure_Services_Industry
</t>
  </si>
  <si>
    <t>Recreation_and_Amusement_parks__event_management__gyms_Service_Segment</t>
  </si>
  <si>
    <t>Activities of amusement parks and theme parks</t>
  </si>
  <si>
    <t>Activities of amusement parks</t>
  </si>
  <si>
    <t xml:space="preserve">Film_Industry_Services_Industry
</t>
  </si>
  <si>
    <t>Entertainment_and_Medic_content_provider__motion_picture_production__distribution__exhibition_Service_Segment</t>
  </si>
  <si>
    <t>Production of motion picture</t>
  </si>
  <si>
    <t>Motion picture distribution</t>
  </si>
  <si>
    <t>Motion picture or video tape projection in cinemas, in the open air or in other projection facilities</t>
  </si>
  <si>
    <t xml:space="preserve">Financial_Services_Services_Industry
</t>
  </si>
  <si>
    <t>Finance_relared_companies_and_consultancies__advisory_firms_Service_Segment</t>
  </si>
  <si>
    <t>Activities auxiliary to financial service activities n.e.c.</t>
  </si>
  <si>
    <t>Other financial service activities, except insurance and pension funding activities, n.e.c.</t>
  </si>
  <si>
    <t xml:space="preserve">Future_Rentals_Services_Industry
</t>
  </si>
  <si>
    <t>LRD__lease_rentals__rental_income_Service_Segment</t>
  </si>
  <si>
    <t>Renting and leasing of other machinery and equipment n.e.c. without operator</t>
  </si>
  <si>
    <t>Rental of private cars with driver</t>
  </si>
  <si>
    <t>Renting and leasing of motor vehicles</t>
  </si>
  <si>
    <t>Renting of tent, furniture, pottery and glass, kitchen and tableware, utensils, household electrical and electronic equipment's etc.</t>
  </si>
  <si>
    <t>Renting of jewellery, musical instruments, scenery and costumes</t>
  </si>
  <si>
    <t>Renting of textiles, wearing apparel, footwear, sleeping bag, rucksack, household goods</t>
  </si>
  <si>
    <t>Renting of other personal and household goods n.e.c.</t>
  </si>
  <si>
    <t>Renting and operational leasing, without operator, of other machinery and equipment that are generally used as capital goods by industries</t>
  </si>
  <si>
    <t>Renting and operational leasing of agricultural and forestry machinery and equipment without operator</t>
  </si>
  <si>
    <t>Renting and operational leasing of construction and civil-engineering machinery and equipment without operator</t>
  </si>
  <si>
    <t>Renting and operational leasing of office machinery and equipment without operator</t>
  </si>
  <si>
    <t>Renting and operational leasing of land-transport equipment (other than motor vehicles) without drivers</t>
  </si>
  <si>
    <t>Renting and operational leasing of water-transport equipment without operator</t>
  </si>
  <si>
    <t>Renting and operational leasing of air transport equipment without operator</t>
  </si>
  <si>
    <t>Renting of other tangible goods with out operator</t>
  </si>
  <si>
    <t xml:space="preserve">Hospitals_and_Clinics_Services_Industry
</t>
  </si>
  <si>
    <t>Diagnostic_Centre__Hospitals_or_Gyms_or_health_Centre_Service_Segment</t>
  </si>
  <si>
    <t>Activities of independent diagnostic/pathological laboratories.</t>
  </si>
  <si>
    <t>Activities of independent diagnostic/pathological laboratories</t>
  </si>
  <si>
    <t>Hospital activities</t>
  </si>
  <si>
    <t>Activities of operating hospital</t>
  </si>
  <si>
    <t>Operates multi-specialty hospital</t>
  </si>
  <si>
    <t>Residential care activities for mental retardation, mental health and substance abuse</t>
  </si>
  <si>
    <t xml:space="preserve">Hotel_and_Restaurants_Services_Industry
</t>
  </si>
  <si>
    <t>Hotels_and_Restaurants_Service_Segment</t>
  </si>
  <si>
    <t>Hotels and Motels, inns, resorts providing short term lodging facilities includes accommodation in house boats</t>
  </si>
  <si>
    <t>Activity of operating hotel</t>
  </si>
  <si>
    <t>Restaurants without bars</t>
  </si>
  <si>
    <t>Restaurant services</t>
  </si>
  <si>
    <t>Bars and Restaurants with bars</t>
  </si>
  <si>
    <t>Restaurant &amp; bar services</t>
  </si>
  <si>
    <t>Industrial_Equipment_or_Machinery_Services_Industry</t>
  </si>
  <si>
    <t>Industrial_Machinery_Service_Segment</t>
  </si>
  <si>
    <t>Installation of industrial machinery and equipment.</t>
  </si>
  <si>
    <t>Installation of industrial machinery and equipment</t>
  </si>
  <si>
    <t>Cleaning of industrial machinery</t>
  </si>
  <si>
    <t xml:space="preserve">IT_or_Software_or_ITES_or_BPO_or_KPO_Services_Industry
</t>
  </si>
  <si>
    <t>Computer_Software_and_Education_and_post_production_animation_Service_Segment</t>
  </si>
  <si>
    <t>Activities of programming, consultancy etc</t>
  </si>
  <si>
    <t>Computer consultancy and computer facilities management activities</t>
  </si>
  <si>
    <t>ITES_or_Call_Centres_Service_Segment</t>
  </si>
  <si>
    <t>Other information technology and computer service activities n.e.c</t>
  </si>
  <si>
    <t>ERP_or_any_type_of_protecting_systems_or_anti_virus_Service_Segment</t>
  </si>
  <si>
    <t>Writing , modifying, testing of computer program to meet the needs of a particular client excluding web-page designing</t>
  </si>
  <si>
    <t xml:space="preserve">Media_or_Entertainment_TV_Broadcasting_Services_Industry
</t>
  </si>
  <si>
    <t>Media__Advertising_and_Broadcasting__Animation_and_Post_production_Service_Segment</t>
  </si>
  <si>
    <t>Advertising</t>
  </si>
  <si>
    <t xml:space="preserve">Metals_Iron_and_Steel_Services_Industry
</t>
  </si>
  <si>
    <t>Iron__Steel_and_Steel_Alloys__Wires_and_Cables_Service_Segment</t>
  </si>
  <si>
    <t>Repair and maintenance of metal tanks, reservoirs, containers, steel shipping drums etc.</t>
  </si>
  <si>
    <t xml:space="preserve">Mining_Services_Industry
</t>
  </si>
  <si>
    <t>Mining_Service_Segment</t>
  </si>
  <si>
    <t>Site preparation for mining including overburden removal and other development and preparation of mineral properties and sites except oil and gas sites</t>
  </si>
  <si>
    <t>Site preparation for mining</t>
  </si>
  <si>
    <t>Others_Services_Industries</t>
  </si>
  <si>
    <t>Industry_not_classified_elsewhere_Service_Segment</t>
  </si>
  <si>
    <t>Industries_not_classified_elsewhere_Service_Segment</t>
  </si>
  <si>
    <t xml:space="preserve">Packaging_Services_Industry
</t>
  </si>
  <si>
    <t>Plastic_Packaging_Goods_Service_Segment</t>
  </si>
  <si>
    <t>Packaging activities</t>
  </si>
  <si>
    <t xml:space="preserve">Paints_Services_Industry
</t>
  </si>
  <si>
    <t>Paints_and_Varnishes_Service_Segment</t>
  </si>
  <si>
    <t>Interior and exterior painting, glazing, plastering and decorating of buildings or civil engineering structures</t>
  </si>
  <si>
    <t xml:space="preserve">Pipes_Services_Industry
</t>
  </si>
  <si>
    <t>Manufacturing_and_sales_of_pipes__PVC_including_dealers_Service_Segment</t>
  </si>
  <si>
    <t>Repair and maintenance of pipes and pipelines</t>
  </si>
  <si>
    <t xml:space="preserve">Power_Services_Industry
</t>
  </si>
  <si>
    <t>Transmission_line_towers_and_equipment_Service_Segment</t>
  </si>
  <si>
    <t>Construction/erection and maintenance of power, telecommunication and transmission lines</t>
  </si>
  <si>
    <t>Construction of transmission lines</t>
  </si>
  <si>
    <t xml:space="preserve">Printing_and_Publishing_Services_Industry
</t>
  </si>
  <si>
    <t>Publishing_Service_Segment</t>
  </si>
  <si>
    <t>Publishing of books, brochures, leaflets and similar publications, including publishing encyclopedias (including on CD-ROM)</t>
  </si>
  <si>
    <t>Publishing of atlases, maps and charts</t>
  </si>
  <si>
    <t>Publishing of textbooks</t>
  </si>
  <si>
    <t>Publishing of newspapers.</t>
  </si>
  <si>
    <t>Publishing of newspapers</t>
  </si>
  <si>
    <t>Publishing of journals and periodicals</t>
  </si>
  <si>
    <t>On-line publishing of statistics and other information</t>
  </si>
  <si>
    <t>Other publishing activities (including on-line) n.e.c.</t>
  </si>
  <si>
    <t>Printing of newspapers</t>
  </si>
  <si>
    <t>Printing of magazines and other periodicals, books and brochures, maps, atlases, posters etc.</t>
  </si>
  <si>
    <t>Printing of postage stams, taxation stamps, cheques and other security papers</t>
  </si>
  <si>
    <t>Printing of bank notes, currency notes</t>
  </si>
  <si>
    <t>Other printing activities like screen printing other than textile n.e.c.</t>
  </si>
  <si>
    <t>Other service activities related to printing n.e.c.</t>
  </si>
  <si>
    <t>Professional_Services_Services_Industry</t>
  </si>
  <si>
    <t>Technical_Consultancy_and_Engg_services__IT_consulting__salaried_employees__doctors__only_rental_income_Service_Segment</t>
  </si>
  <si>
    <t>Architectural and engineering activities and related technical consultancy</t>
  </si>
  <si>
    <t>Architectural and consultancy services</t>
  </si>
  <si>
    <t>Technical testing and analysis</t>
  </si>
  <si>
    <t>Computer consultancy and computer facilities management activities.</t>
  </si>
  <si>
    <t>Activities of programming, consultancy etc.</t>
  </si>
  <si>
    <t>Medical practice activities</t>
  </si>
  <si>
    <t>Activities of nurses, masseurs, physiotherapists or other para-medical practitioners</t>
  </si>
  <si>
    <t>Rental of private cars with drivers.</t>
  </si>
  <si>
    <t>Renting and leasing of motor vehicles.</t>
  </si>
  <si>
    <t>Renting and leasing of recreational and sports goods.</t>
  </si>
  <si>
    <t>Renting of video tapes and disks..</t>
  </si>
  <si>
    <t>Renting of tent, furniture, pottery and glass, kitchen and tableware, utensils, household electrical and electronic equipment's etc…</t>
  </si>
  <si>
    <t>Renting of books, journals and magazines.</t>
  </si>
  <si>
    <t>Renting of jewellery, musical instruments, scenery and costumes.</t>
  </si>
  <si>
    <t>Renting of textiles, wearing apparel, footwear, sleeping bag, rucksack, household goods.x.</t>
  </si>
  <si>
    <t>Renting of other personal and household goods n.e.c..</t>
  </si>
  <si>
    <t>Renting and operational leasing, without operator, of other machinery and equipment that are generally used as capital goods by industries.</t>
  </si>
  <si>
    <t>Renting and operational leasing of agricultural and forestry machinery and equipment without operator..</t>
  </si>
  <si>
    <t>Renting and operational leasing of construction and civil-engineering machinery and equipment without operator..</t>
  </si>
  <si>
    <t>Renting and operational leasing of office machinery and equipment without operator.</t>
  </si>
  <si>
    <t>Renting and operational leasing of land-transport equipment (other than motor vehicles) without drivers.</t>
  </si>
  <si>
    <t>Renting and operational leasing of water-transport equipment without operator.</t>
  </si>
  <si>
    <t>Renting and operational leasing of air transport equipment without operator.</t>
  </si>
  <si>
    <t>Renting of other tangible goods with out operator.</t>
  </si>
  <si>
    <t>Renting and leasing of other machinery and equipment n.e.c. without operator..</t>
  </si>
  <si>
    <t>Executive_search_or_manpower_servicess__hostel_management_Service_Segment</t>
  </si>
  <si>
    <t>Supply of skilled man power</t>
  </si>
  <si>
    <t>Human resources provision and management of human resources functions</t>
  </si>
  <si>
    <t>Tax_and_Audit__Architects_Service_Segment</t>
  </si>
  <si>
    <t>Architectural and engineering activities and related technical consultancys</t>
  </si>
  <si>
    <t>Architectural and consultancy servicess</t>
  </si>
  <si>
    <t>HR_and_A_or_Medical_Transcriptions_Service_Segment</t>
  </si>
  <si>
    <t>Human resources provision and management of human resources functions.</t>
  </si>
  <si>
    <t xml:space="preserve">Real_Estate_Services_Industry
</t>
  </si>
  <si>
    <t>Commercial_residential_industrial_buildings_Service_Segment</t>
  </si>
  <si>
    <t>Construction of buildings carried out on own-account basis or on a fee or contract basis</t>
  </si>
  <si>
    <t>Construction of buildings</t>
  </si>
  <si>
    <t>Construction of commercial buildings</t>
  </si>
  <si>
    <t>Construction of residential building</t>
  </si>
  <si>
    <t>Construction and maintenance of motorways, streets, roads, other vehicular and pedestrian ways, highways, bridges, tunnels and subways</t>
  </si>
  <si>
    <t>Construction of bridges</t>
  </si>
  <si>
    <t>Construction of roads</t>
  </si>
  <si>
    <t>Construction and maintenance of railways and rail-bridges</t>
  </si>
  <si>
    <t>Construction of railway infrastructure</t>
  </si>
  <si>
    <t>Construction and maintenance of airfield runways</t>
  </si>
  <si>
    <t>Construction and maintenance of power plants</t>
  </si>
  <si>
    <t>Construction of hydroelectric power plants</t>
  </si>
  <si>
    <t>Construction of power plants</t>
  </si>
  <si>
    <t>Construction of power substations</t>
  </si>
  <si>
    <t>Construction of power houses</t>
  </si>
  <si>
    <t>Construction/erection and maintenance of power, telecommunication and transmission lines…</t>
  </si>
  <si>
    <t>Construction of transmission linesx</t>
  </si>
  <si>
    <t>Construction of long distance pipelines or urban pipelines</t>
  </si>
  <si>
    <t>Construction of pipelines</t>
  </si>
  <si>
    <t>Construction and maintenance of water main and line connection, water reservoirs including irrigation system (canal)</t>
  </si>
  <si>
    <t>Construction of irrigation systems</t>
  </si>
  <si>
    <t>Construction of water supply line</t>
  </si>
  <si>
    <t>Construction of water tanks</t>
  </si>
  <si>
    <t>Construction and repair of sewer systems including sewage disposal plants and pumping stations</t>
  </si>
  <si>
    <t>Construction of sewage system</t>
  </si>
  <si>
    <t>Construction of drainage works</t>
  </si>
  <si>
    <t>Construction of utility projects n.e.c.</t>
  </si>
  <si>
    <t>Construction of utility projects</t>
  </si>
  <si>
    <t>Construction and maintenance of industrial facilities such as refineries</t>
  </si>
  <si>
    <t>Construction of industrial plants</t>
  </si>
  <si>
    <t>Construction of waterways, harbors and river works, dredging of waterways</t>
  </si>
  <si>
    <t>Construction of dams etc.</t>
  </si>
  <si>
    <t>Construction of dams</t>
  </si>
  <si>
    <t>Construction of outdoor sports facilities</t>
  </si>
  <si>
    <t>Civil construction &amp; engineering services</t>
  </si>
  <si>
    <t>Construction of canals</t>
  </si>
  <si>
    <t>Construction of highways</t>
  </si>
  <si>
    <t>Other specialized construction activities</t>
  </si>
  <si>
    <t xml:space="preserve">Telecom_and_Telecom_Products_Services_Industry
</t>
  </si>
  <si>
    <t>Other_communication_services__telex__wireless__fax__pager__other_telephone_or_communication_services__mobile_phones_retail_wholesale_seller_Service_Segment</t>
  </si>
  <si>
    <t>Construction/erection and maintenance of power, telecommunication and transmission lines..</t>
  </si>
  <si>
    <t>Installation of telecommunications wiring, computer network and cable television wiring, including fiber optic, satellite dishes</t>
  </si>
  <si>
    <t xml:space="preserve">Tours_and_Travels_Services_Industry
</t>
  </si>
  <si>
    <t>Taxi_or_Car_Rental_Service_Segment</t>
  </si>
  <si>
    <t>Rental of private cars with drivers</t>
  </si>
  <si>
    <t>Bounce</t>
  </si>
  <si>
    <t>Match</t>
  </si>
  <si>
    <t xml:space="preserve">No critical cases </t>
  </si>
  <si>
    <t>No such details found</t>
  </si>
  <si>
    <t>Mr.Sanjay patil and Vijay oswal are friends and graduate from Mumbai. Before starting this company, both were into sugar industry then moved to automobiles.
In 2002, they stated Markolines with Road Marking. Mr. Major Stake held by Mr. Sanjay in the compnay.(41%)</t>
  </si>
  <si>
    <t>17 Years</t>
  </si>
  <si>
    <t>Customers :-  Western Andhra Tollway, Nirmal BOT Ltd, Rock Tec Engineering etc.
Suppliers :- Major cost in business is employee cost andToll and highway maintenance cost.</t>
  </si>
  <si>
    <t>Funds are required to meet short term workingcapital requirement.</t>
  </si>
  <si>
    <t>Vintage of 17 Years.</t>
  </si>
  <si>
    <t>Owned Properties</t>
  </si>
  <si>
    <t>YoY business Growth</t>
  </si>
  <si>
    <t>Good Work orders in hand</t>
  </si>
  <si>
    <t xml:space="preserve">NWC is on more than 120 days (183 Days). This is due to high stocking and debtors. The normal debtor cycle is 90-120 days and having 100+ maintenance sites across the country leading to high stocking. All other ratios are within the range. </t>
  </si>
  <si>
    <t xml:space="preserve">In consumer CIBIL of applicant DPD noticed in 6 Machine loans from Indusind Bank. As discussed with applicant payment is through PDCs. Further no such DPD noticed in individual CIBIL for same loans. Further more, applicant had unutilized limit on due date also and no charges levied by bank. </t>
  </si>
  <si>
    <t>Pratik and Rahul at office Premises</t>
  </si>
  <si>
    <t>Awaited</t>
  </si>
  <si>
    <t>FCU to be done</t>
  </si>
  <si>
    <t>CMR NA</t>
  </si>
  <si>
    <t>FI awaited</t>
  </si>
  <si>
    <t>The company is engaged in Highway maintenance, Highway operations and toll operation. The company is not engaged in Road construction.
There main services include :-
1. Toll Operations
2. Route Patrolling
3. Incident Management
4. Highway Maintenance
5. Microsurfacing etc.
Till date they have managed 10000+ kilometers of road &amp; collected 4000+ crores of toll through various toll booth across the country. Currently they have approx 100 sites of Operation and Maintenance.</t>
  </si>
  <si>
    <t>Internal checks to be positive</t>
  </si>
  <si>
    <t>Repayment from SBI CC account (Full tenure PDC)</t>
  </si>
  <si>
    <t>FI and FCU to be done</t>
  </si>
  <si>
    <t>Sudhil (A R Tharmosets 9999773298)</t>
  </si>
  <si>
    <t>BB (stable)</t>
  </si>
  <si>
    <t>ABS</t>
  </si>
  <si>
    <t>CUSTOMER'S DETAIL CUM RECO NOTE (ver Jan '20 V1)</t>
  </si>
  <si>
    <t>Co Applicant</t>
  </si>
  <si>
    <t>Guarantor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</si>
</sst>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_);_(@_)"/>
    <numFmt numFmtId="165" formatCode="0.0"/>
    <numFmt numFmtId="166" formatCode="0.000"/>
    <numFmt numFmtId="167" formatCode="0.0000"/>
    <numFmt numFmtId="168" formatCode="d\-mmm\-yy;@"/>
    <numFmt numFmtId="169" formatCode="0.00_);[Red]\(0.00\)"/>
    <numFmt numFmtId="170" formatCode="0.0%"/>
    <numFmt numFmtId="171" formatCode="0.000%"/>
    <numFmt numFmtId="172" formatCode="_(* #,##0_);_(* \(#,##0\);_(* \-??_);_(@_)"/>
    <numFmt numFmtId="173" formatCode="_(* #,##0.0_);_(* \(#,##0.0\);_(* \-??_);_(@_)"/>
    <numFmt numFmtId="174" formatCode="mmm\-yy;@"/>
    <numFmt numFmtId="175" formatCode="#,##0;[Red]#,##0"/>
    <numFmt numFmtId="176" formatCode="#,##0.0"/>
  </numFmts>
  <fonts count="61">
    <font>
      <sz val="11"/>
      <color rgb="FF000000"/>
      <name val="Calibri"/>
      <charset val="134"/>
    </font>
    <font>
      <sz val="11"/>
      <color rgb="FF000000"/>
      <name val="Calibri"/>
      <family val="2"/>
      <charset val="1"/>
    </font>
    <font>
      <sz val="10"/>
      <name val="Calibri"/>
      <family val="2"/>
      <charset val="1"/>
    </font>
    <font>
      <b/>
      <sz val="14"/>
      <color rgb="FFFFFFFF"/>
      <name val="Calibri"/>
      <family val="2"/>
      <charset val="1"/>
    </font>
    <font>
      <b/>
      <sz val="11"/>
      <color rgb="FF000000"/>
      <name val="Calibri"/>
      <family val="2"/>
      <charset val="1"/>
    </font>
    <font>
      <sz val="10"/>
      <color rgb="FF000000"/>
      <name val="Calibri"/>
      <family val="2"/>
      <charset val="1"/>
    </font>
    <font>
      <i/>
      <sz val="11"/>
      <color rgb="FF000000"/>
      <name val="Calibri"/>
      <family val="2"/>
      <charset val="1"/>
    </font>
    <font>
      <b/>
      <u/>
      <sz val="11"/>
      <color rgb="FF000000"/>
      <name val="Calibri"/>
      <family val="2"/>
      <charset val="1"/>
    </font>
    <font>
      <sz val="11"/>
      <name val="Calibri"/>
      <family val="2"/>
      <charset val="1"/>
    </font>
    <font>
      <sz val="11"/>
      <color rgb="FFFFFFFF"/>
      <name val="Calibri"/>
      <family val="2"/>
      <charset val="1"/>
    </font>
    <font>
      <b/>
      <i/>
      <sz val="11"/>
      <color rgb="FF000000"/>
      <name val="Calibri"/>
      <family val="2"/>
      <charset val="1"/>
    </font>
    <font>
      <sz val="8"/>
      <color rgb="FF000000"/>
      <name val="Calibri"/>
      <family val="2"/>
      <charset val="1"/>
    </font>
    <font>
      <sz val="8"/>
      <color rgb="FFFFFFFF"/>
      <name val="Calibri"/>
      <family val="2"/>
      <charset val="1"/>
    </font>
    <font>
      <b/>
      <sz val="8"/>
      <name val="Calibri"/>
      <family val="2"/>
      <charset val="1"/>
    </font>
    <font>
      <b/>
      <sz val="8"/>
      <color rgb="FF000000"/>
      <name val="Calibri"/>
      <family val="2"/>
      <charset val="1"/>
    </font>
    <font>
      <sz val="8"/>
      <color rgb="FFFF0000"/>
      <name val="Calibri"/>
      <family val="2"/>
      <charset val="1"/>
    </font>
    <font>
      <sz val="8"/>
      <name val="Calibri"/>
      <family val="2"/>
      <charset val="1"/>
    </font>
    <font>
      <sz val="9"/>
      <color rgb="FF000000"/>
      <name val="Calibri"/>
      <family val="2"/>
      <charset val="1"/>
    </font>
    <font>
      <sz val="9"/>
      <color rgb="FFFFFFFF"/>
      <name val="Calibri"/>
      <family val="2"/>
      <charset val="1"/>
    </font>
    <font>
      <b/>
      <sz val="9"/>
      <name val="Calibri"/>
      <family val="2"/>
      <charset val="1"/>
    </font>
    <font>
      <b/>
      <sz val="9"/>
      <color rgb="FF000000"/>
      <name val="Calibri"/>
      <family val="2"/>
      <charset val="1"/>
    </font>
    <font>
      <b/>
      <sz val="9"/>
      <name val="Tahoma"/>
      <family val="2"/>
      <charset val="1"/>
    </font>
    <font>
      <sz val="11"/>
      <color rgb="FFFF0000"/>
      <name val="Calibri"/>
      <family val="2"/>
      <charset val="1"/>
    </font>
    <font>
      <b/>
      <sz val="14"/>
      <color rgb="FFFF0000"/>
      <name val="Calibri"/>
      <family val="2"/>
      <charset val="1"/>
    </font>
    <font>
      <b/>
      <sz val="12"/>
      <color rgb="FFFF0000"/>
      <name val="Calibri"/>
      <family val="2"/>
      <charset val="1"/>
    </font>
    <font>
      <sz val="14"/>
      <color rgb="FFFFFFFF"/>
      <name val="Calibri"/>
      <family val="2"/>
      <charset val="1"/>
    </font>
    <font>
      <b/>
      <sz val="11"/>
      <color rgb="FFFF0000"/>
      <name val="Calibri"/>
      <family val="2"/>
      <charset val="1"/>
    </font>
    <font>
      <b/>
      <sz val="11"/>
      <color rgb="FFFFFFFF"/>
      <name val="Calibri"/>
      <family val="2"/>
      <charset val="1"/>
    </font>
    <font>
      <b/>
      <i/>
      <sz val="11"/>
      <color rgb="FFFFFFFF"/>
      <name val="Calibri"/>
      <family val="2"/>
      <charset val="1"/>
    </font>
    <font>
      <b/>
      <sz val="10"/>
      <color rgb="FFFF0000"/>
      <name val="Calibri"/>
      <family val="2"/>
      <charset val="1"/>
    </font>
    <font>
      <b/>
      <sz val="10"/>
      <color rgb="FF000000"/>
      <name val="Calibri"/>
      <family val="2"/>
      <charset val="1"/>
    </font>
    <font>
      <i/>
      <sz val="9"/>
      <name val="Calibri"/>
      <family val="2"/>
      <charset val="1"/>
    </font>
    <font>
      <b/>
      <sz val="12"/>
      <color rgb="FFFFFFFF"/>
      <name val="Calibri"/>
      <family val="2"/>
      <charset val="1"/>
    </font>
    <font>
      <sz val="10"/>
      <color rgb="FFFFFFFF"/>
      <name val="Calibri"/>
      <family val="2"/>
      <charset val="1"/>
    </font>
    <font>
      <i/>
      <sz val="10"/>
      <color rgb="FF000000"/>
      <name val="Calibri"/>
      <family val="2"/>
      <charset val="1"/>
    </font>
    <font>
      <sz val="10"/>
      <name val="Arial"/>
      <family val="2"/>
      <charset val="1"/>
    </font>
    <font>
      <b/>
      <sz val="8"/>
      <color rgb="FFFF0000"/>
      <name val="Arial"/>
      <family val="2"/>
      <charset val="1"/>
    </font>
    <font>
      <b/>
      <sz val="8"/>
      <color rgb="FFFFFFFF"/>
      <name val="Calibri"/>
      <family val="2"/>
      <charset val="1"/>
    </font>
    <font>
      <b/>
      <sz val="8"/>
      <color rgb="FFFF0000"/>
      <name val="Calibri"/>
      <family val="2"/>
      <charset val="1"/>
    </font>
    <font>
      <b/>
      <sz val="8"/>
      <color rgb="FFCCFFFF"/>
      <name val="Calibri"/>
      <family val="2"/>
      <charset val="1"/>
    </font>
    <font>
      <b/>
      <sz val="10"/>
      <name val="Calibri"/>
      <family val="2"/>
      <charset val="1"/>
    </font>
    <font>
      <sz val="8"/>
      <color rgb="FFCCFFFF"/>
      <name val="Calibri"/>
      <family val="2"/>
      <charset val="1"/>
    </font>
    <font>
      <b/>
      <sz val="10"/>
      <name val="Arial"/>
      <family val="2"/>
      <charset val="1"/>
    </font>
    <font>
      <b/>
      <sz val="8"/>
      <name val="Arial"/>
      <family val="2"/>
      <charset val="1"/>
    </font>
    <font>
      <b/>
      <sz val="8"/>
      <color rgb="FFFFFFFF"/>
      <name val="Arial"/>
      <family val="2"/>
      <charset val="1"/>
    </font>
    <font>
      <b/>
      <i/>
      <sz val="14"/>
      <name val="Calibri"/>
      <family val="2"/>
      <charset val="1"/>
    </font>
    <font>
      <b/>
      <sz val="12"/>
      <name val="Calibri"/>
      <family val="2"/>
      <charset val="1"/>
    </font>
    <font>
      <b/>
      <sz val="14"/>
      <name val="Calibri"/>
      <family val="2"/>
      <charset val="1"/>
    </font>
    <font>
      <b/>
      <sz val="10"/>
      <color rgb="FFFFFFFF"/>
      <name val="Calibri"/>
      <family val="2"/>
      <charset val="1"/>
    </font>
    <font>
      <b/>
      <i/>
      <sz val="12"/>
      <name val="Arial"/>
      <family val="2"/>
      <charset val="1"/>
    </font>
    <font>
      <b/>
      <sz val="11"/>
      <name val="Calibri"/>
      <family val="2"/>
      <charset val="1"/>
    </font>
    <font>
      <b/>
      <sz val="11"/>
      <name val="Arial"/>
      <family val="2"/>
      <charset val="1"/>
    </font>
    <font>
      <b/>
      <i/>
      <sz val="14"/>
      <name val="Arial"/>
      <family val="2"/>
      <charset val="1"/>
    </font>
    <font>
      <b/>
      <sz val="10"/>
      <color rgb="FFFFFFFF"/>
      <name val="Arial"/>
      <family val="2"/>
      <charset val="1"/>
    </font>
    <font>
      <b/>
      <sz val="10"/>
      <name val="Verdana"/>
      <family val="2"/>
      <charset val="1"/>
    </font>
    <font>
      <sz val="11"/>
      <color theme="0"/>
      <name val="Calibri"/>
      <family val="2"/>
    </font>
    <font>
      <sz val="10"/>
      <color rgb="FF000000"/>
      <name val="Calibri"/>
      <family val="2"/>
    </font>
    <font>
      <sz val="9"/>
      <color rgb="FF000000"/>
      <name val="Calibri"/>
      <family val="2"/>
    </font>
    <font>
      <sz val="9"/>
      <color rgb="FFFF0000"/>
      <name val="Calibri"/>
      <family val="2"/>
    </font>
    <font>
      <sz val="11"/>
      <color rgb="FF000000"/>
      <name val="Calibri"/>
      <family val="2"/>
    </font>
    <font>
      <sz val="11"/>
      <color theme="0"/>
      <name val="Calibri"/>
      <family val="2"/>
      <charset val="1"/>
    </font>
  </fonts>
  <fills count="37">
    <fill>
      <patternFill patternType="none"/>
    </fill>
    <fill>
      <patternFill patternType="gray125"/>
    </fill>
    <fill>
      <patternFill patternType="solid">
        <fgColor rgb="FF2F5597"/>
        <bgColor rgb="FF333399"/>
      </patternFill>
    </fill>
    <fill>
      <patternFill patternType="solid">
        <fgColor rgb="FFB4C7E7"/>
        <bgColor rgb="FFCCC1DA"/>
      </patternFill>
    </fill>
    <fill>
      <patternFill patternType="solid">
        <fgColor rgb="FFEDEDED"/>
        <bgColor rgb="FFF2F2F2"/>
      </patternFill>
    </fill>
    <fill>
      <patternFill patternType="solid">
        <fgColor rgb="FFED7D31"/>
        <bgColor rgb="FFFF6600"/>
      </patternFill>
    </fill>
    <fill>
      <patternFill patternType="solid">
        <fgColor rgb="FF95B3D7"/>
        <bgColor rgb="FF8EB4E3"/>
      </patternFill>
    </fill>
    <fill>
      <patternFill patternType="solid">
        <fgColor rgb="FF8EB4E3"/>
        <bgColor rgb="FF95B3D7"/>
      </patternFill>
    </fill>
    <fill>
      <patternFill patternType="solid">
        <fgColor rgb="FFCCC1DA"/>
        <bgColor rgb="FFC0C0C0"/>
      </patternFill>
    </fill>
    <fill>
      <patternFill patternType="solid">
        <fgColor rgb="FFF2F2F2"/>
        <bgColor rgb="FFEDEDED"/>
      </patternFill>
    </fill>
    <fill>
      <patternFill patternType="solid">
        <fgColor rgb="FFFFC000"/>
        <bgColor rgb="FFFFFF00"/>
      </patternFill>
    </fill>
    <fill>
      <patternFill patternType="solid">
        <fgColor rgb="FFC6D9F1"/>
        <bgColor rgb="FFD9D9D9"/>
      </patternFill>
    </fill>
    <fill>
      <patternFill patternType="solid">
        <fgColor rgb="FFD7E4BD"/>
        <bgColor rgb="FFDDD9C3"/>
      </patternFill>
    </fill>
    <fill>
      <patternFill patternType="solid">
        <fgColor rgb="FFFF99FF"/>
        <bgColor rgb="FFFF99CC"/>
      </patternFill>
    </fill>
    <fill>
      <patternFill patternType="solid">
        <fgColor rgb="FFC3D69B"/>
        <bgColor rgb="FFD7E4BD"/>
      </patternFill>
    </fill>
    <fill>
      <patternFill patternType="solid">
        <fgColor rgb="FFBFBFBF"/>
        <bgColor rgb="FFC0C0C0"/>
      </patternFill>
    </fill>
    <fill>
      <patternFill patternType="solid">
        <fgColor rgb="FFFFFFFF"/>
        <bgColor rgb="FFF2F2F2"/>
      </patternFill>
    </fill>
    <fill>
      <patternFill patternType="solid">
        <fgColor rgb="FF333399"/>
        <bgColor rgb="FF2F5597"/>
      </patternFill>
    </fill>
    <fill>
      <patternFill patternType="solid">
        <fgColor rgb="FFCCFFCC"/>
        <bgColor rgb="FFCCFFFF"/>
      </patternFill>
    </fill>
    <fill>
      <patternFill patternType="solid">
        <fgColor rgb="FFFFFF99"/>
        <bgColor rgb="FFFFFFCC"/>
      </patternFill>
    </fill>
    <fill>
      <patternFill patternType="solid">
        <fgColor rgb="FF99CCFF"/>
        <bgColor rgb="FFB4C7E7"/>
      </patternFill>
    </fill>
    <fill>
      <patternFill patternType="solid">
        <fgColor rgb="FF00B0F0"/>
        <bgColor rgb="FF33CCCC"/>
      </patternFill>
    </fill>
    <fill>
      <patternFill patternType="solid">
        <fgColor rgb="FFDCE6F2"/>
        <bgColor rgb="FFEDEDED"/>
      </patternFill>
    </fill>
    <fill>
      <patternFill patternType="solid">
        <fgColor rgb="FFD9D9D9"/>
        <bgColor rgb="FFDDD9C3"/>
      </patternFill>
    </fill>
    <fill>
      <patternFill patternType="solid">
        <fgColor rgb="FF558ED5"/>
        <bgColor rgb="FF8EB4E3"/>
      </patternFill>
    </fill>
    <fill>
      <patternFill patternType="solid">
        <fgColor rgb="FFA6A6A6"/>
        <bgColor rgb="FF95B3D7"/>
      </patternFill>
    </fill>
    <fill>
      <patternFill patternType="solid">
        <fgColor rgb="FFFFFF00"/>
        <bgColor rgb="FFFFC000"/>
      </patternFill>
    </fill>
    <fill>
      <patternFill patternType="solid">
        <fgColor rgb="FFFF8080"/>
        <bgColor rgb="FFED7D31"/>
      </patternFill>
    </fill>
    <fill>
      <patternFill patternType="solid">
        <fgColor rgb="FF33CCCC"/>
        <bgColor rgb="FF00B0F0"/>
      </patternFill>
    </fill>
    <fill>
      <patternFill patternType="solid">
        <fgColor rgb="FFFF6600"/>
        <bgColor rgb="FFED7D31"/>
      </patternFill>
    </fill>
    <fill>
      <patternFill patternType="solid">
        <fgColor rgb="FFC0C0C0"/>
        <bgColor rgb="FFBFBFBF"/>
      </patternFill>
    </fill>
    <fill>
      <patternFill patternType="solid">
        <fgColor rgb="FFCCFFFF"/>
        <bgColor rgb="FFCCFFCC"/>
      </patternFill>
    </fill>
    <fill>
      <patternFill patternType="solid">
        <fgColor rgb="FFFFFFCC"/>
        <bgColor rgb="FFFFFFFF"/>
      </patternFill>
    </fill>
    <fill>
      <patternFill patternType="solid">
        <fgColor rgb="FFFFCC99"/>
        <bgColor rgb="FFFFC7CE"/>
      </patternFill>
    </fill>
    <fill>
      <patternFill patternType="solid">
        <fgColor rgb="FF000080"/>
        <bgColor rgb="FF000080"/>
      </patternFill>
    </fill>
    <fill>
      <patternFill patternType="solid">
        <fgColor rgb="FFDDD9C3"/>
        <bgColor rgb="FFD9D9D9"/>
      </patternFill>
    </fill>
    <fill>
      <patternFill patternType="solid">
        <fgColor theme="0"/>
        <bgColor rgb="FFF2F2F2"/>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right style="thin">
        <color auto="1"/>
      </right>
      <top/>
      <bottom style="thin">
        <color auto="1"/>
      </bottom>
      <diagonal/>
    </border>
  </borders>
  <cellStyleXfs count="7">
    <xf numFmtId="0" fontId="0" fillId="0" borderId="0">
      <alignment vertical="center"/>
    </xf>
    <xf numFmtId="164" fontId="1" fillId="0" borderId="0" applyBorder="0" applyProtection="0">
      <alignment vertical="center"/>
    </xf>
    <xf numFmtId="9" fontId="1" fillId="0" borderId="0" applyBorder="0" applyProtection="0">
      <alignment vertical="center"/>
    </xf>
    <xf numFmtId="0" fontId="1" fillId="0" borderId="0"/>
    <xf numFmtId="0" fontId="1" fillId="0" borderId="0"/>
    <xf numFmtId="0" fontId="2" fillId="0" borderId="0"/>
    <xf numFmtId="9" fontId="1" fillId="0" borderId="0" applyBorder="0" applyProtection="0">
      <alignment vertical="center"/>
    </xf>
  </cellStyleXfs>
  <cellXfs count="962">
    <xf numFmtId="0" fontId="0" fillId="0" borderId="0" xfId="0">
      <alignment vertical="center"/>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horizontal="center" vertical="top" wrapText="1"/>
    </xf>
    <xf numFmtId="0" fontId="0" fillId="3" borderId="0" xfId="0" applyFont="1" applyFill="1" applyAlignment="1">
      <alignment horizontal="left" vertical="top"/>
    </xf>
    <xf numFmtId="0" fontId="1" fillId="0" borderId="0" xfId="0" applyFont="1" applyAlignment="1">
      <alignment vertical="top"/>
    </xf>
    <xf numFmtId="0" fontId="0" fillId="0" borderId="0" xfId="0" applyAlignment="1" applyProtection="1">
      <alignment horizontal="center" vertical="top" wrapText="1"/>
      <protection hidden="1"/>
    </xf>
    <xf numFmtId="0" fontId="0" fillId="0" borderId="0" xfId="0" applyAlignment="1" applyProtection="1">
      <alignment horizontal="center" vertical="top"/>
      <protection hidden="1"/>
    </xf>
    <xf numFmtId="0" fontId="0" fillId="3" borderId="0" xfId="0" applyFont="1" applyFill="1" applyAlignment="1">
      <alignment vertical="top"/>
    </xf>
    <xf numFmtId="0" fontId="0" fillId="3" borderId="0" xfId="0" applyFill="1" applyAlignment="1" applyProtection="1">
      <alignment horizontal="center" vertical="top" wrapText="1"/>
      <protection hidden="1"/>
    </xf>
    <xf numFmtId="0" fontId="0" fillId="3" borderId="0" xfId="0" applyFill="1" applyAlignment="1" applyProtection="1">
      <alignment horizontal="center" vertical="top"/>
      <protection hidden="1"/>
    </xf>
    <xf numFmtId="0" fontId="1" fillId="0" borderId="0" xfId="0" applyFont="1" applyAlignment="1">
      <alignment vertical="top" wrapText="1"/>
    </xf>
    <xf numFmtId="0" fontId="1" fillId="3" borderId="1" xfId="0" applyFont="1" applyFill="1" applyBorder="1" applyAlignment="1">
      <alignment vertical="top"/>
    </xf>
    <xf numFmtId="0" fontId="1" fillId="3" borderId="1" xfId="0" applyFont="1" applyFill="1" applyBorder="1" applyAlignment="1" applyProtection="1">
      <alignment vertical="top"/>
      <protection hidden="1"/>
    </xf>
    <xf numFmtId="0" fontId="0" fillId="4" borderId="1" xfId="0" applyFont="1" applyFill="1" applyBorder="1" applyAlignment="1">
      <alignment vertical="top"/>
    </xf>
    <xf numFmtId="0" fontId="0" fillId="4" borderId="1" xfId="0" applyFill="1" applyBorder="1" applyAlignment="1" applyProtection="1">
      <alignment vertical="top"/>
      <protection hidden="1"/>
    </xf>
    <xf numFmtId="0" fontId="0" fillId="0" borderId="0" xfId="0" applyBorder="1" applyAlignment="1">
      <alignment vertical="top"/>
    </xf>
    <xf numFmtId="0" fontId="0" fillId="0" borderId="0" xfId="0" applyBorder="1" applyAlignment="1" applyProtection="1">
      <alignment vertical="top"/>
      <protection hidden="1"/>
    </xf>
    <xf numFmtId="0" fontId="1" fillId="3" borderId="0" xfId="0" applyFont="1" applyFill="1" applyAlignment="1">
      <alignment vertical="top"/>
    </xf>
    <xf numFmtId="0" fontId="1" fillId="0" borderId="0" xfId="0" applyFont="1" applyAlignment="1" applyProtection="1">
      <alignment horizontal="center" vertical="top" wrapText="1"/>
      <protection hidden="1"/>
    </xf>
    <xf numFmtId="0" fontId="5" fillId="3" borderId="0" xfId="0" applyFont="1" applyFill="1" applyAlignment="1" applyProtection="1">
      <alignment horizontal="center" vertical="top" wrapText="1"/>
      <protection locked="0" hidden="1"/>
    </xf>
    <xf numFmtId="0" fontId="5" fillId="0" borderId="0" xfId="0" applyFont="1" applyAlignment="1" applyProtection="1">
      <alignment vertical="top"/>
      <protection locked="0"/>
    </xf>
    <xf numFmtId="0" fontId="5" fillId="0" borderId="0" xfId="0" applyFont="1" applyAlignment="1" applyProtection="1">
      <alignment vertical="top"/>
    </xf>
    <xf numFmtId="0" fontId="1" fillId="5" borderId="0" xfId="0" applyFont="1" applyFill="1" applyAlignment="1">
      <alignment vertical="top"/>
    </xf>
    <xf numFmtId="0" fontId="0" fillId="5" borderId="0" xfId="0" applyFont="1" applyFill="1" applyAlignment="1" applyProtection="1">
      <alignment horizontal="center" vertical="top" wrapText="1"/>
      <protection locked="0"/>
    </xf>
    <xf numFmtId="0" fontId="0" fillId="5" borderId="0" xfId="0" applyFill="1" applyAlignment="1">
      <alignment horizontal="center" vertical="top"/>
    </xf>
    <xf numFmtId="0" fontId="0" fillId="0" borderId="0" xfId="0" applyAlignment="1"/>
    <xf numFmtId="0" fontId="0" fillId="0" borderId="0" xfId="0" applyAlignment="1">
      <alignment horizontal="center"/>
    </xf>
    <xf numFmtId="0" fontId="1" fillId="0" borderId="0" xfId="0" applyFont="1" applyAlignment="1">
      <alignment horizontal="center"/>
    </xf>
    <xf numFmtId="0" fontId="0" fillId="6" borderId="0" xfId="0" applyFont="1" applyFill="1" applyBorder="1" applyAlignment="1">
      <alignment horizontal="center" wrapText="1"/>
    </xf>
    <xf numFmtId="0" fontId="4" fillId="7" borderId="1" xfId="0" applyFont="1" applyFill="1" applyBorder="1" applyAlignment="1">
      <alignment horizontal="center"/>
    </xf>
    <xf numFmtId="0" fontId="4" fillId="7" borderId="1" xfId="0" applyFont="1" applyFill="1" applyBorder="1" applyAlignment="1"/>
    <xf numFmtId="0" fontId="0" fillId="6" borderId="0" xfId="0" applyFont="1" applyFill="1" applyBorder="1" applyAlignment="1">
      <alignment horizontal="center"/>
    </xf>
    <xf numFmtId="0" fontId="4" fillId="7" borderId="2" xfId="0" applyFont="1" applyFill="1" applyBorder="1" applyAlignment="1">
      <alignment horizontal="center"/>
    </xf>
    <xf numFmtId="0" fontId="4" fillId="7" borderId="2" xfId="0" applyFont="1" applyFill="1" applyBorder="1" applyAlignment="1"/>
    <xf numFmtId="0" fontId="4" fillId="7" borderId="0" xfId="0" applyFont="1" applyFill="1" applyBorder="1" applyAlignment="1">
      <alignment horizontal="center"/>
    </xf>
    <xf numFmtId="0" fontId="6" fillId="8" borderId="3" xfId="0" applyFont="1" applyFill="1" applyBorder="1" applyAlignment="1">
      <alignment horizontal="left"/>
    </xf>
    <xf numFmtId="2" fontId="0" fillId="9" borderId="4" xfId="0" applyNumberFormat="1" applyFont="1" applyFill="1" applyBorder="1" applyAlignment="1">
      <alignment horizontal="right"/>
    </xf>
    <xf numFmtId="1" fontId="0" fillId="9" borderId="5" xfId="0" applyNumberFormat="1" applyFont="1" applyFill="1" applyBorder="1" applyAlignment="1">
      <alignment horizontal="center"/>
    </xf>
    <xf numFmtId="0" fontId="7" fillId="10" borderId="2" xfId="0" applyFont="1" applyFill="1" applyBorder="1" applyAlignment="1">
      <alignment horizontal="center"/>
    </xf>
    <xf numFmtId="0" fontId="7" fillId="10" borderId="2" xfId="0" applyFont="1" applyFill="1" applyBorder="1" applyAlignment="1"/>
    <xf numFmtId="0" fontId="6" fillId="8" borderId="6" xfId="0" applyFont="1" applyFill="1" applyBorder="1" applyAlignment="1">
      <alignment horizontal="left"/>
    </xf>
    <xf numFmtId="2" fontId="0" fillId="0" borderId="0" xfId="0" applyNumberFormat="1" applyFont="1" applyBorder="1" applyAlignment="1">
      <alignment horizontal="right"/>
    </xf>
    <xf numFmtId="1" fontId="0" fillId="0" borderId="7" xfId="0" applyNumberFormat="1" applyFon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2" fontId="0" fillId="0" borderId="0" xfId="0" applyNumberFormat="1" applyAlignment="1">
      <alignment horizontal="center"/>
    </xf>
    <xf numFmtId="0" fontId="8" fillId="0" borderId="0" xfId="0" applyFont="1" applyAlignment="1"/>
    <xf numFmtId="165" fontId="0" fillId="0" borderId="0" xfId="0" applyNumberFormat="1" applyAlignment="1">
      <alignment horizontal="center"/>
    </xf>
    <xf numFmtId="2" fontId="0" fillId="9" borderId="0" xfId="0" applyNumberFormat="1" applyFont="1" applyFill="1" applyBorder="1" applyAlignment="1">
      <alignment horizontal="right"/>
    </xf>
    <xf numFmtId="1" fontId="0" fillId="9" borderId="7" xfId="0" applyNumberFormat="1" applyFont="1" applyFill="1" applyBorder="1" applyAlignment="1">
      <alignment horizontal="center"/>
    </xf>
    <xf numFmtId="0" fontId="9" fillId="0" borderId="9" xfId="0" applyFont="1" applyBorder="1" applyAlignment="1">
      <alignment horizontal="center"/>
    </xf>
    <xf numFmtId="0" fontId="0" fillId="0" borderId="1" xfId="0" applyFont="1" applyBorder="1" applyAlignment="1">
      <alignment horizontal="center"/>
    </xf>
    <xf numFmtId="0" fontId="0" fillId="0" borderId="10" xfId="0" applyBorder="1" applyAlignment="1">
      <alignment horizontal="center"/>
    </xf>
    <xf numFmtId="2" fontId="0" fillId="0" borderId="0" xfId="1" applyNumberFormat="1" applyFont="1" applyBorder="1" applyAlignment="1" applyProtection="1">
      <alignment horizontal="right"/>
    </xf>
    <xf numFmtId="0" fontId="0" fillId="0" borderId="9" xfId="0" applyBorder="1" applyAlignment="1">
      <alignment horizontal="center"/>
    </xf>
    <xf numFmtId="165" fontId="0" fillId="0" borderId="10" xfId="0" applyNumberFormat="1" applyBorder="1" applyAlignment="1">
      <alignment horizontal="center"/>
    </xf>
    <xf numFmtId="0" fontId="4" fillId="0" borderId="0" xfId="0" applyFont="1" applyAlignment="1"/>
    <xf numFmtId="0" fontId="0" fillId="0" borderId="0" xfId="0" applyAlignment="1">
      <alignment wrapText="1"/>
    </xf>
    <xf numFmtId="10" fontId="6" fillId="8" borderId="6" xfId="0" applyNumberFormat="1" applyFont="1" applyFill="1" applyBorder="1" applyAlignment="1">
      <alignment horizontal="left"/>
    </xf>
    <xf numFmtId="10" fontId="0" fillId="9" borderId="0" xfId="0" applyNumberFormat="1" applyFont="1" applyFill="1" applyBorder="1" applyAlignment="1">
      <alignment horizontal="right"/>
    </xf>
    <xf numFmtId="0" fontId="0" fillId="0" borderId="5" xfId="0" applyFont="1" applyBorder="1" applyAlignment="1"/>
    <xf numFmtId="1" fontId="0" fillId="0" borderId="0" xfId="0" applyNumberFormat="1" applyAlignment="1"/>
    <xf numFmtId="10" fontId="0" fillId="0" borderId="0" xfId="0" applyNumberFormat="1" applyFont="1" applyBorder="1" applyAlignment="1">
      <alignment horizontal="right"/>
    </xf>
    <xf numFmtId="0" fontId="0" fillId="9" borderId="7" xfId="0" applyFont="1" applyFill="1" applyBorder="1" applyAlignment="1"/>
    <xf numFmtId="165" fontId="0" fillId="0" borderId="1" xfId="0" applyNumberFormat="1" applyBorder="1" applyAlignment="1">
      <alignment horizontal="center"/>
    </xf>
    <xf numFmtId="2" fontId="0" fillId="0" borderId="7" xfId="0" applyNumberFormat="1" applyFont="1" applyBorder="1" applyAlignment="1" applyProtection="1">
      <alignment horizontal="center"/>
      <protection hidden="1"/>
    </xf>
    <xf numFmtId="165" fontId="4" fillId="8" borderId="6" xfId="0" applyNumberFormat="1" applyFont="1" applyFill="1" applyBorder="1" applyAlignment="1">
      <alignment vertical="center" wrapText="1"/>
    </xf>
    <xf numFmtId="165" fontId="4" fillId="8" borderId="0" xfId="0" applyNumberFormat="1" applyFont="1" applyFill="1" applyBorder="1" applyAlignment="1">
      <alignment horizontal="right"/>
    </xf>
    <xf numFmtId="165" fontId="4" fillId="8" borderId="7" xfId="0" applyNumberFormat="1" applyFont="1" applyFill="1" applyBorder="1" applyAlignment="1">
      <alignment horizontal="center"/>
    </xf>
    <xf numFmtId="0" fontId="8" fillId="0" borderId="9" xfId="0" applyFont="1" applyBorder="1" applyAlignment="1">
      <alignment horizontal="center"/>
    </xf>
    <xf numFmtId="0" fontId="8" fillId="0" borderId="1" xfId="0" applyFont="1" applyBorder="1" applyAlignment="1">
      <alignment horizontal="center"/>
    </xf>
    <xf numFmtId="10" fontId="6" fillId="11" borderId="6" xfId="0" applyNumberFormat="1" applyFont="1" applyFill="1" applyBorder="1" applyAlignment="1">
      <alignment horizontal="left"/>
    </xf>
    <xf numFmtId="0" fontId="0" fillId="9" borderId="7" xfId="0" applyFont="1" applyFill="1" applyBorder="1" applyAlignment="1">
      <alignment horizontal="center" vertical="center"/>
    </xf>
    <xf numFmtId="2" fontId="0" fillId="0" borderId="9" xfId="0" applyNumberFormat="1" applyBorder="1" applyAlignment="1">
      <alignment horizontal="center"/>
    </xf>
    <xf numFmtId="10" fontId="0" fillId="0" borderId="7" xfId="0" applyNumberFormat="1" applyFont="1" applyBorder="1" applyAlignment="1" applyProtection="1">
      <alignment horizontal="center"/>
      <protection hidden="1"/>
    </xf>
    <xf numFmtId="0" fontId="0" fillId="0" borderId="0" xfId="0" applyFont="1" applyAlignment="1"/>
    <xf numFmtId="10" fontId="0" fillId="9" borderId="7" xfId="0" applyNumberFormat="1" applyFont="1" applyFill="1" applyBorder="1" applyAlignment="1"/>
    <xf numFmtId="165" fontId="0" fillId="9" borderId="0" xfId="0" applyNumberFormat="1" applyFont="1" applyFill="1" applyBorder="1" applyAlignment="1">
      <alignment horizontal="right"/>
    </xf>
    <xf numFmtId="10" fontId="0" fillId="0" borderId="7" xfId="0" applyNumberFormat="1" applyFont="1" applyBorder="1" applyAlignment="1"/>
    <xf numFmtId="166" fontId="4" fillId="11" borderId="6" xfId="0" applyNumberFormat="1" applyFont="1" applyFill="1" applyBorder="1" applyAlignment="1">
      <alignment vertical="center" wrapText="1"/>
    </xf>
    <xf numFmtId="165" fontId="4" fillId="11" borderId="0" xfId="0" applyNumberFormat="1" applyFont="1" applyFill="1" applyBorder="1" applyAlignment="1">
      <alignment horizontal="right"/>
    </xf>
    <xf numFmtId="165" fontId="4" fillId="11" borderId="7" xfId="0" applyNumberFormat="1" applyFont="1" applyFill="1" applyBorder="1" applyAlignment="1">
      <alignment horizontal="center"/>
    </xf>
    <xf numFmtId="0" fontId="6" fillId="12" borderId="6" xfId="0" applyFont="1" applyFill="1" applyBorder="1" applyAlignment="1">
      <alignment horizontal="left"/>
    </xf>
    <xf numFmtId="1" fontId="0" fillId="0" borderId="0" xfId="0" applyNumberFormat="1" applyFont="1" applyBorder="1" applyAlignment="1">
      <alignment horizontal="right"/>
    </xf>
    <xf numFmtId="0" fontId="9" fillId="0" borderId="1" xfId="0" applyFont="1" applyBorder="1" applyAlignment="1">
      <alignment horizontal="center"/>
    </xf>
    <xf numFmtId="1" fontId="0" fillId="9" borderId="0" xfId="0" applyNumberFormat="1" applyFont="1" applyFill="1" applyBorder="1" applyAlignment="1">
      <alignment horizontal="right"/>
    </xf>
    <xf numFmtId="0" fontId="0" fillId="0" borderId="7" xfId="0" applyFont="1" applyBorder="1" applyAlignment="1">
      <alignment horizontal="center"/>
    </xf>
    <xf numFmtId="165" fontId="0" fillId="0" borderId="0" xfId="0" applyNumberFormat="1" applyAlignment="1"/>
    <xf numFmtId="0" fontId="4" fillId="12" borderId="6" xfId="0" applyFont="1" applyFill="1" applyBorder="1" applyAlignment="1"/>
    <xf numFmtId="165" fontId="4" fillId="12" borderId="0" xfId="0" applyNumberFormat="1" applyFont="1" applyFill="1" applyBorder="1" applyAlignment="1">
      <alignment horizontal="right"/>
    </xf>
    <xf numFmtId="165" fontId="4" fillId="12" borderId="7" xfId="0" applyNumberFormat="1" applyFont="1" applyFill="1" applyBorder="1" applyAlignment="1">
      <alignment horizontal="center"/>
    </xf>
    <xf numFmtId="0" fontId="0" fillId="9" borderId="7" xfId="0" applyFont="1" applyFill="1" applyBorder="1" applyAlignment="1">
      <alignment horizontal="center"/>
    </xf>
    <xf numFmtId="0" fontId="6" fillId="13" borderId="6" xfId="0" applyFont="1" applyFill="1" applyBorder="1" applyAlignment="1">
      <alignment horizontal="left"/>
    </xf>
    <xf numFmtId="2" fontId="0" fillId="0" borderId="7" xfId="0" applyNumberFormat="1" applyFont="1" applyBorder="1" applyAlignment="1"/>
    <xf numFmtId="0" fontId="0" fillId="0" borderId="7" xfId="0" applyFont="1" applyBorder="1" applyAlignment="1"/>
    <xf numFmtId="9" fontId="0" fillId="0" borderId="1" xfId="0" applyNumberFormat="1" applyBorder="1" applyAlignment="1">
      <alignment horizontal="center"/>
    </xf>
    <xf numFmtId="9" fontId="0" fillId="0" borderId="0" xfId="0" applyNumberFormat="1" applyAlignment="1">
      <alignment horizontal="center"/>
    </xf>
    <xf numFmtId="0" fontId="0" fillId="0" borderId="0" xfId="0" applyFont="1" applyBorder="1" applyAlignment="1">
      <alignment horizontal="right"/>
    </xf>
    <xf numFmtId="9" fontId="0" fillId="0" borderId="1" xfId="0" applyNumberFormat="1" applyFont="1" applyBorder="1" applyAlignment="1">
      <alignment horizontal="center"/>
    </xf>
    <xf numFmtId="0" fontId="4" fillId="13" borderId="11" xfId="0" applyFont="1" applyFill="1" applyBorder="1" applyAlignment="1"/>
    <xf numFmtId="165" fontId="4" fillId="13" borderId="12" xfId="0" applyNumberFormat="1" applyFont="1" applyFill="1" applyBorder="1" applyAlignment="1">
      <alignment horizontal="right"/>
    </xf>
    <xf numFmtId="0" fontId="4" fillId="13" borderId="13" xfId="0" applyFont="1" applyFill="1" applyBorder="1" applyAlignment="1">
      <alignment horizontal="center"/>
    </xf>
    <xf numFmtId="0" fontId="6" fillId="13" borderId="11" xfId="0" applyFont="1" applyFill="1" applyBorder="1" applyAlignment="1">
      <alignment horizontal="left"/>
    </xf>
    <xf numFmtId="0" fontId="0" fillId="9" borderId="13" xfId="0" applyFont="1" applyFill="1" applyBorder="1" applyAlignment="1"/>
    <xf numFmtId="2" fontId="4" fillId="9" borderId="0" xfId="0" applyNumberFormat="1" applyFont="1" applyFill="1" applyBorder="1" applyAlignment="1"/>
    <xf numFmtId="2" fontId="4" fillId="9" borderId="0" xfId="0" applyNumberFormat="1" applyFont="1" applyFill="1" applyBorder="1" applyAlignment="1">
      <alignment horizontal="right"/>
    </xf>
    <xf numFmtId="2" fontId="4" fillId="0" borderId="0" xfId="0" applyNumberFormat="1" applyFont="1" applyBorder="1" applyAlignment="1">
      <alignment horizontal="center"/>
    </xf>
    <xf numFmtId="0" fontId="10" fillId="0" borderId="0" xfId="0" applyFont="1" applyBorder="1" applyAlignment="1">
      <alignment horizontal="left"/>
    </xf>
    <xf numFmtId="167" fontId="4" fillId="14" borderId="0" xfId="0" applyNumberFormat="1" applyFont="1" applyFill="1" applyAlignment="1"/>
    <xf numFmtId="0" fontId="6" fillId="0" borderId="0" xfId="0" applyFont="1" applyAlignment="1">
      <alignment horizontal="left"/>
    </xf>
    <xf numFmtId="0" fontId="0" fillId="0" borderId="0" xfId="0" applyFont="1" applyAlignment="1">
      <alignment horizontal="right"/>
    </xf>
    <xf numFmtId="10" fontId="0" fillId="0" borderId="1" xfId="0" applyNumberFormat="1" applyFont="1" applyBorder="1" applyAlignment="1">
      <alignment horizontal="center"/>
    </xf>
    <xf numFmtId="1" fontId="0" fillId="0" borderId="1" xfId="0" applyNumberFormat="1" applyBorder="1" applyAlignment="1">
      <alignment horizontal="center"/>
    </xf>
    <xf numFmtId="0" fontId="0" fillId="0" borderId="3" xfId="0" applyFont="1" applyBorder="1" applyAlignment="1">
      <alignment horizontal="left"/>
    </xf>
    <xf numFmtId="1" fontId="0" fillId="0" borderId="5" xfId="0" applyNumberFormat="1" applyFont="1" applyBorder="1" applyAlignment="1">
      <alignment horizontal="right"/>
    </xf>
    <xf numFmtId="0" fontId="0" fillId="0" borderId="6" xfId="0" applyFont="1" applyBorder="1" applyAlignment="1">
      <alignment horizontal="left"/>
    </xf>
    <xf numFmtId="0" fontId="0" fillId="0" borderId="7" xfId="0" applyFont="1" applyBorder="1" applyAlignment="1">
      <alignment horizontal="right"/>
    </xf>
    <xf numFmtId="0" fontId="0" fillId="0" borderId="11" xfId="0" applyFont="1" applyBorder="1" applyAlignment="1">
      <alignment horizontal="left"/>
    </xf>
    <xf numFmtId="10" fontId="0" fillId="0" borderId="13" xfId="0" applyNumberFormat="1" applyFont="1" applyBorder="1" applyAlignment="1">
      <alignment horizontal="right"/>
    </xf>
    <xf numFmtId="9" fontId="0" fillId="0" borderId="10" xfId="0" applyNumberFormat="1" applyBorder="1" applyAlignment="1"/>
    <xf numFmtId="9" fontId="0" fillId="0" borderId="9" xfId="0" applyNumberFormat="1" applyBorder="1" applyAlignment="1"/>
    <xf numFmtId="1" fontId="0" fillId="0" borderId="5" xfId="0" applyNumberFormat="1" applyFont="1" applyBorder="1" applyAlignment="1">
      <alignment horizontal="center"/>
    </xf>
    <xf numFmtId="1" fontId="0" fillId="0" borderId="0" xfId="0" applyNumberFormat="1" applyFont="1" applyBorder="1" applyAlignment="1">
      <alignment horizontal="center"/>
    </xf>
    <xf numFmtId="0" fontId="0" fillId="9" borderId="6" xfId="0" applyFont="1" applyFill="1" applyBorder="1" applyAlignment="1">
      <alignment horizontal="left"/>
    </xf>
    <xf numFmtId="0" fontId="0" fillId="0" borderId="0" xfId="0" applyFont="1" applyBorder="1" applyAlignment="1">
      <alignment horizontal="center"/>
    </xf>
    <xf numFmtId="1" fontId="0" fillId="9" borderId="7"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4" fillId="0" borderId="0" xfId="0" applyFont="1" applyBorder="1" applyAlignment="1">
      <alignment horizontal="center" vertical="center" wrapText="1"/>
    </xf>
    <xf numFmtId="0" fontId="0" fillId="9" borderId="6" xfId="0" applyFont="1" applyFill="1" applyBorder="1" applyAlignment="1">
      <alignment horizontal="left" wrapText="1"/>
    </xf>
    <xf numFmtId="0" fontId="0" fillId="15" borderId="9" xfId="0" applyFill="1" applyBorder="1" applyAlignment="1">
      <alignment horizontal="center"/>
    </xf>
    <xf numFmtId="0" fontId="7" fillId="15" borderId="1" xfId="0" applyFont="1" applyFill="1" applyBorder="1" applyAlignment="1"/>
    <xf numFmtId="0" fontId="0" fillId="0" borderId="0" xfId="0" applyBorder="1" applyAlignment="1">
      <alignment horizontal="center"/>
    </xf>
    <xf numFmtId="0" fontId="7" fillId="0" borderId="0" xfId="0" applyFont="1" applyBorder="1" applyAlignment="1">
      <alignment horizontal="center"/>
    </xf>
    <xf numFmtId="0" fontId="0" fillId="9" borderId="11" xfId="0" applyFont="1" applyFill="1" applyBorder="1" applyAlignment="1">
      <alignment horizontal="left"/>
    </xf>
    <xf numFmtId="1" fontId="0" fillId="9" borderId="13" xfId="0" applyNumberFormat="1" applyFont="1" applyFill="1" applyBorder="1" applyAlignment="1">
      <alignment horizontal="center"/>
    </xf>
    <xf numFmtId="0" fontId="7" fillId="10" borderId="9" xfId="0" applyFont="1" applyFill="1" applyBorder="1" applyAlignment="1">
      <alignment horizontal="center"/>
    </xf>
    <xf numFmtId="0" fontId="7" fillId="10" borderId="1" xfId="0" applyFont="1" applyFill="1" applyBorder="1" applyAlignment="1"/>
    <xf numFmtId="1" fontId="9" fillId="0" borderId="1" xfId="0" applyNumberFormat="1"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xf>
    <xf numFmtId="0" fontId="0" fillId="15" borderId="1" xfId="0" applyFill="1" applyBorder="1" applyAlignment="1">
      <alignment horizontal="center"/>
    </xf>
    <xf numFmtId="0" fontId="7" fillId="15" borderId="14" xfId="0" applyFont="1" applyFill="1" applyBorder="1" applyAlignment="1"/>
    <xf numFmtId="0" fontId="7" fillId="0" borderId="0" xfId="0" applyFont="1" applyAlignment="1">
      <alignment horizontal="center"/>
    </xf>
    <xf numFmtId="0" fontId="7" fillId="10" borderId="1" xfId="0" applyFont="1" applyFill="1" applyBorder="1" applyAlignment="1">
      <alignment horizontal="center"/>
    </xf>
    <xf numFmtId="0" fontId="0" fillId="0" borderId="1" xfId="0" applyBorder="1" applyAlignment="1">
      <alignment horizontal="left"/>
    </xf>
    <xf numFmtId="2" fontId="0" fillId="0" borderId="1" xfId="0" applyNumberFormat="1" applyFont="1" applyBorder="1" applyAlignment="1">
      <alignment horizontal="center"/>
    </xf>
    <xf numFmtId="0" fontId="0" fillId="0" borderId="15" xfId="0" applyBorder="1" applyAlignment="1">
      <alignment horizontal="center"/>
    </xf>
    <xf numFmtId="1" fontId="0" fillId="0" borderId="0" xfId="0" applyNumberFormat="1" applyAlignment="1">
      <alignment horizontal="center"/>
    </xf>
    <xf numFmtId="0" fontId="1" fillId="0" borderId="1" xfId="0" applyFont="1" applyBorder="1" applyAlignment="1"/>
    <xf numFmtId="0" fontId="7" fillId="0" borderId="0" xfId="0" applyFont="1" applyBorder="1" applyAlignment="1">
      <alignment horizontal="center" vertical="center"/>
    </xf>
    <xf numFmtId="0" fontId="7" fillId="15" borderId="1" xfId="0" applyFont="1" applyFill="1" applyBorder="1" applyAlignment="1">
      <alignment horizontal="center"/>
    </xf>
    <xf numFmtId="0" fontId="7" fillId="15" borderId="1" xfId="0" applyFont="1" applyFill="1" applyBorder="1">
      <alignment vertical="center"/>
    </xf>
    <xf numFmtId="0" fontId="4" fillId="0" borderId="0" xfId="0" applyFont="1" applyAlignment="1">
      <alignment horizontal="center"/>
    </xf>
    <xf numFmtId="0" fontId="1" fillId="0" borderId="1" xfId="0" applyFont="1" applyBorder="1">
      <alignment vertical="center"/>
    </xf>
    <xf numFmtId="10" fontId="0" fillId="0" borderId="1" xfId="0" applyNumberFormat="1" applyBorder="1" applyAlignment="1">
      <alignment horizontal="center" vertical="center"/>
    </xf>
    <xf numFmtId="0" fontId="0" fillId="0" borderId="0" xfId="0" applyAlignment="1">
      <alignment horizontal="center" vertical="center" wrapText="1"/>
    </xf>
    <xf numFmtId="10" fontId="0" fillId="0" borderId="1" xfId="0" applyNumberFormat="1" applyBorder="1" applyAlignment="1">
      <alignment horizontal="center"/>
    </xf>
    <xf numFmtId="0" fontId="4" fillId="15" borderId="1" xfId="0" applyFont="1" applyFill="1" applyBorder="1" applyAlignment="1">
      <alignment horizontal="center"/>
    </xf>
    <xf numFmtId="0" fontId="4" fillId="15" borderId="1" xfId="0" applyFont="1" applyFill="1" applyBorder="1" applyAlignment="1">
      <alignment vertical="center"/>
    </xf>
    <xf numFmtId="2" fontId="4" fillId="15" borderId="1" xfId="0" applyNumberFormat="1" applyFont="1" applyFill="1" applyBorder="1" applyAlignment="1">
      <alignment horizontal="center"/>
    </xf>
    <xf numFmtId="10" fontId="0" fillId="0" borderId="0" xfId="0" applyNumberFormat="1" applyAlignment="1"/>
    <xf numFmtId="0" fontId="11" fillId="0" borderId="0" xfId="0" applyFont="1" applyAlignment="1"/>
    <xf numFmtId="2" fontId="11" fillId="0" borderId="0" xfId="0" applyNumberFormat="1" applyFont="1" applyAlignment="1" applyProtection="1">
      <alignment horizontal="center"/>
      <protection locked="0"/>
    </xf>
    <xf numFmtId="2" fontId="11" fillId="0" borderId="16" xfId="0" applyNumberFormat="1" applyFont="1" applyBorder="1" applyAlignment="1" applyProtection="1">
      <alignment horizontal="center"/>
      <protection locked="0"/>
    </xf>
    <xf numFmtId="2" fontId="11" fillId="16" borderId="0" xfId="0" applyNumberFormat="1" applyFont="1" applyFill="1" applyAlignment="1" applyProtection="1">
      <protection locked="0"/>
    </xf>
    <xf numFmtId="0" fontId="11" fillId="0" borderId="0" xfId="0" applyFont="1" applyAlignment="1" applyProtection="1">
      <protection locked="0"/>
    </xf>
    <xf numFmtId="0" fontId="12" fillId="17" borderId="0" xfId="0" applyFont="1" applyFill="1" applyAlignment="1"/>
    <xf numFmtId="0" fontId="13" fillId="18" borderId="0" xfId="0" applyFont="1" applyFill="1" applyAlignment="1" applyProtection="1">
      <alignment horizontal="center" vertical="center"/>
      <protection locked="0"/>
    </xf>
    <xf numFmtId="0" fontId="13" fillId="18" borderId="0" xfId="0" applyFont="1" applyFill="1" applyAlignment="1" applyProtection="1">
      <protection locked="0"/>
    </xf>
    <xf numFmtId="2" fontId="11" fillId="19" borderId="1" xfId="0" applyNumberFormat="1" applyFont="1" applyFill="1" applyBorder="1" applyAlignment="1">
      <alignment horizontal="center" vertical="center"/>
    </xf>
    <xf numFmtId="2" fontId="11" fillId="19" borderId="1" xfId="0" applyNumberFormat="1" applyFont="1" applyFill="1" applyBorder="1" applyAlignment="1">
      <alignment horizontal="center" wrapText="1"/>
    </xf>
    <xf numFmtId="0" fontId="11" fillId="16" borderId="0" xfId="0" applyFont="1" applyFill="1" applyAlignment="1"/>
    <xf numFmtId="2" fontId="11" fillId="19" borderId="1" xfId="0" applyNumberFormat="1" applyFont="1" applyFill="1" applyBorder="1" applyAlignment="1">
      <alignment horizontal="center" vertical="center" wrapText="1"/>
    </xf>
    <xf numFmtId="10" fontId="11" fillId="19" borderId="1" xfId="6" applyNumberFormat="1" applyFont="1" applyFill="1" applyBorder="1" applyAlignment="1" applyProtection="1">
      <alignment horizontal="center" vertical="center"/>
    </xf>
    <xf numFmtId="0" fontId="14" fillId="16" borderId="16" xfId="0" applyFont="1" applyFill="1" applyBorder="1" applyAlignment="1">
      <alignment horizontal="center" vertical="center" wrapText="1"/>
    </xf>
    <xf numFmtId="2" fontId="12" fillId="16" borderId="0" xfId="0" applyNumberFormat="1" applyFont="1" applyFill="1" applyAlignment="1"/>
    <xf numFmtId="0" fontId="11" fillId="16" borderId="0" xfId="0" applyFont="1" applyFill="1" applyAlignment="1">
      <alignment horizontal="center"/>
    </xf>
    <xf numFmtId="0" fontId="11" fillId="16" borderId="16" xfId="0" applyFont="1" applyFill="1" applyBorder="1" applyAlignment="1">
      <alignment horizontal="center"/>
    </xf>
    <xf numFmtId="0" fontId="11" fillId="20" borderId="1" xfId="0" applyFont="1" applyFill="1" applyBorder="1" applyAlignment="1"/>
    <xf numFmtId="0" fontId="14" fillId="20" borderId="1" xfId="0" applyFont="1" applyFill="1" applyBorder="1" applyAlignment="1" applyProtection="1">
      <alignment horizontal="center"/>
      <protection locked="0"/>
    </xf>
    <xf numFmtId="0" fontId="11" fillId="16" borderId="0" xfId="0" applyFont="1" applyFill="1" applyAlignment="1" applyProtection="1">
      <protection locked="0"/>
    </xf>
    <xf numFmtId="0" fontId="14" fillId="20" borderId="1" xfId="0" applyFont="1" applyFill="1" applyBorder="1" applyAlignment="1"/>
    <xf numFmtId="168" fontId="14" fillId="20" borderId="1" xfId="0" applyNumberFormat="1" applyFont="1" applyFill="1" applyBorder="1" applyAlignment="1" applyProtection="1">
      <alignment horizontal="center"/>
      <protection locked="0"/>
    </xf>
    <xf numFmtId="0" fontId="11" fillId="0" borderId="1" xfId="0" applyFont="1" applyBorder="1" applyAlignment="1"/>
    <xf numFmtId="2" fontId="11" fillId="0" borderId="1" xfId="0" applyNumberFormat="1" applyFont="1" applyBorder="1" applyAlignment="1" applyProtection="1">
      <alignment horizontal="center"/>
      <protection locked="0"/>
    </xf>
    <xf numFmtId="2" fontId="11" fillId="0" borderId="1" xfId="0" applyNumberFormat="1" applyFont="1" applyBorder="1" applyAlignment="1" applyProtection="1">
      <alignment horizontal="center" wrapText="1"/>
      <protection locked="0"/>
    </xf>
    <xf numFmtId="2" fontId="15" fillId="16" borderId="0" xfId="0" applyNumberFormat="1" applyFont="1" applyFill="1" applyAlignment="1" applyProtection="1">
      <protection locked="0"/>
    </xf>
    <xf numFmtId="2" fontId="11" fillId="19" borderId="1" xfId="0" applyNumberFormat="1" applyFont="1" applyFill="1" applyBorder="1" applyAlignment="1">
      <alignment horizontal="center"/>
    </xf>
    <xf numFmtId="0" fontId="11" fillId="21" borderId="1" xfId="0" applyFont="1" applyFill="1" applyBorder="1" applyAlignment="1"/>
    <xf numFmtId="2" fontId="11" fillId="0" borderId="0" xfId="0" applyNumberFormat="1" applyFont="1" applyAlignment="1">
      <alignment horizontal="center"/>
    </xf>
    <xf numFmtId="2" fontId="11" fillId="0" borderId="16" xfId="0" applyNumberFormat="1" applyFont="1" applyBorder="1" applyAlignment="1">
      <alignment horizontal="center"/>
    </xf>
    <xf numFmtId="2" fontId="11" fillId="0" borderId="0" xfId="0" applyNumberFormat="1" applyFont="1" applyAlignment="1" applyProtection="1">
      <protection locked="0"/>
    </xf>
    <xf numFmtId="2" fontId="11" fillId="16" borderId="0" xfId="0" applyNumberFormat="1" applyFont="1" applyFill="1" applyAlignment="1"/>
    <xf numFmtId="168" fontId="14" fillId="20" borderId="1" xfId="0" applyNumberFormat="1" applyFont="1" applyFill="1" applyBorder="1" applyAlignment="1">
      <alignment horizontal="center"/>
    </xf>
    <xf numFmtId="0" fontId="11" fillId="0" borderId="9" xfId="0" applyFont="1" applyBorder="1" applyAlignment="1" applyProtection="1">
      <protection locked="0"/>
    </xf>
    <xf numFmtId="0" fontId="11" fillId="0" borderId="1" xfId="0" applyFont="1" applyBorder="1" applyAlignment="1" applyProtection="1">
      <protection locked="0"/>
    </xf>
    <xf numFmtId="0" fontId="11" fillId="20" borderId="1" xfId="0" applyFont="1" applyFill="1" applyBorder="1" applyAlignment="1" applyProtection="1">
      <alignment horizontal="center"/>
      <protection locked="0"/>
    </xf>
    <xf numFmtId="0" fontId="11" fillId="0" borderId="1" xfId="0" applyFont="1" applyBorder="1" applyAlignment="1">
      <alignment wrapText="1"/>
    </xf>
    <xf numFmtId="2" fontId="11" fillId="0" borderId="1" xfId="0" applyNumberFormat="1" applyFont="1" applyBorder="1" applyAlignment="1">
      <alignment horizontal="center" wrapText="1"/>
    </xf>
    <xf numFmtId="2" fontId="16" fillId="0" borderId="1" xfId="0" applyNumberFormat="1" applyFont="1" applyBorder="1" applyAlignment="1" applyProtection="1">
      <alignment horizontal="center" wrapText="1"/>
      <protection locked="0"/>
    </xf>
    <xf numFmtId="0" fontId="11" fillId="0" borderId="1" xfId="0" applyFont="1" applyBorder="1" applyAlignment="1">
      <alignment horizontal="right"/>
    </xf>
    <xf numFmtId="2" fontId="11" fillId="0" borderId="1" xfId="0" applyNumberFormat="1" applyFont="1" applyBorder="1" applyAlignment="1">
      <alignment horizontal="center"/>
    </xf>
    <xf numFmtId="9" fontId="11" fillId="19" borderId="1" xfId="6" applyFont="1" applyFill="1" applyBorder="1" applyAlignment="1" applyProtection="1">
      <alignment horizontal="center"/>
    </xf>
    <xf numFmtId="10" fontId="11" fillId="19" borderId="1" xfId="6" applyNumberFormat="1" applyFont="1" applyFill="1" applyBorder="1" applyAlignment="1" applyProtection="1">
      <alignment horizontal="center"/>
    </xf>
    <xf numFmtId="2" fontId="11" fillId="19" borderId="1" xfId="6" applyNumberFormat="1" applyFont="1" applyFill="1" applyBorder="1" applyAlignment="1" applyProtection="1">
      <alignment horizontal="center"/>
    </xf>
    <xf numFmtId="2" fontId="11" fillId="16" borderId="0" xfId="0" applyNumberFormat="1" applyFont="1" applyFill="1" applyAlignment="1">
      <alignment horizontal="center"/>
    </xf>
    <xf numFmtId="2" fontId="11" fillId="16" borderId="16" xfId="0" applyNumberFormat="1" applyFont="1" applyFill="1" applyBorder="1" applyAlignment="1">
      <alignment horizontal="center"/>
    </xf>
    <xf numFmtId="0" fontId="14" fillId="16" borderId="1" xfId="0" applyFont="1" applyFill="1" applyBorder="1" applyAlignment="1"/>
    <xf numFmtId="0" fontId="14" fillId="0" borderId="1" xfId="0" applyFont="1" applyBorder="1" applyAlignment="1"/>
    <xf numFmtId="169" fontId="11" fillId="0" borderId="1" xfId="0" applyNumberFormat="1" applyFont="1" applyBorder="1" applyAlignment="1">
      <alignment horizontal="center"/>
    </xf>
    <xf numFmtId="0" fontId="14" fillId="22" borderId="1" xfId="0" applyFont="1" applyFill="1" applyBorder="1" applyAlignment="1"/>
    <xf numFmtId="2" fontId="14" fillId="11" borderId="1" xfId="0" applyNumberFormat="1" applyFont="1" applyFill="1" applyBorder="1" applyAlignment="1">
      <alignment horizontal="center"/>
    </xf>
    <xf numFmtId="169" fontId="14" fillId="11" borderId="1" xfId="0" applyNumberFormat="1" applyFont="1" applyFill="1" applyBorder="1" applyAlignment="1">
      <alignment horizontal="center"/>
    </xf>
    <xf numFmtId="0" fontId="14" fillId="11" borderId="1" xfId="0" applyFont="1" applyFill="1" applyBorder="1" applyAlignment="1"/>
    <xf numFmtId="2" fontId="11" fillId="11" borderId="1" xfId="0" applyNumberFormat="1" applyFont="1" applyFill="1" applyBorder="1" applyAlignment="1">
      <alignment horizontal="center"/>
    </xf>
    <xf numFmtId="169" fontId="11" fillId="11" borderId="1" xfId="0" applyNumberFormat="1" applyFont="1" applyFill="1" applyBorder="1" applyAlignment="1">
      <alignment horizontal="center"/>
    </xf>
    <xf numFmtId="0" fontId="17" fillId="0" borderId="0" xfId="0" applyFont="1" applyAlignment="1" applyProtection="1"/>
    <xf numFmtId="2" fontId="17" fillId="0" borderId="0" xfId="0" applyNumberFormat="1" applyFont="1" applyAlignment="1" applyProtection="1">
      <alignment horizontal="center"/>
      <protection locked="0"/>
    </xf>
    <xf numFmtId="2" fontId="17" fillId="16" borderId="0" xfId="0" applyNumberFormat="1" applyFont="1" applyFill="1" applyAlignment="1" applyProtection="1">
      <protection locked="0"/>
    </xf>
    <xf numFmtId="0" fontId="17" fillId="0" borderId="0" xfId="0" applyFont="1" applyAlignment="1" applyProtection="1">
      <protection locked="0"/>
    </xf>
    <xf numFmtId="0" fontId="18" fillId="17" borderId="0" xfId="0" applyFont="1" applyFill="1" applyAlignment="1" applyProtection="1"/>
    <xf numFmtId="0" fontId="19" fillId="18" borderId="0" xfId="0" applyFont="1" applyFill="1" applyAlignment="1" applyProtection="1">
      <protection locked="0"/>
    </xf>
    <xf numFmtId="0" fontId="17" fillId="16" borderId="0" xfId="0" applyFont="1" applyFill="1" applyAlignment="1" applyProtection="1">
      <protection locked="0"/>
    </xf>
    <xf numFmtId="0" fontId="17" fillId="16" borderId="0" xfId="0" applyFont="1" applyFill="1" applyBorder="1" applyAlignment="1" applyProtection="1">
      <protection locked="0"/>
    </xf>
    <xf numFmtId="0" fontId="18" fillId="0" borderId="0" xfId="0" applyFont="1" applyAlignment="1" applyProtection="1">
      <protection hidden="1"/>
    </xf>
    <xf numFmtId="0" fontId="19" fillId="0" borderId="0" xfId="0" applyFont="1" applyAlignment="1" applyProtection="1">
      <alignment horizontal="center"/>
      <protection hidden="1"/>
    </xf>
    <xf numFmtId="0" fontId="17" fillId="0" borderId="0" xfId="0" applyFont="1" applyBorder="1" applyAlignment="1" applyProtection="1">
      <protection hidden="1"/>
    </xf>
    <xf numFmtId="0" fontId="17" fillId="0" borderId="0" xfId="0" applyFont="1" applyAlignment="1" applyProtection="1">
      <protection hidden="1"/>
    </xf>
    <xf numFmtId="2" fontId="17" fillId="19" borderId="1" xfId="0" applyNumberFormat="1" applyFont="1" applyFill="1" applyBorder="1" applyAlignment="1" applyProtection="1">
      <alignment horizontal="center"/>
      <protection hidden="1"/>
    </xf>
    <xf numFmtId="0" fontId="17" fillId="16" borderId="0" xfId="0" applyFont="1" applyFill="1" applyBorder="1" applyAlignment="1" applyProtection="1">
      <protection hidden="1"/>
    </xf>
    <xf numFmtId="10" fontId="17" fillId="19" borderId="1" xfId="2" applyNumberFormat="1" applyFont="1" applyFill="1" applyBorder="1" applyAlignment="1" applyProtection="1">
      <alignment horizontal="center"/>
      <protection hidden="1"/>
    </xf>
    <xf numFmtId="0" fontId="17" fillId="16" borderId="0" xfId="0" applyFont="1" applyFill="1" applyBorder="1" applyAlignment="1" applyProtection="1">
      <alignment horizontal="center"/>
      <protection hidden="1"/>
    </xf>
    <xf numFmtId="0" fontId="17" fillId="16" borderId="0" xfId="0" applyFont="1" applyFill="1" applyAlignment="1" applyProtection="1">
      <protection hidden="1"/>
    </xf>
    <xf numFmtId="0" fontId="17" fillId="16" borderId="0" xfId="0" applyFont="1" applyFill="1" applyAlignment="1" applyProtection="1">
      <alignment horizontal="center"/>
      <protection hidden="1"/>
    </xf>
    <xf numFmtId="0" fontId="17" fillId="20" borderId="1" xfId="0" applyFont="1" applyFill="1" applyBorder="1" applyAlignment="1" applyProtection="1"/>
    <xf numFmtId="0" fontId="20" fillId="20" borderId="1" xfId="0" applyFont="1" applyFill="1" applyBorder="1" applyAlignment="1" applyProtection="1">
      <alignment horizontal="center"/>
      <protection locked="0"/>
    </xf>
    <xf numFmtId="0" fontId="20" fillId="20" borderId="10" xfId="0" applyFont="1" applyFill="1" applyBorder="1" applyAlignment="1" applyProtection="1">
      <alignment horizontal="center"/>
      <protection locked="0"/>
    </xf>
    <xf numFmtId="0" fontId="20" fillId="20" borderId="1" xfId="0" applyFont="1" applyFill="1" applyBorder="1" applyAlignment="1" applyProtection="1"/>
    <xf numFmtId="168" fontId="20" fillId="20" borderId="1" xfId="0" applyNumberFormat="1" applyFont="1" applyFill="1" applyBorder="1" applyAlignment="1" applyProtection="1">
      <alignment horizontal="center"/>
      <protection locked="0"/>
    </xf>
    <xf numFmtId="168" fontId="20" fillId="20" borderId="10" xfId="0" applyNumberFormat="1" applyFont="1" applyFill="1" applyBorder="1" applyAlignment="1" applyProtection="1">
      <alignment horizontal="center"/>
      <protection locked="0"/>
    </xf>
    <xf numFmtId="0" fontId="17" fillId="0" borderId="1" xfId="0" applyFont="1" applyBorder="1" applyAlignment="1" applyProtection="1"/>
    <xf numFmtId="2" fontId="17" fillId="0" borderId="1" xfId="0" applyNumberFormat="1" applyFont="1" applyBorder="1" applyAlignment="1" applyProtection="1">
      <alignment horizontal="center"/>
      <protection locked="0"/>
    </xf>
    <xf numFmtId="2" fontId="17" fillId="0" borderId="10" xfId="0" applyNumberFormat="1" applyFont="1" applyBorder="1" applyAlignment="1" applyProtection="1">
      <alignment horizontal="center"/>
      <protection locked="0"/>
    </xf>
    <xf numFmtId="2" fontId="17" fillId="16" borderId="0" xfId="0" applyNumberFormat="1" applyFont="1" applyFill="1" applyBorder="1" applyAlignment="1" applyProtection="1">
      <protection locked="0"/>
    </xf>
    <xf numFmtId="2" fontId="17" fillId="19" borderId="10" xfId="0" applyNumberFormat="1" applyFont="1" applyFill="1" applyBorder="1" applyAlignment="1" applyProtection="1">
      <alignment horizontal="center"/>
      <protection hidden="1"/>
    </xf>
    <xf numFmtId="2" fontId="17" fillId="0" borderId="1" xfId="0" applyNumberFormat="1" applyFont="1" applyBorder="1" applyAlignment="1" applyProtection="1">
      <alignment horizontal="center"/>
      <protection hidden="1"/>
    </xf>
    <xf numFmtId="2" fontId="17" fillId="0" borderId="10" xfId="0" applyNumberFormat="1" applyFont="1" applyBorder="1" applyAlignment="1" applyProtection="1">
      <alignment horizontal="center"/>
      <protection hidden="1"/>
    </xf>
    <xf numFmtId="2" fontId="17" fillId="0" borderId="0" xfId="0" applyNumberFormat="1" applyFont="1" applyAlignment="1" applyProtection="1">
      <alignment horizontal="center"/>
    </xf>
    <xf numFmtId="2" fontId="17" fillId="16" borderId="0" xfId="0" applyNumberFormat="1" applyFont="1" applyFill="1" applyBorder="1" applyAlignment="1" applyProtection="1"/>
    <xf numFmtId="168" fontId="20" fillId="20" borderId="1" xfId="0" applyNumberFormat="1" applyFont="1" applyFill="1" applyBorder="1" applyAlignment="1" applyProtection="1">
      <alignment horizontal="center"/>
    </xf>
    <xf numFmtId="168" fontId="20" fillId="20" borderId="10" xfId="0" applyNumberFormat="1" applyFont="1" applyFill="1" applyBorder="1" applyAlignment="1" applyProtection="1">
      <alignment horizontal="center"/>
    </xf>
    <xf numFmtId="0" fontId="17" fillId="0" borderId="9" xfId="0" applyFont="1" applyBorder="1" applyAlignment="1" applyProtection="1">
      <protection locked="0"/>
    </xf>
    <xf numFmtId="0" fontId="17" fillId="0" borderId="1" xfId="0" applyFont="1" applyBorder="1" applyAlignment="1" applyProtection="1">
      <protection locked="0"/>
    </xf>
    <xf numFmtId="0" fontId="17" fillId="0" borderId="0" xfId="0" applyFont="1" applyBorder="1" applyAlignment="1" applyProtection="1">
      <protection locked="0"/>
    </xf>
    <xf numFmtId="0" fontId="17" fillId="20" borderId="1" xfId="0" applyFont="1" applyFill="1" applyBorder="1" applyAlignment="1" applyProtection="1">
      <alignment horizontal="center"/>
      <protection locked="0"/>
    </xf>
    <xf numFmtId="0" fontId="17" fillId="20" borderId="10" xfId="0" applyFont="1" applyFill="1" applyBorder="1" applyAlignment="1" applyProtection="1">
      <alignment horizontal="center"/>
      <protection locked="0"/>
    </xf>
    <xf numFmtId="0" fontId="17" fillId="0" borderId="1" xfId="0" applyFont="1" applyBorder="1" applyAlignment="1" applyProtection="1">
      <alignment horizontal="right"/>
    </xf>
    <xf numFmtId="0" fontId="20" fillId="20" borderId="1" xfId="0" applyFont="1" applyFill="1" applyBorder="1" applyAlignment="1" applyProtection="1">
      <protection hidden="1"/>
    </xf>
    <xf numFmtId="168" fontId="20" fillId="20" borderId="1" xfId="0" applyNumberFormat="1" applyFont="1" applyFill="1" applyBorder="1" applyAlignment="1" applyProtection="1">
      <alignment horizontal="center"/>
      <protection hidden="1"/>
    </xf>
    <xf numFmtId="168" fontId="20" fillId="20" borderId="10" xfId="0" applyNumberFormat="1" applyFont="1" applyFill="1" applyBorder="1" applyAlignment="1" applyProtection="1">
      <alignment horizontal="center"/>
      <protection hidden="1"/>
    </xf>
    <xf numFmtId="0" fontId="17" fillId="20" borderId="1" xfId="0" applyFont="1" applyFill="1" applyBorder="1" applyAlignment="1" applyProtection="1">
      <protection hidden="1"/>
    </xf>
    <xf numFmtId="9" fontId="17" fillId="19" borderId="1" xfId="2" applyFont="1" applyFill="1" applyBorder="1" applyAlignment="1" applyProtection="1">
      <alignment horizontal="center"/>
      <protection hidden="1"/>
    </xf>
    <xf numFmtId="9" fontId="17" fillId="19" borderId="10" xfId="2" applyFont="1" applyFill="1" applyBorder="1" applyAlignment="1" applyProtection="1">
      <alignment horizontal="center"/>
      <protection hidden="1"/>
    </xf>
    <xf numFmtId="10" fontId="17" fillId="19" borderId="10" xfId="2" applyNumberFormat="1" applyFont="1" applyFill="1" applyBorder="1" applyAlignment="1" applyProtection="1">
      <alignment horizontal="center"/>
      <protection hidden="1"/>
    </xf>
    <xf numFmtId="2" fontId="17" fillId="16" borderId="0" xfId="0" applyNumberFormat="1" applyFont="1" applyFill="1" applyAlignment="1" applyProtection="1">
      <alignment horizontal="center"/>
      <protection hidden="1"/>
    </xf>
    <xf numFmtId="2" fontId="17" fillId="16" borderId="1" xfId="0" applyNumberFormat="1" applyFont="1" applyFill="1" applyBorder="1" applyAlignment="1" applyProtection="1">
      <alignment horizontal="center"/>
      <protection hidden="1"/>
    </xf>
    <xf numFmtId="0" fontId="20" fillId="16" borderId="1" xfId="0" applyFont="1" applyFill="1" applyBorder="1" applyAlignment="1" applyProtection="1">
      <protection hidden="1"/>
    </xf>
    <xf numFmtId="0" fontId="20" fillId="0" borderId="1" xfId="0" applyFont="1" applyBorder="1" applyAlignment="1" applyProtection="1">
      <protection hidden="1"/>
    </xf>
    <xf numFmtId="0" fontId="17" fillId="0" borderId="1" xfId="0" applyFont="1" applyBorder="1" applyAlignment="1" applyProtection="1">
      <protection hidden="1"/>
    </xf>
    <xf numFmtId="169" fontId="17" fillId="0" borderId="1" xfId="0" applyNumberFormat="1" applyFont="1" applyBorder="1" applyAlignment="1" applyProtection="1">
      <alignment horizontal="center"/>
      <protection hidden="1"/>
    </xf>
    <xf numFmtId="169" fontId="17" fillId="0" borderId="10" xfId="0" applyNumberFormat="1" applyFont="1" applyBorder="1" applyAlignment="1" applyProtection="1">
      <alignment horizontal="center"/>
      <protection hidden="1"/>
    </xf>
    <xf numFmtId="0" fontId="20" fillId="22" borderId="1" xfId="0" applyFont="1" applyFill="1" applyBorder="1" applyAlignment="1" applyProtection="1">
      <protection hidden="1"/>
    </xf>
    <xf numFmtId="2" fontId="20" fillId="11" borderId="1" xfId="0" applyNumberFormat="1" applyFont="1" applyFill="1" applyBorder="1" applyAlignment="1" applyProtection="1">
      <alignment horizontal="center"/>
      <protection hidden="1"/>
    </xf>
    <xf numFmtId="169" fontId="20" fillId="11" borderId="1" xfId="0" applyNumberFormat="1" applyFont="1" applyFill="1" applyBorder="1" applyAlignment="1" applyProtection="1">
      <alignment horizontal="center"/>
      <protection hidden="1"/>
    </xf>
    <xf numFmtId="169" fontId="20" fillId="11" borderId="10" xfId="0" applyNumberFormat="1" applyFont="1" applyFill="1" applyBorder="1" applyAlignment="1" applyProtection="1">
      <alignment horizontal="center"/>
      <protection hidden="1"/>
    </xf>
    <xf numFmtId="0" fontId="20" fillId="11" borderId="1" xfId="0" applyFont="1" applyFill="1" applyBorder="1" applyAlignment="1" applyProtection="1">
      <protection hidden="1"/>
    </xf>
    <xf numFmtId="2" fontId="17" fillId="11" borderId="1" xfId="0" applyNumberFormat="1" applyFont="1" applyFill="1" applyBorder="1" applyAlignment="1" applyProtection="1">
      <alignment horizontal="center"/>
      <protection hidden="1"/>
    </xf>
    <xf numFmtId="169" fontId="17" fillId="11" borderId="1" xfId="0" applyNumberFormat="1" applyFont="1" applyFill="1" applyBorder="1" applyAlignment="1" applyProtection="1">
      <alignment horizontal="center"/>
      <protection hidden="1"/>
    </xf>
    <xf numFmtId="169" fontId="17" fillId="11" borderId="10" xfId="0" applyNumberFormat="1" applyFont="1" applyFill="1" applyBorder="1" applyAlignment="1" applyProtection="1">
      <alignment horizontal="center"/>
      <protection hidden="1"/>
    </xf>
    <xf numFmtId="0" fontId="0" fillId="0" borderId="0" xfId="0" applyAlignment="1" applyProtection="1">
      <alignment horizontal="center"/>
    </xf>
    <xf numFmtId="0" fontId="0" fillId="0" borderId="0" xfId="0" applyProtection="1">
      <alignment vertical="center"/>
    </xf>
    <xf numFmtId="0" fontId="9" fillId="0" borderId="0" xfId="0" applyFont="1" applyProtection="1">
      <alignment vertical="center"/>
    </xf>
    <xf numFmtId="0" fontId="4" fillId="7" borderId="1" xfId="0" applyFont="1" applyFill="1" applyBorder="1" applyAlignment="1" applyProtection="1">
      <alignment horizontal="center"/>
    </xf>
    <xf numFmtId="0" fontId="0" fillId="15" borderId="1" xfId="0" applyFill="1" applyBorder="1" applyAlignment="1" applyProtection="1">
      <alignment horizontal="center"/>
    </xf>
    <xf numFmtId="0" fontId="1" fillId="6" borderId="1" xfId="0" applyFont="1" applyFill="1" applyBorder="1" applyAlignment="1" applyProtection="1">
      <alignment horizontal="center"/>
    </xf>
    <xf numFmtId="0" fontId="1" fillId="6" borderId="10" xfId="0" applyFont="1" applyFill="1" applyBorder="1" applyAlignment="1" applyProtection="1">
      <alignment horizontal="center"/>
    </xf>
    <xf numFmtId="1" fontId="0" fillId="16" borderId="1" xfId="0" applyNumberFormat="1" applyFill="1" applyBorder="1" applyAlignment="1" applyProtection="1">
      <alignment horizontal="center"/>
      <protection locked="0"/>
    </xf>
    <xf numFmtId="0" fontId="0" fillId="24" borderId="0" xfId="0" applyFill="1" applyProtection="1">
      <alignment vertical="center"/>
    </xf>
    <xf numFmtId="0" fontId="4" fillId="15" borderId="1" xfId="0" applyFont="1" applyFill="1" applyBorder="1" applyAlignment="1" applyProtection="1">
      <alignment horizontal="center"/>
    </xf>
    <xf numFmtId="0" fontId="4" fillId="15" borderId="1" xfId="0" applyFont="1" applyFill="1" applyBorder="1" applyProtection="1">
      <alignment vertical="center"/>
    </xf>
    <xf numFmtId="0" fontId="0" fillId="0" borderId="1" xfId="0" applyBorder="1" applyAlignment="1" applyProtection="1">
      <alignment horizontal="center"/>
      <protection locked="0"/>
    </xf>
    <xf numFmtId="0" fontId="1" fillId="16" borderId="1" xfId="0" applyFont="1" applyFill="1" applyBorder="1" applyProtection="1">
      <alignment vertical="center"/>
    </xf>
    <xf numFmtId="0" fontId="0" fillId="0" borderId="1" xfId="0" applyFont="1" applyBorder="1" applyProtection="1">
      <alignment vertical="center"/>
      <protection locked="0"/>
    </xf>
    <xf numFmtId="0" fontId="1" fillId="0" borderId="1" xfId="0" applyFont="1" applyBorder="1" applyAlignment="1" applyProtection="1">
      <alignment horizontal="center"/>
      <protection locked="0"/>
    </xf>
    <xf numFmtId="0" fontId="1" fillId="0" borderId="0" xfId="0" applyFont="1" applyProtection="1">
      <alignment vertical="center"/>
      <protection locked="0"/>
    </xf>
    <xf numFmtId="0" fontId="1" fillId="0" borderId="15" xfId="0" applyFont="1" applyBorder="1" applyAlignment="1" applyProtection="1">
      <alignment horizontal="center"/>
      <protection locked="0"/>
    </xf>
    <xf numFmtId="0" fontId="1" fillId="0" borderId="9" xfId="0" applyFont="1" applyBorder="1" applyAlignment="1" applyProtection="1">
      <alignment horizontal="center"/>
      <protection locked="0"/>
    </xf>
    <xf numFmtId="0" fontId="0" fillId="16" borderId="1" xfId="0" applyFill="1" applyBorder="1" applyAlignment="1" applyProtection="1">
      <alignment horizontal="center"/>
      <protection locked="0"/>
    </xf>
    <xf numFmtId="0" fontId="1" fillId="16" borderId="1" xfId="0" applyFont="1" applyFill="1" applyBorder="1" applyProtection="1">
      <alignment vertical="center"/>
      <protection locked="0"/>
    </xf>
    <xf numFmtId="0" fontId="0" fillId="16" borderId="1" xfId="0" applyFont="1" applyFill="1" applyBorder="1" applyProtection="1">
      <alignment vertical="center"/>
      <protection locked="0"/>
    </xf>
    <xf numFmtId="0" fontId="0" fillId="16" borderId="0" xfId="0" applyFill="1" applyProtection="1">
      <alignment vertical="center"/>
    </xf>
    <xf numFmtId="0" fontId="9" fillId="16" borderId="0" xfId="0" applyFont="1" applyFill="1" applyProtection="1">
      <alignment vertical="center"/>
    </xf>
    <xf numFmtId="0" fontId="0" fillId="16" borderId="0" xfId="0" applyFill="1" applyBorder="1" applyAlignment="1" applyProtection="1">
      <alignment horizontal="center"/>
      <protection locked="0"/>
    </xf>
    <xf numFmtId="0" fontId="1" fillId="16" borderId="0" xfId="0" applyFont="1" applyFill="1" applyBorder="1" applyProtection="1">
      <alignment vertical="center"/>
      <protection locked="0"/>
    </xf>
    <xf numFmtId="0" fontId="0" fillId="16" borderId="0" xfId="0" applyFill="1" applyBorder="1" applyProtection="1">
      <alignment vertical="center"/>
      <protection locked="0"/>
    </xf>
    <xf numFmtId="0" fontId="0" fillId="0" borderId="0" xfId="0" applyBorder="1" applyAlignment="1" applyProtection="1">
      <alignment horizontal="center"/>
      <protection locked="0"/>
    </xf>
    <xf numFmtId="0" fontId="4" fillId="24" borderId="0" xfId="0" applyFont="1" applyFill="1" applyAlignment="1" applyProtection="1">
      <protection locked="0"/>
    </xf>
    <xf numFmtId="0" fontId="0" fillId="24" borderId="0" xfId="0" applyFill="1" applyProtection="1">
      <alignment vertical="center"/>
      <protection locked="0"/>
    </xf>
    <xf numFmtId="0" fontId="1" fillId="0" borderId="1" xfId="0" applyFont="1" applyBorder="1" applyProtection="1">
      <alignment vertical="center"/>
      <protection locked="0"/>
    </xf>
    <xf numFmtId="0" fontId="0" fillId="0" borderId="1" xfId="0" applyBorder="1" applyProtection="1">
      <alignment vertical="center"/>
      <protection locked="0"/>
    </xf>
    <xf numFmtId="0" fontId="4" fillId="15" borderId="1" xfId="0" applyFont="1" applyFill="1" applyBorder="1" applyAlignment="1" applyProtection="1">
      <alignment horizontal="center" vertical="center"/>
      <protection locked="0"/>
    </xf>
    <xf numFmtId="0" fontId="4" fillId="15" borderId="1" xfId="0" applyFont="1" applyFill="1" applyBorder="1" applyAlignment="1" applyProtection="1">
      <alignment horizontal="left" vertical="center"/>
      <protection locked="0"/>
    </xf>
    <xf numFmtId="0" fontId="0" fillId="0" borderId="1" xfId="0" applyBorder="1" applyAlignment="1" applyProtection="1">
      <alignment horizontal="center" vertical="center"/>
      <protection locked="0"/>
    </xf>
    <xf numFmtId="0" fontId="1" fillId="16" borderId="1" xfId="0" applyFont="1" applyFill="1" applyBorder="1" applyAlignment="1" applyProtection="1">
      <alignment vertical="center" wrapText="1"/>
    </xf>
    <xf numFmtId="0" fontId="0" fillId="0" borderId="0" xfId="0" applyProtection="1">
      <alignment vertical="center"/>
      <protection locked="0"/>
    </xf>
    <xf numFmtId="0" fontId="9" fillId="0" borderId="0" xfId="0" applyFont="1" applyProtection="1">
      <alignment vertical="center"/>
      <protection locked="0"/>
    </xf>
    <xf numFmtId="0" fontId="0" fillId="24" borderId="0" xfId="0" applyFill="1" applyBorder="1" applyProtection="1">
      <alignment vertical="center"/>
      <protection locked="0"/>
    </xf>
    <xf numFmtId="0" fontId="4" fillId="15" borderId="1" xfId="0" applyFont="1" applyFill="1" applyBorder="1" applyAlignment="1" applyProtection="1">
      <alignment horizontal="center"/>
      <protection locked="0"/>
    </xf>
    <xf numFmtId="0" fontId="4" fillId="15" borderId="1" xfId="0" applyFont="1" applyFill="1" applyBorder="1" applyProtection="1">
      <alignment vertical="center"/>
      <protection locked="0"/>
    </xf>
    <xf numFmtId="0" fontId="4" fillId="0" borderId="1" xfId="0" applyFont="1" applyBorder="1" applyProtection="1">
      <alignment vertical="center"/>
      <protection locked="0"/>
    </xf>
    <xf numFmtId="0" fontId="22" fillId="0" borderId="0" xfId="0" applyFont="1" applyProtection="1">
      <alignment vertical="center"/>
    </xf>
    <xf numFmtId="0" fontId="0" fillId="24" borderId="0" xfId="0" applyFill="1" applyAlignment="1" applyProtection="1">
      <alignment horizontal="center" vertical="center"/>
      <protection locked="0"/>
    </xf>
    <xf numFmtId="0" fontId="4" fillId="15" borderId="1" xfId="0" applyFont="1" applyFill="1" applyBorder="1" applyAlignment="1" applyProtection="1">
      <alignment horizontal="center" wrapText="1"/>
      <protection locked="0"/>
    </xf>
    <xf numFmtId="0" fontId="1" fillId="0" borderId="1" xfId="0" applyFont="1" applyBorder="1" applyAlignment="1" applyProtection="1">
      <alignment vertical="center" wrapText="1"/>
      <protection locked="0"/>
    </xf>
    <xf numFmtId="0" fontId="1" fillId="0" borderId="1" xfId="0" applyFont="1" applyBorder="1" applyAlignment="1" applyProtection="1">
      <alignment horizontal="center" vertical="center" wrapText="1"/>
    </xf>
    <xf numFmtId="0" fontId="1" fillId="0" borderId="1" xfId="0" applyFont="1" applyBorder="1" applyAlignment="1" applyProtection="1">
      <alignment horizontal="center" vertical="center" wrapText="1"/>
      <protection locked="0"/>
    </xf>
    <xf numFmtId="0" fontId="1" fillId="0" borderId="0" xfId="0" applyFont="1" applyBorder="1" applyAlignment="1" applyProtection="1">
      <alignment vertical="center" wrapText="1"/>
    </xf>
    <xf numFmtId="0" fontId="1" fillId="0" borderId="0" xfId="0" applyFont="1" applyBorder="1" applyAlignment="1" applyProtection="1">
      <alignment horizontal="center" vertical="center" wrapText="1"/>
      <protection locked="0"/>
    </xf>
    <xf numFmtId="0" fontId="1" fillId="0" borderId="0" xfId="0" applyFont="1" applyBorder="1" applyAlignment="1" applyProtection="1">
      <alignment horizontal="center" wrapText="1"/>
      <protection locked="0"/>
    </xf>
    <xf numFmtId="0" fontId="22" fillId="0" borderId="0" xfId="0" applyFont="1" applyBorder="1" applyAlignment="1" applyProtection="1">
      <alignment horizontal="center"/>
      <protection locked="0"/>
    </xf>
    <xf numFmtId="0" fontId="23" fillId="0" borderId="0" xfId="0" applyFont="1" applyProtection="1">
      <alignment vertical="center"/>
      <protection locked="0"/>
    </xf>
    <xf numFmtId="0" fontId="23" fillId="0" borderId="0" xfId="0" applyFont="1" applyBorder="1" applyAlignment="1" applyProtection="1">
      <alignment vertical="center" wrapText="1"/>
    </xf>
    <xf numFmtId="0" fontId="23" fillId="0" borderId="0" xfId="0" applyFont="1" applyBorder="1" applyAlignment="1" applyProtection="1">
      <alignment horizontal="center" vertical="center" wrapText="1"/>
      <protection locked="0"/>
    </xf>
    <xf numFmtId="0" fontId="22" fillId="0" borderId="0" xfId="0" applyFont="1" applyBorder="1" applyAlignment="1" applyProtection="1">
      <alignment horizontal="center" wrapText="1"/>
      <protection locked="0"/>
    </xf>
    <xf numFmtId="0" fontId="22" fillId="0" borderId="0" xfId="0" applyFont="1" applyProtection="1">
      <alignment vertical="center"/>
      <protection locked="0"/>
    </xf>
    <xf numFmtId="0" fontId="24" fillId="0" borderId="0" xfId="0" applyFont="1" applyProtection="1">
      <alignment vertical="center"/>
      <protection locked="0"/>
    </xf>
    <xf numFmtId="0" fontId="24" fillId="0" borderId="0" xfId="0" applyFont="1" applyBorder="1" applyAlignment="1" applyProtection="1">
      <alignment vertical="center" wrapText="1"/>
    </xf>
    <xf numFmtId="0" fontId="24" fillId="0" borderId="0" xfId="0" applyFont="1" applyBorder="1" applyAlignment="1" applyProtection="1">
      <alignment horizontal="center" vertical="center" wrapText="1"/>
      <protection locked="0"/>
    </xf>
    <xf numFmtId="0" fontId="4" fillId="24" borderId="0" xfId="0" applyFont="1" applyFill="1" applyAlignment="1" applyProtection="1">
      <alignment horizontal="left"/>
      <protection locked="0"/>
    </xf>
    <xf numFmtId="0" fontId="4" fillId="25" borderId="1" xfId="0" applyFont="1" applyFill="1" applyBorder="1" applyAlignment="1" applyProtection="1">
      <alignment horizontal="center"/>
      <protection locked="0"/>
    </xf>
    <xf numFmtId="0" fontId="1" fillId="25" borderId="1" xfId="0" applyFont="1" applyFill="1" applyBorder="1" applyAlignment="1" applyProtection="1">
      <alignment horizontal="center" wrapText="1"/>
      <protection locked="0"/>
    </xf>
    <xf numFmtId="0" fontId="0" fillId="16" borderId="0" xfId="0" applyFill="1" applyAlignment="1" applyProtection="1"/>
    <xf numFmtId="0" fontId="0" fillId="16" borderId="0" xfId="0" applyFill="1" applyAlignment="1" applyProtection="1">
      <alignment horizontal="center" vertical="top" wrapText="1"/>
    </xf>
    <xf numFmtId="0" fontId="0" fillId="20" borderId="1" xfId="0" applyFont="1" applyFill="1" applyBorder="1" applyAlignment="1" applyProtection="1"/>
    <xf numFmtId="1" fontId="0" fillId="19" borderId="1" xfId="0" applyNumberFormat="1" applyFill="1" applyBorder="1" applyAlignment="1" applyProtection="1">
      <alignment horizontal="center" vertical="top" wrapText="1"/>
    </xf>
    <xf numFmtId="0" fontId="4" fillId="20" borderId="10" xfId="0" applyFont="1" applyFill="1" applyBorder="1" applyAlignment="1" applyProtection="1">
      <alignment horizontal="center"/>
    </xf>
    <xf numFmtId="0" fontId="4" fillId="20" borderId="1" xfId="0" applyFont="1" applyFill="1" applyBorder="1" applyAlignment="1" applyProtection="1"/>
    <xf numFmtId="10" fontId="0" fillId="19" borderId="1" xfId="0" applyNumberFormat="1" applyFont="1" applyFill="1" applyBorder="1" applyAlignment="1" applyProtection="1">
      <alignment horizontal="center" vertical="top" wrapText="1"/>
    </xf>
    <xf numFmtId="0" fontId="0" fillId="0" borderId="0" xfId="0" applyAlignment="1" applyProtection="1"/>
    <xf numFmtId="0" fontId="0" fillId="19" borderId="10" xfId="0" applyFill="1" applyBorder="1" applyAlignment="1" applyProtection="1">
      <alignment horizontal="center" vertical="top" wrapText="1"/>
    </xf>
    <xf numFmtId="0" fontId="0" fillId="16" borderId="1" xfId="0" applyFont="1" applyFill="1" applyBorder="1" applyAlignment="1" applyProtection="1">
      <alignment horizontal="center"/>
      <protection locked="0"/>
    </xf>
    <xf numFmtId="0" fontId="0" fillId="19" borderId="1" xfId="0" applyFill="1" applyBorder="1" applyAlignment="1" applyProtection="1">
      <alignment horizontal="center" vertical="top" wrapText="1"/>
    </xf>
    <xf numFmtId="10" fontId="0" fillId="19" borderId="2" xfId="0" applyNumberFormat="1" applyFont="1" applyFill="1" applyBorder="1" applyAlignment="1" applyProtection="1">
      <alignment horizontal="center" vertical="top" wrapText="1"/>
    </xf>
    <xf numFmtId="0" fontId="0" fillId="19" borderId="8" xfId="0" applyFill="1" applyBorder="1" applyAlignment="1" applyProtection="1">
      <alignment horizontal="center" vertical="top" wrapText="1"/>
    </xf>
    <xf numFmtId="0" fontId="0" fillId="16" borderId="2" xfId="0" applyFont="1" applyFill="1" applyBorder="1" applyAlignment="1" applyProtection="1">
      <alignment horizontal="center"/>
      <protection locked="0"/>
    </xf>
    <xf numFmtId="0" fontId="1" fillId="16" borderId="1" xfId="0" applyFont="1" applyFill="1" applyBorder="1" applyAlignment="1" applyProtection="1"/>
    <xf numFmtId="0" fontId="0" fillId="16" borderId="1" xfId="0" applyFill="1" applyBorder="1" applyAlignment="1" applyProtection="1"/>
    <xf numFmtId="0" fontId="4" fillId="20" borderId="1" xfId="0" applyFont="1" applyFill="1" applyBorder="1" applyAlignment="1" applyProtection="1">
      <alignment horizontal="center" vertical="top" wrapText="1"/>
    </xf>
    <xf numFmtId="0" fontId="9" fillId="16" borderId="0" xfId="0" applyFont="1" applyFill="1" applyBorder="1" applyAlignment="1" applyProtection="1"/>
    <xf numFmtId="0" fontId="9" fillId="16" borderId="0" xfId="0" applyFont="1" applyFill="1" applyBorder="1" applyAlignment="1" applyProtection="1">
      <alignment horizontal="center"/>
    </xf>
    <xf numFmtId="1" fontId="8" fillId="19" borderId="1" xfId="0" applyNumberFormat="1" applyFont="1" applyFill="1" applyBorder="1" applyAlignment="1" applyProtection="1">
      <alignment horizontal="center" vertical="top" wrapText="1"/>
    </xf>
    <xf numFmtId="1" fontId="8" fillId="19" borderId="1" xfId="0" applyNumberFormat="1" applyFont="1" applyFill="1" applyBorder="1" applyAlignment="1" applyProtection="1">
      <alignment horizontal="center"/>
    </xf>
    <xf numFmtId="0" fontId="1" fillId="20" borderId="1" xfId="0" applyFont="1" applyFill="1" applyBorder="1" applyAlignment="1" applyProtection="1"/>
    <xf numFmtId="10" fontId="0" fillId="19" borderId="1" xfId="0" applyNumberFormat="1" applyFill="1" applyBorder="1" applyAlignment="1" applyProtection="1">
      <alignment horizontal="center"/>
    </xf>
    <xf numFmtId="10" fontId="9" fillId="0" borderId="0" xfId="2" applyNumberFormat="1" applyFont="1" applyBorder="1" applyAlignment="1" applyProtection="1">
      <alignment horizontal="center" vertical="center"/>
    </xf>
    <xf numFmtId="10" fontId="0" fillId="16" borderId="1" xfId="0" applyNumberFormat="1" applyFill="1" applyBorder="1" applyAlignment="1" applyProtection="1">
      <alignment horizontal="center"/>
      <protection locked="0"/>
    </xf>
    <xf numFmtId="2" fontId="0" fillId="19" borderId="1" xfId="0" applyNumberFormat="1" applyFill="1" applyBorder="1" applyAlignment="1" applyProtection="1">
      <alignment horizontal="center" vertical="top" wrapText="1"/>
    </xf>
    <xf numFmtId="2" fontId="0" fillId="19" borderId="1" xfId="0" applyNumberFormat="1" applyFill="1" applyBorder="1" applyAlignment="1" applyProtection="1">
      <alignment horizontal="center"/>
    </xf>
    <xf numFmtId="3" fontId="9" fillId="16" borderId="0" xfId="0" applyNumberFormat="1" applyFont="1" applyFill="1" applyBorder="1" applyAlignment="1" applyProtection="1">
      <alignment horizontal="center"/>
    </xf>
    <xf numFmtId="165" fontId="9" fillId="16" borderId="0" xfId="0" applyNumberFormat="1" applyFont="1" applyFill="1" applyBorder="1" applyAlignment="1" applyProtection="1">
      <alignment horizontal="center"/>
    </xf>
    <xf numFmtId="2" fontId="0" fillId="16" borderId="0" xfId="0" applyNumberFormat="1" applyFill="1" applyAlignment="1" applyProtection="1"/>
    <xf numFmtId="170" fontId="9" fillId="0" borderId="0" xfId="2" applyNumberFormat="1" applyFont="1" applyBorder="1" applyAlignment="1" applyProtection="1">
      <alignment horizontal="center" vertical="center"/>
    </xf>
    <xf numFmtId="0" fontId="9" fillId="16" borderId="0" xfId="0" applyFont="1" applyFill="1" applyAlignment="1" applyProtection="1">
      <alignment horizontal="center"/>
    </xf>
    <xf numFmtId="0" fontId="0" fillId="16" borderId="0" xfId="0" applyFill="1" applyAlignment="1" applyProtection="1">
      <alignment horizontal="center"/>
    </xf>
    <xf numFmtId="2" fontId="0" fillId="19" borderId="1" xfId="0" applyNumberFormat="1" applyFill="1" applyBorder="1" applyAlignment="1" applyProtection="1">
      <alignment horizontal="center" vertical="top" wrapText="1"/>
      <protection locked="0"/>
    </xf>
    <xf numFmtId="0" fontId="0" fillId="20" borderId="0" xfId="0" applyFill="1" applyBorder="1" applyAlignment="1" applyProtection="1"/>
    <xf numFmtId="2" fontId="0" fillId="19" borderId="0" xfId="0" applyNumberFormat="1" applyFill="1" applyBorder="1" applyAlignment="1" applyProtection="1">
      <alignment horizontal="center" vertical="top" wrapText="1"/>
    </xf>
    <xf numFmtId="2" fontId="0" fillId="19" borderId="0" xfId="0" applyNumberFormat="1" applyFill="1" applyBorder="1" applyAlignment="1" applyProtection="1">
      <alignment horizontal="center"/>
    </xf>
    <xf numFmtId="0" fontId="0" fillId="0" borderId="1" xfId="0" applyBorder="1" applyAlignment="1" applyProtection="1">
      <alignment horizontal="center" vertical="top" wrapText="1"/>
    </xf>
    <xf numFmtId="0" fontId="0" fillId="0" borderId="1" xfId="0" applyBorder="1" applyAlignment="1" applyProtection="1"/>
    <xf numFmtId="0" fontId="25" fillId="17" borderId="1" xfId="0" applyFont="1" applyFill="1" applyBorder="1" applyAlignment="1" applyProtection="1"/>
    <xf numFmtId="2" fontId="25" fillId="17" borderId="1" xfId="0" applyNumberFormat="1" applyFont="1" applyFill="1" applyBorder="1" applyAlignment="1" applyProtection="1">
      <alignment horizontal="center" vertical="top" wrapText="1"/>
    </xf>
    <xf numFmtId="0" fontId="0" fillId="16" borderId="0" xfId="0" applyFont="1" applyFill="1" applyAlignment="1" applyProtection="1">
      <alignment vertical="center"/>
    </xf>
    <xf numFmtId="0" fontId="0" fillId="16" borderId="0" xfId="0" applyFill="1" applyAlignment="1" applyProtection="1">
      <alignment horizontal="center" vertical="center" wrapText="1"/>
    </xf>
    <xf numFmtId="0" fontId="26" fillId="9" borderId="0" xfId="0" applyFont="1" applyFill="1" applyAlignment="1" applyProtection="1">
      <alignment horizontal="center" vertical="center" wrapText="1"/>
    </xf>
    <xf numFmtId="0" fontId="17" fillId="0" borderId="0" xfId="0" applyFont="1" applyAlignment="1" applyProtection="1">
      <alignment horizontal="center"/>
      <protection locked="0"/>
    </xf>
    <xf numFmtId="0" fontId="17" fillId="16" borderId="0" xfId="0" applyFont="1" applyFill="1" applyAlignment="1" applyProtection="1">
      <alignment horizontal="center"/>
      <protection locked="0"/>
    </xf>
    <xf numFmtId="0" fontId="27" fillId="17" borderId="0" xfId="0" applyFont="1" applyFill="1" applyAlignment="1" applyProtection="1">
      <alignment horizontal="left"/>
    </xf>
    <xf numFmtId="0" fontId="18" fillId="17" borderId="0" xfId="0" applyFont="1" applyFill="1" applyAlignment="1" applyProtection="1">
      <alignment horizontal="center"/>
    </xf>
    <xf numFmtId="0" fontId="17" fillId="16" borderId="0" xfId="0" applyFont="1" applyFill="1" applyAlignment="1" applyProtection="1"/>
    <xf numFmtId="0" fontId="17" fillId="0" borderId="0" xfId="0" applyFont="1" applyAlignment="1" applyProtection="1">
      <alignment vertical="center"/>
    </xf>
    <xf numFmtId="0" fontId="20" fillId="20" borderId="0" xfId="0" applyFont="1" applyFill="1" applyAlignment="1" applyProtection="1">
      <alignment vertical="center"/>
    </xf>
    <xf numFmtId="0" fontId="20" fillId="20" borderId="0" xfId="0" applyFont="1" applyFill="1" applyAlignment="1" applyProtection="1">
      <alignment vertical="center" wrapText="1"/>
    </xf>
    <xf numFmtId="0" fontId="20" fillId="20" borderId="0" xfId="0" applyFont="1" applyFill="1" applyAlignment="1" applyProtection="1">
      <alignment horizontal="center" vertical="center"/>
    </xf>
    <xf numFmtId="0" fontId="20" fillId="20" borderId="0" xfId="0" applyFont="1" applyFill="1" applyAlignment="1" applyProtection="1">
      <alignment horizontal="center" vertical="center" wrapText="1"/>
    </xf>
    <xf numFmtId="0" fontId="17" fillId="16" borderId="0" xfId="0" applyFont="1" applyFill="1" applyAlignment="1" applyProtection="1">
      <alignment vertical="center"/>
    </xf>
    <xf numFmtId="0" fontId="17" fillId="19" borderId="1" xfId="0" applyFont="1" applyFill="1" applyBorder="1" applyAlignment="1" applyProtection="1">
      <alignment horizontal="center"/>
      <protection locked="0"/>
    </xf>
    <xf numFmtId="0" fontId="17" fillId="19" borderId="1" xfId="0" applyFont="1" applyFill="1" applyBorder="1" applyAlignment="1" applyProtection="1">
      <alignment horizontal="center"/>
    </xf>
    <xf numFmtId="0" fontId="17" fillId="19" borderId="1" xfId="0" applyFont="1" applyFill="1" applyBorder="1" applyAlignment="1" applyProtection="1">
      <alignment horizontal="left"/>
    </xf>
    <xf numFmtId="9" fontId="17" fillId="19" borderId="1" xfId="2" applyFont="1" applyFill="1" applyBorder="1" applyAlignment="1" applyProtection="1">
      <alignment horizontal="center"/>
    </xf>
    <xf numFmtId="2" fontId="17" fillId="19" borderId="1" xfId="0" applyNumberFormat="1" applyFont="1" applyFill="1" applyBorder="1" applyAlignment="1" applyProtection="1">
      <alignment horizontal="center"/>
    </xf>
    <xf numFmtId="10" fontId="17" fillId="19" borderId="1" xfId="2" applyNumberFormat="1" applyFont="1" applyFill="1" applyBorder="1" applyAlignment="1" applyProtection="1">
      <alignment horizontal="center"/>
    </xf>
    <xf numFmtId="2" fontId="20" fillId="19" borderId="1" xfId="0" applyNumberFormat="1" applyFont="1" applyFill="1" applyBorder="1" applyAlignment="1" applyProtection="1">
      <alignment horizontal="center"/>
    </xf>
    <xf numFmtId="0" fontId="17" fillId="16" borderId="0" xfId="0" applyFont="1" applyFill="1" applyAlignment="1" applyProtection="1">
      <alignment horizontal="center"/>
    </xf>
    <xf numFmtId="0" fontId="17" fillId="26" borderId="0" xfId="0" applyFont="1" applyFill="1" applyAlignment="1" applyProtection="1">
      <alignment horizontal="left"/>
    </xf>
    <xf numFmtId="0" fontId="17" fillId="26" borderId="0" xfId="0" applyFont="1" applyFill="1" applyAlignment="1" applyProtection="1">
      <alignment horizontal="center"/>
    </xf>
    <xf numFmtId="171" fontId="17" fillId="26" borderId="0" xfId="2" applyNumberFormat="1" applyFont="1" applyFill="1" applyBorder="1" applyAlignment="1" applyProtection="1">
      <alignment horizontal="center"/>
    </xf>
    <xf numFmtId="0" fontId="20" fillId="10" borderId="0" xfId="0" applyFont="1" applyFill="1" applyAlignment="1" applyProtection="1">
      <alignment horizontal="center" vertical="center" wrapText="1"/>
    </xf>
    <xf numFmtId="9" fontId="20" fillId="10" borderId="0" xfId="2" applyFont="1" applyFill="1" applyBorder="1" applyAlignment="1" applyProtection="1">
      <alignment vertical="center"/>
    </xf>
    <xf numFmtId="0" fontId="17" fillId="10" borderId="0" xfId="0" applyFont="1" applyFill="1" applyAlignment="1" applyProtection="1">
      <alignment horizontal="center" vertical="center" wrapText="1"/>
    </xf>
    <xf numFmtId="9" fontId="17" fillId="10" borderId="0" xfId="0" applyNumberFormat="1" applyFont="1" applyFill="1" applyAlignment="1" applyProtection="1">
      <alignment horizontal="center" vertical="center"/>
    </xf>
    <xf numFmtId="0" fontId="17" fillId="10" borderId="0" xfId="0" applyFont="1" applyFill="1" applyAlignment="1" applyProtection="1">
      <alignment horizontal="center" vertical="center"/>
    </xf>
    <xf numFmtId="0" fontId="24" fillId="16" borderId="3" xfId="0" applyFont="1" applyFill="1" applyBorder="1" applyAlignment="1" applyProtection="1">
      <alignment vertical="center"/>
    </xf>
    <xf numFmtId="0" fontId="17" fillId="16" borderId="4" xfId="0" applyFont="1" applyFill="1" applyBorder="1" applyAlignment="1" applyProtection="1"/>
    <xf numFmtId="0" fontId="17" fillId="16" borderId="4" xfId="0" applyFont="1" applyFill="1" applyBorder="1" applyAlignment="1" applyProtection="1">
      <alignment horizontal="center"/>
    </xf>
    <xf numFmtId="0" fontId="20" fillId="16" borderId="18" xfId="0" applyFont="1" applyFill="1" applyBorder="1" applyAlignment="1" applyProtection="1">
      <alignment horizontal="left" vertical="center"/>
    </xf>
    <xf numFmtId="0" fontId="17" fillId="16" borderId="19" xfId="0" applyFont="1" applyFill="1" applyBorder="1" applyAlignment="1" applyProtection="1">
      <alignment vertical="center"/>
    </xf>
    <xf numFmtId="0" fontId="17" fillId="0" borderId="4" xfId="0" applyFont="1" applyBorder="1" applyAlignment="1" applyProtection="1">
      <alignment horizontal="center" vertical="center"/>
    </xf>
    <xf numFmtId="0" fontId="20" fillId="16" borderId="18" xfId="0" applyFont="1" applyFill="1" applyBorder="1" applyAlignment="1" applyProtection="1">
      <alignment horizontal="center"/>
    </xf>
    <xf numFmtId="165" fontId="19" fillId="0" borderId="21" xfId="2" applyNumberFormat="1" applyFont="1" applyBorder="1" applyAlignment="1" applyProtection="1">
      <alignment horizontal="center" vertical="center"/>
    </xf>
    <xf numFmtId="0" fontId="30" fillId="16" borderId="0" xfId="0" applyFont="1" applyFill="1" applyAlignment="1" applyProtection="1">
      <alignment horizontal="center" wrapText="1"/>
    </xf>
    <xf numFmtId="0" fontId="17" fillId="16" borderId="0" xfId="0" applyFont="1" applyFill="1" applyBorder="1" applyAlignment="1" applyProtection="1">
      <alignment horizontal="center"/>
    </xf>
    <xf numFmtId="0" fontId="17" fillId="0" borderId="0" xfId="0" applyFont="1" applyBorder="1" applyAlignment="1" applyProtection="1">
      <alignment horizontal="center" vertical="center" wrapText="1"/>
    </xf>
    <xf numFmtId="9" fontId="17" fillId="0" borderId="0" xfId="0" applyNumberFormat="1" applyFont="1" applyBorder="1" applyAlignment="1" applyProtection="1">
      <alignment horizontal="center" vertical="center"/>
    </xf>
    <xf numFmtId="0" fontId="17" fillId="0" borderId="0" xfId="0" applyFont="1" applyBorder="1" applyAlignment="1" applyProtection="1">
      <alignment horizontal="center"/>
    </xf>
    <xf numFmtId="0" fontId="17" fillId="0" borderId="0" xfId="0" applyFont="1" applyBorder="1" applyAlignment="1" applyProtection="1">
      <alignment horizontal="center" vertical="center"/>
    </xf>
    <xf numFmtId="0" fontId="30" fillId="16" borderId="0" xfId="0" applyFont="1" applyFill="1" applyBorder="1" applyAlignment="1" applyProtection="1">
      <alignment horizontal="left" vertical="center"/>
    </xf>
    <xf numFmtId="0" fontId="17" fillId="16" borderId="7" xfId="0" applyFont="1" applyFill="1" applyBorder="1" applyAlignment="1" applyProtection="1">
      <alignment horizontal="center"/>
    </xf>
    <xf numFmtId="172" fontId="17" fillId="10" borderId="21" xfId="1" applyNumberFormat="1" applyFont="1" applyFill="1" applyBorder="1" applyAlignment="1" applyProtection="1">
      <alignment horizontal="center" vertical="center"/>
      <protection locked="0"/>
    </xf>
    <xf numFmtId="1" fontId="19" fillId="0" borderId="21" xfId="2" applyNumberFormat="1" applyFont="1" applyBorder="1" applyAlignment="1" applyProtection="1">
      <alignment horizontal="center" vertical="center"/>
    </xf>
    <xf numFmtId="0" fontId="17" fillId="16" borderId="6" xfId="0" applyFont="1" applyFill="1" applyBorder="1" applyAlignment="1" applyProtection="1">
      <alignment horizontal="center"/>
    </xf>
    <xf numFmtId="173" fontId="17" fillId="10" borderId="21" xfId="1" applyNumberFormat="1" applyFont="1" applyFill="1" applyBorder="1" applyAlignment="1" applyProtection="1">
      <alignment horizontal="center" vertical="center"/>
      <protection locked="0"/>
    </xf>
    <xf numFmtId="9" fontId="19" fillId="0" borderId="21" xfId="2" applyFont="1" applyBorder="1" applyAlignment="1" applyProtection="1">
      <alignment horizontal="center" vertical="center"/>
    </xf>
    <xf numFmtId="0" fontId="17" fillId="16" borderId="11" xfId="0" applyFont="1" applyFill="1" applyBorder="1" applyAlignment="1" applyProtection="1">
      <alignment horizontal="center"/>
    </xf>
    <xf numFmtId="0" fontId="17" fillId="16" borderId="12" xfId="0" applyFont="1" applyFill="1" applyBorder="1" applyAlignment="1" applyProtection="1">
      <alignment horizontal="center"/>
    </xf>
    <xf numFmtId="0" fontId="17" fillId="16" borderId="13" xfId="0" applyFont="1" applyFill="1" applyBorder="1" applyAlignment="1" applyProtection="1">
      <alignment horizontal="center"/>
    </xf>
    <xf numFmtId="0" fontId="26" fillId="26" borderId="0" xfId="0" applyFont="1" applyFill="1" applyAlignment="1" applyProtection="1"/>
    <xf numFmtId="0" fontId="22" fillId="26" borderId="0" xfId="0" applyFont="1" applyFill="1" applyAlignment="1" applyProtection="1">
      <alignment horizontal="center"/>
    </xf>
    <xf numFmtId="0" fontId="20" fillId="0" borderId="0" xfId="0" applyFont="1" applyAlignment="1" applyProtection="1">
      <alignment horizontal="center"/>
    </xf>
    <xf numFmtId="0" fontId="17" fillId="18" borderId="0" xfId="0" applyFont="1" applyFill="1" applyAlignment="1" applyProtection="1">
      <alignment horizontal="center"/>
      <protection locked="0"/>
    </xf>
    <xf numFmtId="0" fontId="20" fillId="0" borderId="22" xfId="0" applyFont="1" applyBorder="1" applyAlignment="1" applyProtection="1">
      <alignment horizontal="center"/>
    </xf>
    <xf numFmtId="0" fontId="17" fillId="0" borderId="23" xfId="0" applyFont="1" applyBorder="1" applyAlignment="1" applyProtection="1">
      <alignment horizontal="center"/>
      <protection locked="0"/>
    </xf>
    <xf numFmtId="0" fontId="20" fillId="0" borderId="23" xfId="0" applyFont="1" applyBorder="1" applyAlignment="1" applyProtection="1">
      <alignment horizontal="center"/>
    </xf>
    <xf numFmtId="9" fontId="17" fillId="18" borderId="23" xfId="2" applyFont="1" applyFill="1" applyBorder="1" applyAlignment="1" applyProtection="1">
      <alignment horizontal="center"/>
      <protection locked="0"/>
    </xf>
    <xf numFmtId="0" fontId="31" fillId="20" borderId="24" xfId="0" applyFont="1" applyFill="1" applyBorder="1" applyAlignment="1" applyProtection="1">
      <alignment horizontal="center" vertical="top" wrapText="1"/>
    </xf>
    <xf numFmtId="0" fontId="31" fillId="20" borderId="1" xfId="0" applyFont="1" applyFill="1" applyBorder="1" applyAlignment="1" applyProtection="1">
      <alignment horizontal="center" vertical="top" wrapText="1"/>
    </xf>
    <xf numFmtId="0" fontId="31" fillId="20" borderId="25" xfId="0" applyFont="1" applyFill="1" applyBorder="1" applyAlignment="1" applyProtection="1">
      <alignment horizontal="center" vertical="top" wrapText="1"/>
    </xf>
    <xf numFmtId="0" fontId="17" fillId="0" borderId="0" xfId="0" applyFont="1" applyAlignment="1" applyProtection="1">
      <alignment vertical="top" wrapText="1"/>
    </xf>
    <xf numFmtId="174" fontId="17" fillId="19" borderId="24" xfId="0" applyNumberFormat="1" applyFont="1" applyFill="1" applyBorder="1" applyAlignment="1" applyProtection="1">
      <alignment horizontal="center"/>
    </xf>
    <xf numFmtId="2" fontId="17" fillId="16" borderId="1" xfId="0" applyNumberFormat="1" applyFont="1" applyFill="1" applyBorder="1" applyAlignment="1" applyProtection="1">
      <alignment horizontal="center"/>
      <protection locked="0"/>
    </xf>
    <xf numFmtId="0" fontId="17" fillId="0" borderId="1" xfId="0" applyFont="1" applyBorder="1" applyAlignment="1" applyProtection="1">
      <alignment horizontal="center"/>
      <protection locked="0"/>
    </xf>
    <xf numFmtId="9" fontId="17" fillId="16" borderId="25" xfId="2" applyFont="1" applyFill="1" applyBorder="1" applyAlignment="1" applyProtection="1">
      <alignment horizontal="center"/>
      <protection locked="0"/>
    </xf>
    <xf numFmtId="0" fontId="18" fillId="0" borderId="0" xfId="0" applyFont="1" applyAlignment="1" applyProtection="1"/>
    <xf numFmtId="0" fontId="18" fillId="0" borderId="0" xfId="0" applyFont="1" applyAlignment="1" applyProtection="1">
      <alignment vertical="top" wrapText="1"/>
    </xf>
    <xf numFmtId="0" fontId="18" fillId="0" borderId="0" xfId="0" applyFont="1" applyAlignment="1" applyProtection="1">
      <alignment vertical="top"/>
      <protection locked="0"/>
    </xf>
    <xf numFmtId="0" fontId="18" fillId="0" borderId="0" xfId="0" applyFont="1" applyAlignment="1" applyProtection="1">
      <protection locked="0"/>
    </xf>
    <xf numFmtId="0" fontId="17" fillId="19" borderId="24" xfId="0" applyFont="1" applyFill="1" applyBorder="1" applyAlignment="1" applyProtection="1">
      <alignment horizontal="center"/>
    </xf>
    <xf numFmtId="2" fontId="17" fillId="19" borderId="1" xfId="0" applyNumberFormat="1" applyFont="1" applyFill="1" applyBorder="1" applyAlignment="1" applyProtection="1">
      <alignment horizontal="center"/>
      <protection locked="0"/>
    </xf>
    <xf numFmtId="9" fontId="17" fillId="19" borderId="1" xfId="0" applyNumberFormat="1" applyFont="1" applyFill="1" applyBorder="1" applyAlignment="1" applyProtection="1">
      <alignment horizontal="center"/>
      <protection locked="0"/>
    </xf>
    <xf numFmtId="0" fontId="17" fillId="0" borderId="26" xfId="0" applyFont="1" applyBorder="1" applyAlignment="1" applyProtection="1">
      <alignment horizontal="center"/>
    </xf>
    <xf numFmtId="0" fontId="20" fillId="0" borderId="27" xfId="0" applyFont="1" applyBorder="1" applyAlignment="1" applyProtection="1">
      <alignment horizontal="center"/>
    </xf>
    <xf numFmtId="0" fontId="17" fillId="0" borderId="27" xfId="0" applyFont="1" applyBorder="1" applyAlignment="1" applyProtection="1">
      <alignment horizontal="center"/>
      <protection locked="0"/>
    </xf>
    <xf numFmtId="2" fontId="17" fillId="19" borderId="27" xfId="0" applyNumberFormat="1" applyFont="1" applyFill="1" applyBorder="1" applyAlignment="1" applyProtection="1">
      <alignment horizontal="center"/>
    </xf>
    <xf numFmtId="0" fontId="17" fillId="0" borderId="27" xfId="0" applyFont="1" applyBorder="1" applyAlignment="1" applyProtection="1">
      <alignment horizontal="center"/>
    </xf>
    <xf numFmtId="0" fontId="20" fillId="16" borderId="0" xfId="0" applyFont="1" applyFill="1" applyBorder="1" applyAlignment="1" applyProtection="1">
      <alignment horizontal="center"/>
    </xf>
    <xf numFmtId="0" fontId="17" fillId="18" borderId="23" xfId="0" applyFont="1" applyFill="1" applyBorder="1" applyAlignment="1" applyProtection="1">
      <alignment horizontal="center"/>
      <protection locked="0"/>
    </xf>
    <xf numFmtId="0" fontId="20" fillId="0" borderId="24" xfId="0" applyFont="1" applyBorder="1" applyAlignment="1" applyProtection="1">
      <alignment horizontal="center"/>
    </xf>
    <xf numFmtId="0" fontId="20" fillId="0" borderId="1" xfId="0" applyFont="1" applyBorder="1" applyAlignment="1" applyProtection="1">
      <alignment horizontal="center"/>
    </xf>
    <xf numFmtId="0" fontId="17" fillId="18" borderId="1" xfId="0" applyFont="1" applyFill="1" applyBorder="1" applyAlignment="1" applyProtection="1">
      <alignment horizontal="center"/>
      <protection locked="0"/>
    </xf>
    <xf numFmtId="0" fontId="17" fillId="0" borderId="24" xfId="0" applyFont="1" applyBorder="1" applyAlignment="1" applyProtection="1">
      <alignment horizontal="center"/>
    </xf>
    <xf numFmtId="0" fontId="17" fillId="19" borderId="27" xfId="0" applyFont="1" applyFill="1" applyBorder="1" applyAlignment="1" applyProtection="1">
      <alignment horizontal="center"/>
    </xf>
    <xf numFmtId="1" fontId="17" fillId="16" borderId="1" xfId="2" applyNumberFormat="1" applyFont="1" applyFill="1" applyBorder="1" applyAlignment="1" applyProtection="1">
      <alignment horizontal="center"/>
      <protection locked="0"/>
    </xf>
    <xf numFmtId="0" fontId="17" fillId="16" borderId="1" xfId="0" applyFont="1" applyFill="1" applyBorder="1" applyAlignment="1" applyProtection="1">
      <alignment horizontal="center"/>
      <protection locked="0"/>
    </xf>
    <xf numFmtId="0" fontId="5" fillId="0" borderId="0" xfId="0" applyFont="1" applyAlignment="1" applyProtection="1">
      <alignment horizontal="center"/>
      <protection locked="0"/>
    </xf>
    <xf numFmtId="0" fontId="5" fillId="0" borderId="0" xfId="0" applyFont="1" applyAlignment="1" applyProtection="1">
      <alignment horizontal="center" vertical="top"/>
      <protection locked="0"/>
    </xf>
    <xf numFmtId="0" fontId="5" fillId="0" borderId="0" xfId="0" applyFont="1" applyAlignment="1" applyProtection="1">
      <protection locked="0"/>
    </xf>
    <xf numFmtId="0" fontId="32" fillId="17" borderId="0" xfId="0" applyFont="1" applyFill="1" applyAlignment="1" applyProtection="1">
      <alignment horizontal="left"/>
    </xf>
    <xf numFmtId="0" fontId="33" fillId="17" borderId="0" xfId="0" applyFont="1" applyFill="1" applyAlignment="1" applyProtection="1">
      <alignment horizontal="center"/>
    </xf>
    <xf numFmtId="0" fontId="5" fillId="0" borderId="0" xfId="0" applyFont="1" applyAlignment="1" applyProtection="1"/>
    <xf numFmtId="0" fontId="5" fillId="16" borderId="0" xfId="0" applyFont="1" applyFill="1" applyAlignment="1" applyProtection="1">
      <alignment horizontal="center"/>
    </xf>
    <xf numFmtId="0" fontId="5" fillId="16" borderId="0" xfId="0" applyFont="1" applyFill="1" applyAlignment="1" applyProtection="1">
      <alignment horizontal="center" vertical="top"/>
    </xf>
    <xf numFmtId="0" fontId="5" fillId="16" borderId="0" xfId="0" applyFont="1" applyFill="1" applyAlignment="1" applyProtection="1"/>
    <xf numFmtId="0" fontId="5" fillId="20" borderId="1" xfId="0" applyFont="1" applyFill="1" applyBorder="1" applyAlignment="1" applyProtection="1"/>
    <xf numFmtId="168" fontId="34" fillId="0" borderId="1" xfId="0" applyNumberFormat="1" applyFont="1" applyBorder="1" applyAlignment="1" applyProtection="1">
      <alignment horizontal="center" vertical="top"/>
      <protection locked="0"/>
    </xf>
    <xf numFmtId="1" fontId="34" fillId="0" borderId="0" xfId="0" applyNumberFormat="1" applyFont="1" applyBorder="1" applyAlignment="1" applyProtection="1">
      <alignment vertical="top"/>
      <protection locked="0"/>
    </xf>
    <xf numFmtId="10" fontId="5" fillId="16" borderId="1" xfId="2" applyNumberFormat="1" applyFont="1" applyFill="1" applyBorder="1" applyAlignment="1" applyProtection="1">
      <protection locked="0"/>
    </xf>
    <xf numFmtId="10" fontId="5" fillId="16" borderId="0" xfId="2" applyNumberFormat="1" applyFont="1" applyFill="1" applyBorder="1" applyAlignment="1" applyProtection="1">
      <protection locked="0"/>
    </xf>
    <xf numFmtId="0" fontId="34" fillId="0" borderId="0" xfId="0" applyFont="1" applyBorder="1" applyAlignment="1" applyProtection="1">
      <alignment horizontal="center" vertical="top"/>
      <protection locked="0"/>
    </xf>
    <xf numFmtId="0" fontId="5" fillId="16" borderId="1" xfId="0" applyFont="1" applyFill="1" applyBorder="1" applyAlignment="1" applyProtection="1">
      <protection locked="0"/>
    </xf>
    <xf numFmtId="0" fontId="5" fillId="16" borderId="0" xfId="0" applyFont="1" applyFill="1" applyBorder="1" applyAlignment="1" applyProtection="1">
      <protection locked="0"/>
    </xf>
    <xf numFmtId="0" fontId="5" fillId="18" borderId="1" xfId="0" applyFont="1" applyFill="1" applyBorder="1" applyAlignment="1" applyProtection="1">
      <alignment horizontal="center" vertical="top"/>
      <protection locked="0"/>
    </xf>
    <xf numFmtId="0" fontId="34" fillId="0" borderId="0" xfId="0" applyFont="1" applyBorder="1" applyAlignment="1" applyProtection="1">
      <alignment vertical="top"/>
      <protection locked="0"/>
    </xf>
    <xf numFmtId="3" fontId="5" fillId="16" borderId="1" xfId="0" applyNumberFormat="1" applyFont="1" applyFill="1" applyBorder="1" applyAlignment="1" applyProtection="1">
      <alignment horizontal="right"/>
      <protection hidden="1"/>
    </xf>
    <xf numFmtId="3" fontId="5" fillId="16" borderId="0" xfId="0" applyNumberFormat="1" applyFont="1" applyFill="1" applyBorder="1" applyAlignment="1" applyProtection="1">
      <alignment horizontal="right"/>
      <protection hidden="1"/>
    </xf>
    <xf numFmtId="0" fontId="5" fillId="16" borderId="0" xfId="0" applyFont="1" applyFill="1" applyAlignment="1" applyProtection="1">
      <alignment horizontal="center" vertical="top"/>
      <protection locked="0"/>
    </xf>
    <xf numFmtId="1" fontId="34" fillId="0" borderId="0" xfId="0" applyNumberFormat="1" applyFont="1" applyBorder="1" applyAlignment="1" applyProtection="1">
      <alignment horizontal="center" vertical="top"/>
      <protection locked="0"/>
    </xf>
    <xf numFmtId="0" fontId="30" fillId="20" borderId="1" xfId="0" applyFont="1" applyFill="1" applyBorder="1" applyAlignment="1" applyProtection="1">
      <alignment horizontal="center" vertical="top" wrapText="1"/>
    </xf>
    <xf numFmtId="0" fontId="5" fillId="0" borderId="0" xfId="0" applyFont="1" applyAlignment="1" applyProtection="1">
      <alignment vertical="top" wrapText="1"/>
    </xf>
    <xf numFmtId="0" fontId="5" fillId="27" borderId="0" xfId="0" applyFont="1" applyFill="1" applyAlignment="1" applyProtection="1">
      <alignment vertical="top" wrapText="1"/>
    </xf>
    <xf numFmtId="0" fontId="5" fillId="0" borderId="1" xfId="0" applyFont="1" applyBorder="1" applyAlignment="1" applyProtection="1">
      <alignment horizontal="center" vertical="top"/>
      <protection locked="0"/>
    </xf>
    <xf numFmtId="9" fontId="5" fillId="0" borderId="1" xfId="6" applyFont="1" applyBorder="1" applyAlignment="1" applyProtection="1">
      <alignment horizontal="center" vertical="top"/>
      <protection locked="0"/>
    </xf>
    <xf numFmtId="168" fontId="5" fillId="0" borderId="1" xfId="0" applyNumberFormat="1" applyFont="1" applyBorder="1" applyAlignment="1" applyProtection="1">
      <alignment horizontal="center" vertical="top"/>
      <protection locked="0"/>
    </xf>
    <xf numFmtId="1" fontId="2" fillId="0" borderId="1" xfId="0" applyNumberFormat="1" applyFont="1" applyBorder="1" applyAlignment="1" applyProtection="1">
      <alignment horizontal="center" vertical="top"/>
      <protection hidden="1"/>
    </xf>
    <xf numFmtId="1" fontId="5" fillId="0" borderId="1" xfId="0" applyNumberFormat="1" applyFont="1" applyBorder="1" applyAlignment="1" applyProtection="1">
      <alignment horizontal="center" vertical="top"/>
      <protection hidden="1"/>
    </xf>
    <xf numFmtId="1" fontId="5" fillId="0" borderId="1" xfId="0" applyNumberFormat="1" applyFont="1" applyBorder="1" applyAlignment="1" applyProtection="1">
      <alignment horizontal="center" vertical="top" wrapText="1"/>
      <protection locked="0"/>
    </xf>
    <xf numFmtId="0" fontId="5" fillId="16" borderId="1" xfId="0" applyFont="1" applyFill="1" applyBorder="1" applyAlignment="1" applyProtection="1">
      <alignment horizontal="center" vertical="top" wrapText="1"/>
      <protection locked="0"/>
    </xf>
    <xf numFmtId="0" fontId="5" fillId="0" borderId="1" xfId="0" applyFont="1" applyBorder="1" applyAlignment="1" applyProtection="1">
      <alignment vertical="top" wrapText="1"/>
      <protection locked="0"/>
    </xf>
    <xf numFmtId="10" fontId="5" fillId="19" borderId="1" xfId="2" applyNumberFormat="1" applyFont="1" applyFill="1" applyBorder="1" applyAlignment="1" applyProtection="1">
      <alignment horizontal="center" vertical="top" wrapText="1"/>
      <protection hidden="1"/>
    </xf>
    <xf numFmtId="10" fontId="5" fillId="19" borderId="1" xfId="2" applyNumberFormat="1" applyFont="1" applyFill="1" applyBorder="1" applyAlignment="1" applyProtection="1">
      <alignment horizontal="center" vertical="top" wrapText="1"/>
      <protection locked="0"/>
    </xf>
    <xf numFmtId="0" fontId="34" fillId="0" borderId="0" xfId="0" applyFont="1" applyAlignment="1" applyProtection="1">
      <alignment vertical="top"/>
      <protection locked="0"/>
    </xf>
    <xf numFmtId="9" fontId="5" fillId="0" borderId="1" xfId="2" applyFont="1" applyBorder="1" applyAlignment="1" applyProtection="1">
      <alignment horizontal="center" vertical="top"/>
      <protection locked="0"/>
    </xf>
    <xf numFmtId="0" fontId="5" fillId="0" borderId="1" xfId="0" applyFont="1" applyBorder="1" applyAlignment="1" applyProtection="1">
      <alignment wrapText="1"/>
      <protection locked="0"/>
    </xf>
    <xf numFmtId="0" fontId="5" fillId="16" borderId="0" xfId="0" applyFont="1" applyFill="1" applyBorder="1" applyAlignment="1" applyProtection="1">
      <alignment horizontal="center"/>
    </xf>
    <xf numFmtId="0" fontId="5" fillId="16" borderId="0" xfId="0" applyFont="1" applyFill="1" applyBorder="1" applyAlignment="1" applyProtection="1">
      <alignment horizontal="center" vertical="top"/>
    </xf>
    <xf numFmtId="9" fontId="5" fillId="16" borderId="0" xfId="2" applyFont="1" applyFill="1" applyBorder="1" applyAlignment="1" applyProtection="1">
      <alignment horizontal="center" vertical="top"/>
    </xf>
    <xf numFmtId="0" fontId="5" fillId="16" borderId="0" xfId="0" applyFont="1" applyFill="1" applyAlignment="1" applyProtection="1">
      <protection locked="0"/>
    </xf>
    <xf numFmtId="0" fontId="5" fillId="20" borderId="1" xfId="0" applyFont="1" applyFill="1" applyBorder="1" applyAlignment="1" applyProtection="1">
      <alignment horizontal="left" vertical="top" wrapText="1"/>
    </xf>
    <xf numFmtId="0" fontId="5" fillId="16" borderId="0" xfId="0" applyFont="1" applyFill="1" applyBorder="1" applyAlignment="1" applyProtection="1">
      <alignment horizontal="center" vertical="top"/>
      <protection locked="0"/>
    </xf>
    <xf numFmtId="0" fontId="33" fillId="16" borderId="0" xfId="0" applyFont="1" applyFill="1" applyBorder="1" applyAlignment="1" applyProtection="1">
      <alignment horizontal="center" vertical="center"/>
      <protection locked="0"/>
    </xf>
    <xf numFmtId="0" fontId="33" fillId="16" borderId="0" xfId="0" applyFont="1" applyFill="1" applyBorder="1" applyAlignment="1" applyProtection="1">
      <alignment horizontal="center" vertical="center"/>
      <protection hidden="1"/>
    </xf>
    <xf numFmtId="0" fontId="2" fillId="16" borderId="0" xfId="0" applyFont="1" applyFill="1" applyAlignment="1" applyProtection="1">
      <alignment horizontal="center" vertical="top"/>
      <protection locked="0"/>
    </xf>
    <xf numFmtId="0" fontId="5" fillId="20" borderId="1" xfId="0" applyFont="1" applyFill="1" applyBorder="1" applyAlignment="1" applyProtection="1">
      <alignment horizontal="left" vertical="center" wrapText="1"/>
    </xf>
    <xf numFmtId="0" fontId="5" fillId="16" borderId="0" xfId="0" applyFont="1" applyFill="1" applyBorder="1" applyAlignment="1" applyProtection="1">
      <alignment horizontal="center" vertical="center"/>
      <protection locked="0"/>
    </xf>
    <xf numFmtId="0" fontId="5" fillId="10" borderId="1" xfId="0" applyFont="1" applyFill="1" applyBorder="1" applyAlignment="1" applyProtection="1">
      <alignment horizontal="left" vertical="center" wrapText="1"/>
    </xf>
    <xf numFmtId="0" fontId="5" fillId="10" borderId="1" xfId="0" applyFont="1" applyFill="1" applyBorder="1" applyAlignment="1" applyProtection="1">
      <alignment horizontal="center" vertical="center" wrapText="1"/>
      <protection locked="0" hidden="1"/>
    </xf>
    <xf numFmtId="0" fontId="2" fillId="16" borderId="0" xfId="0" applyFont="1" applyFill="1" applyAlignment="1" applyProtection="1">
      <alignment horizontal="center" vertical="center"/>
      <protection locked="0"/>
    </xf>
    <xf numFmtId="0" fontId="5" fillId="16" borderId="0" xfId="0" applyFont="1" applyFill="1" applyAlignment="1" applyProtection="1">
      <alignment vertical="center"/>
      <protection locked="0"/>
    </xf>
    <xf numFmtId="0" fontId="5" fillId="0" borderId="0" xfId="0" applyFont="1" applyAlignment="1" applyProtection="1">
      <alignment vertical="center"/>
      <protection locked="0"/>
    </xf>
    <xf numFmtId="0" fontId="2" fillId="16" borderId="0" xfId="0" applyFont="1" applyFill="1" applyAlignment="1" applyProtection="1">
      <alignment horizontal="center" vertical="top"/>
    </xf>
    <xf numFmtId="0" fontId="5" fillId="0" borderId="0" xfId="0" applyFont="1" applyBorder="1" applyAlignment="1" applyProtection="1">
      <alignment horizontal="center" vertical="top"/>
      <protection locked="0"/>
    </xf>
    <xf numFmtId="0" fontId="33" fillId="16" borderId="0" xfId="0" applyFont="1" applyFill="1" applyAlignment="1" applyProtection="1">
      <alignment horizontal="center" vertical="top"/>
    </xf>
    <xf numFmtId="0" fontId="5" fillId="16" borderId="0" xfId="0" applyFont="1" applyFill="1" applyAlignment="1" applyProtection="1">
      <alignment horizontal="center"/>
      <protection locked="0"/>
    </xf>
    <xf numFmtId="0" fontId="0" fillId="16" borderId="0" xfId="0" applyFill="1" applyAlignment="1">
      <alignment horizontal="center"/>
    </xf>
    <xf numFmtId="0" fontId="0" fillId="16" borderId="0" xfId="0" applyFill="1" applyAlignment="1"/>
    <xf numFmtId="0" fontId="0" fillId="28" borderId="1" xfId="0" applyFill="1" applyBorder="1" applyAlignment="1" applyProtection="1"/>
    <xf numFmtId="0" fontId="9" fillId="28" borderId="1" xfId="0" applyFont="1" applyFill="1" applyBorder="1" applyAlignment="1" applyProtection="1">
      <alignment horizontal="center"/>
    </xf>
    <xf numFmtId="0" fontId="9" fillId="28" borderId="1" xfId="0" applyFont="1" applyFill="1" applyBorder="1" applyAlignment="1" applyProtection="1">
      <alignment horizontal="center"/>
      <protection locked="0"/>
    </xf>
    <xf numFmtId="2" fontId="1" fillId="16" borderId="1" xfId="0" applyNumberFormat="1" applyFont="1" applyFill="1" applyBorder="1" applyAlignment="1" applyProtection="1">
      <alignment horizontal="center"/>
      <protection locked="0"/>
    </xf>
    <xf numFmtId="2" fontId="0" fillId="19" borderId="1" xfId="0" applyNumberFormat="1" applyFill="1" applyBorder="1" applyAlignment="1" applyProtection="1">
      <alignment horizontal="center"/>
      <protection hidden="1"/>
    </xf>
    <xf numFmtId="0" fontId="0" fillId="19" borderId="1" xfId="0" applyFill="1" applyBorder="1" applyAlignment="1" applyProtection="1">
      <alignment horizontal="center"/>
      <protection hidden="1"/>
    </xf>
    <xf numFmtId="0" fontId="4" fillId="26" borderId="0" xfId="0" applyFont="1" applyFill="1" applyAlignment="1" applyProtection="1"/>
    <xf numFmtId="0" fontId="4" fillId="26" borderId="0" xfId="0" applyFont="1" applyFill="1" applyAlignment="1" applyProtection="1">
      <alignment horizontal="center"/>
    </xf>
    <xf numFmtId="0" fontId="0" fillId="16" borderId="0" xfId="0" applyFont="1" applyFill="1" applyAlignment="1" applyProtection="1">
      <alignment horizontal="center"/>
    </xf>
    <xf numFmtId="168" fontId="17" fillId="19" borderId="1" xfId="0" applyNumberFormat="1" applyFont="1" applyFill="1" applyBorder="1" applyAlignment="1" applyProtection="1">
      <alignment horizontal="left"/>
      <protection locked="0"/>
    </xf>
    <xf numFmtId="0" fontId="17" fillId="16" borderId="0" xfId="0" applyFont="1" applyFill="1" applyBorder="1" applyAlignment="1" applyProtection="1">
      <alignment horizontal="center"/>
      <protection locked="0"/>
    </xf>
    <xf numFmtId="0" fontId="17" fillId="16" borderId="2" xfId="0" applyFont="1" applyFill="1" applyBorder="1" applyAlignment="1" applyProtection="1">
      <protection locked="0"/>
    </xf>
    <xf numFmtId="0" fontId="17" fillId="16" borderId="8" xfId="0" applyFont="1" applyFill="1" applyBorder="1" applyAlignment="1" applyProtection="1">
      <protection locked="0"/>
    </xf>
    <xf numFmtId="0" fontId="17" fillId="0" borderId="1" xfId="0" applyFont="1" applyBorder="1" applyAlignment="1" applyProtection="1">
      <alignment horizontal="center"/>
    </xf>
    <xf numFmtId="0" fontId="20" fillId="20" borderId="1" xfId="0" applyFont="1" applyFill="1" applyBorder="1" applyAlignment="1" applyProtection="1">
      <alignment horizontal="center" vertical="top" wrapText="1"/>
      <protection locked="0"/>
    </xf>
    <xf numFmtId="17" fontId="20" fillId="20" borderId="1" xfId="0" applyNumberFormat="1" applyFont="1" applyFill="1" applyBorder="1" applyAlignment="1" applyProtection="1">
      <alignment horizontal="center" vertical="top" wrapText="1"/>
      <protection locked="0"/>
    </xf>
    <xf numFmtId="0" fontId="20" fillId="16" borderId="0" xfId="0" applyFont="1" applyFill="1" applyAlignment="1" applyProtection="1">
      <alignment horizontal="center" vertical="top" wrapText="1"/>
    </xf>
    <xf numFmtId="1" fontId="17" fillId="0" borderId="1" xfId="0" applyNumberFormat="1" applyFont="1" applyBorder="1" applyAlignment="1" applyProtection="1">
      <alignment horizontal="center"/>
      <protection locked="0"/>
    </xf>
    <xf numFmtId="9" fontId="17" fillId="0" borderId="1" xfId="6" applyFont="1" applyBorder="1" applyAlignment="1" applyProtection="1">
      <alignment horizontal="center"/>
      <protection locked="0"/>
    </xf>
    <xf numFmtId="168" fontId="17" fillId="0" borderId="1" xfId="0" applyNumberFormat="1" applyFont="1" applyBorder="1" applyAlignment="1" applyProtection="1">
      <alignment horizontal="center"/>
      <protection locked="0"/>
    </xf>
    <xf numFmtId="168" fontId="17" fillId="19" borderId="1" xfId="0" applyNumberFormat="1" applyFont="1" applyFill="1" applyBorder="1" applyAlignment="1" applyProtection="1">
      <alignment horizontal="center"/>
    </xf>
    <xf numFmtId="0" fontId="17" fillId="0" borderId="1" xfId="0" applyFont="1" applyBorder="1" applyAlignment="1" applyProtection="1">
      <alignment horizontal="left"/>
      <protection locked="0"/>
    </xf>
    <xf numFmtId="172" fontId="17" fillId="19" borderId="1" xfId="1" applyNumberFormat="1" applyFont="1" applyFill="1" applyBorder="1" applyAlignment="1" applyProtection="1">
      <alignment horizontal="center"/>
    </xf>
    <xf numFmtId="9" fontId="17" fillId="0" borderId="1" xfId="2" applyFont="1" applyBorder="1" applyAlignment="1" applyProtection="1">
      <alignment horizontal="center"/>
      <protection locked="0"/>
    </xf>
    <xf numFmtId="0" fontId="17" fillId="29" borderId="0" xfId="0" applyFont="1" applyFill="1" applyAlignment="1" applyProtection="1"/>
    <xf numFmtId="0" fontId="17" fillId="29" borderId="0" xfId="0" applyFont="1" applyFill="1" applyAlignment="1" applyProtection="1">
      <protection locked="0"/>
    </xf>
    <xf numFmtId="0" fontId="17" fillId="29" borderId="0" xfId="0" applyFont="1" applyFill="1" applyAlignment="1" applyProtection="1">
      <alignment horizontal="center"/>
      <protection locked="0"/>
    </xf>
    <xf numFmtId="9" fontId="17" fillId="29" borderId="0" xfId="2" applyFont="1" applyFill="1" applyBorder="1" applyAlignment="1" applyProtection="1">
      <protection locked="0"/>
    </xf>
    <xf numFmtId="1" fontId="17" fillId="29" borderId="0" xfId="0" applyNumberFormat="1" applyFont="1" applyFill="1" applyAlignment="1" applyProtection="1">
      <protection hidden="1"/>
    </xf>
    <xf numFmtId="0" fontId="16" fillId="0" borderId="0" xfId="5" applyFont="1" applyBorder="1" applyAlignment="1" applyProtection="1">
      <protection locked="0"/>
    </xf>
    <xf numFmtId="0" fontId="16" fillId="0" borderId="0" xfId="5" applyFont="1" applyBorder="1" applyAlignment="1" applyProtection="1">
      <alignment horizontal="center"/>
      <protection locked="0"/>
    </xf>
    <xf numFmtId="0" fontId="16" fillId="0" borderId="0" xfId="5" applyFont="1" applyBorder="1" applyAlignment="1" applyProtection="1">
      <alignment horizontal="center"/>
      <protection hidden="1"/>
    </xf>
    <xf numFmtId="0" fontId="16" fillId="16" borderId="0" xfId="5" applyFont="1" applyFill="1" applyBorder="1" applyAlignment="1" applyProtection="1">
      <alignment horizontal="center"/>
      <protection hidden="1"/>
    </xf>
    <xf numFmtId="0" fontId="16" fillId="0" borderId="0" xfId="5" applyFont="1" applyBorder="1" applyAlignment="1" applyProtection="1">
      <protection hidden="1"/>
    </xf>
    <xf numFmtId="0" fontId="16" fillId="30" borderId="0" xfId="5" applyFont="1" applyFill="1" applyBorder="1" applyAlignment="1" applyProtection="1"/>
    <xf numFmtId="0" fontId="16" fillId="16" borderId="0" xfId="5" applyFont="1" applyFill="1" applyBorder="1" applyAlignment="1" applyProtection="1"/>
    <xf numFmtId="0" fontId="16" fillId="31" borderId="3" xfId="5" applyFont="1" applyFill="1" applyBorder="1" applyAlignment="1" applyProtection="1">
      <protection hidden="1"/>
    </xf>
    <xf numFmtId="0" fontId="16" fillId="31" borderId="4" xfId="5" applyFont="1" applyFill="1" applyBorder="1" applyAlignment="1" applyProtection="1">
      <protection hidden="1"/>
    </xf>
    <xf numFmtId="0" fontId="16" fillId="31" borderId="4" xfId="5" applyFont="1" applyFill="1" applyBorder="1" applyAlignment="1" applyProtection="1">
      <alignment horizontal="center"/>
      <protection hidden="1"/>
    </xf>
    <xf numFmtId="0" fontId="16" fillId="31" borderId="5" xfId="5" applyFont="1" applyFill="1" applyBorder="1" applyAlignment="1" applyProtection="1">
      <protection hidden="1"/>
    </xf>
    <xf numFmtId="0" fontId="16" fillId="30" borderId="0" xfId="5" applyFont="1" applyFill="1" applyBorder="1" applyAlignment="1" applyProtection="1">
      <alignment horizontal="center"/>
      <protection hidden="1"/>
    </xf>
    <xf numFmtId="166" fontId="16" fillId="30" borderId="0" xfId="5" applyNumberFormat="1" applyFont="1" applyFill="1" applyBorder="1" applyAlignment="1" applyProtection="1">
      <alignment horizontal="center"/>
      <protection hidden="1"/>
    </xf>
    <xf numFmtId="0" fontId="16" fillId="30" borderId="0" xfId="5" applyFont="1" applyFill="1" applyBorder="1" applyAlignment="1" applyProtection="1">
      <protection hidden="1"/>
    </xf>
    <xf numFmtId="0" fontId="16" fillId="31" borderId="6" xfId="5" applyFont="1" applyFill="1" applyBorder="1" applyAlignment="1" applyProtection="1">
      <protection hidden="1"/>
    </xf>
    <xf numFmtId="0" fontId="35" fillId="31" borderId="4" xfId="0" applyFont="1" applyFill="1" applyBorder="1" applyAlignment="1" applyProtection="1">
      <protection hidden="1"/>
    </xf>
    <xf numFmtId="0" fontId="16" fillId="31" borderId="7" xfId="5" applyFont="1" applyFill="1" applyBorder="1" applyAlignment="1" applyProtection="1">
      <protection hidden="1"/>
    </xf>
    <xf numFmtId="172" fontId="16" fillId="30" borderId="0" xfId="5" applyNumberFormat="1" applyFont="1" applyFill="1" applyBorder="1" applyAlignment="1" applyProtection="1">
      <alignment horizontal="center"/>
      <protection hidden="1"/>
    </xf>
    <xf numFmtId="0" fontId="16" fillId="31" borderId="0" xfId="5" applyFont="1" applyFill="1" applyBorder="1" applyAlignment="1" applyProtection="1">
      <alignment horizontal="center"/>
      <protection hidden="1"/>
    </xf>
    <xf numFmtId="0" fontId="16" fillId="31" borderId="0" xfId="5" applyFont="1" applyFill="1" applyBorder="1" applyAlignment="1" applyProtection="1">
      <protection hidden="1"/>
    </xf>
    <xf numFmtId="10" fontId="16" fillId="30" borderId="0" xfId="5" applyNumberFormat="1" applyFont="1" applyFill="1" applyBorder="1" applyAlignment="1" applyProtection="1">
      <alignment horizontal="center"/>
      <protection hidden="1"/>
    </xf>
    <xf numFmtId="1" fontId="16" fillId="30" borderId="0" xfId="5" applyNumberFormat="1" applyFont="1" applyFill="1" applyBorder="1" applyAlignment="1" applyProtection="1">
      <alignment vertical="center"/>
      <protection hidden="1"/>
    </xf>
    <xf numFmtId="0" fontId="16" fillId="31" borderId="11" xfId="5" applyFont="1" applyFill="1" applyBorder="1" applyAlignment="1" applyProtection="1">
      <protection hidden="1"/>
    </xf>
    <xf numFmtId="0" fontId="16" fillId="31" borderId="12" xfId="5" applyFont="1" applyFill="1" applyBorder="1" applyAlignment="1" applyProtection="1">
      <alignment horizontal="center"/>
      <protection hidden="1"/>
    </xf>
    <xf numFmtId="0" fontId="16" fillId="31" borderId="12" xfId="5" applyFont="1" applyFill="1" applyBorder="1" applyAlignment="1" applyProtection="1">
      <protection hidden="1"/>
    </xf>
    <xf numFmtId="0" fontId="16" fillId="31" borderId="13" xfId="5" applyFont="1" applyFill="1" applyBorder="1" applyAlignment="1" applyProtection="1">
      <protection hidden="1"/>
    </xf>
    <xf numFmtId="0" fontId="23" fillId="31" borderId="7" xfId="5" applyFont="1" applyFill="1" applyBorder="1" applyAlignment="1" applyProtection="1">
      <protection hidden="1"/>
    </xf>
    <xf numFmtId="0" fontId="23" fillId="30" borderId="0" xfId="5" applyFont="1" applyFill="1" applyBorder="1" applyAlignment="1" applyProtection="1">
      <protection hidden="1"/>
    </xf>
    <xf numFmtId="0" fontId="36" fillId="30" borderId="0" xfId="5" applyFont="1" applyFill="1" applyBorder="1" applyAlignment="1" applyProtection="1">
      <protection hidden="1"/>
    </xf>
    <xf numFmtId="0" fontId="13" fillId="16" borderId="21" xfId="5" applyFont="1" applyFill="1" applyBorder="1" applyAlignment="1" applyProtection="1">
      <protection hidden="1"/>
    </xf>
    <xf numFmtId="0" fontId="37" fillId="17" borderId="21" xfId="5" applyFont="1" applyFill="1" applyBorder="1" applyAlignment="1" applyProtection="1">
      <alignment horizontal="center"/>
      <protection hidden="1"/>
    </xf>
    <xf numFmtId="0" fontId="38" fillId="31" borderId="0" xfId="5" applyFont="1" applyFill="1" applyBorder="1" applyAlignment="1" applyProtection="1">
      <protection hidden="1"/>
    </xf>
    <xf numFmtId="0" fontId="13" fillId="16" borderId="18" xfId="5" applyFont="1" applyFill="1" applyBorder="1" applyAlignment="1" applyProtection="1">
      <protection hidden="1"/>
    </xf>
    <xf numFmtId="0" fontId="13" fillId="16" borderId="21" xfId="5" applyFont="1" applyFill="1" applyBorder="1" applyAlignment="1" applyProtection="1">
      <alignment horizontal="center"/>
      <protection hidden="1"/>
    </xf>
    <xf numFmtId="0" fontId="13" fillId="16" borderId="9" xfId="5" applyFont="1" applyFill="1" applyBorder="1" applyAlignment="1" applyProtection="1">
      <alignment horizontal="center"/>
      <protection hidden="1"/>
    </xf>
    <xf numFmtId="0" fontId="13" fillId="16" borderId="25" xfId="5" applyFont="1" applyFill="1" applyBorder="1" applyAlignment="1" applyProtection="1">
      <alignment horizontal="center"/>
      <protection hidden="1"/>
    </xf>
    <xf numFmtId="0" fontId="13" fillId="16" borderId="24" xfId="5" applyFont="1" applyFill="1" applyBorder="1" applyAlignment="1" applyProtection="1">
      <alignment horizontal="center"/>
      <protection hidden="1"/>
    </xf>
    <xf numFmtId="0" fontId="13" fillId="31" borderId="0" xfId="5" applyFont="1" applyFill="1" applyBorder="1" applyAlignment="1" applyProtection="1">
      <protection hidden="1"/>
    </xf>
    <xf numFmtId="164" fontId="13" fillId="31" borderId="0" xfId="5" applyNumberFormat="1" applyFont="1" applyFill="1" applyBorder="1" applyAlignment="1" applyProtection="1">
      <protection hidden="1"/>
    </xf>
    <xf numFmtId="0" fontId="13" fillId="16" borderId="6" xfId="5" applyFont="1" applyFill="1" applyBorder="1" applyAlignment="1" applyProtection="1">
      <alignment horizontal="center"/>
      <protection hidden="1"/>
    </xf>
    <xf numFmtId="172" fontId="37" fillId="17" borderId="30" xfId="1" applyNumberFormat="1" applyFont="1" applyFill="1" applyBorder="1" applyAlignment="1" applyProtection="1">
      <alignment horizontal="right" vertical="center"/>
      <protection hidden="1"/>
    </xf>
    <xf numFmtId="164" fontId="16" fillId="31" borderId="7" xfId="5" applyNumberFormat="1" applyFont="1" applyFill="1" applyBorder="1" applyAlignment="1" applyProtection="1">
      <protection hidden="1"/>
    </xf>
    <xf numFmtId="38" fontId="13" fillId="31" borderId="25" xfId="5" applyNumberFormat="1" applyFont="1" applyFill="1" applyBorder="1" applyAlignment="1" applyProtection="1">
      <alignment horizontal="center"/>
      <protection hidden="1"/>
    </xf>
    <xf numFmtId="38" fontId="16" fillId="30" borderId="0" xfId="5" applyNumberFormat="1" applyFont="1" applyFill="1" applyBorder="1" applyAlignment="1" applyProtection="1">
      <alignment horizontal="center"/>
      <protection hidden="1"/>
    </xf>
    <xf numFmtId="38" fontId="13" fillId="16" borderId="25" xfId="5" applyNumberFormat="1" applyFont="1" applyFill="1" applyBorder="1" applyAlignment="1" applyProtection="1">
      <alignment horizontal="center"/>
      <protection hidden="1"/>
    </xf>
    <xf numFmtId="10" fontId="39" fillId="31" borderId="0" xfId="5" applyNumberFormat="1" applyFont="1" applyFill="1" applyBorder="1" applyAlignment="1" applyProtection="1">
      <protection hidden="1"/>
    </xf>
    <xf numFmtId="10" fontId="13" fillId="26" borderId="21" xfId="2" applyNumberFormat="1" applyFont="1" applyFill="1" applyBorder="1" applyAlignment="1" applyProtection="1">
      <alignment horizontal="center"/>
      <protection hidden="1"/>
    </xf>
    <xf numFmtId="2" fontId="16" fillId="31" borderId="0" xfId="5" applyNumberFormat="1" applyFont="1" applyFill="1" applyBorder="1" applyAlignment="1" applyProtection="1">
      <protection hidden="1"/>
    </xf>
    <xf numFmtId="10" fontId="40" fillId="32" borderId="20" xfId="2" applyNumberFormat="1" applyFont="1" applyFill="1" applyBorder="1" applyAlignment="1" applyProtection="1">
      <alignment horizontal="center"/>
      <protection hidden="1"/>
    </xf>
    <xf numFmtId="10" fontId="37" fillId="17" borderId="20" xfId="2" applyNumberFormat="1" applyFont="1" applyFill="1" applyBorder="1" applyAlignment="1" applyProtection="1">
      <alignment horizontal="center"/>
      <protection hidden="1"/>
    </xf>
    <xf numFmtId="172" fontId="37" fillId="17" borderId="31" xfId="1" applyNumberFormat="1" applyFont="1" applyFill="1" applyBorder="1" applyAlignment="1" applyProtection="1">
      <alignment horizontal="right" vertical="center"/>
      <protection hidden="1"/>
    </xf>
    <xf numFmtId="1" fontId="41" fillId="31" borderId="0" xfId="5" applyNumberFormat="1" applyFont="1" applyFill="1" applyBorder="1" applyAlignment="1" applyProtection="1">
      <protection hidden="1"/>
    </xf>
    <xf numFmtId="0" fontId="41" fillId="31" borderId="0" xfId="5" applyFont="1" applyFill="1" applyBorder="1" applyAlignment="1" applyProtection="1">
      <protection hidden="1"/>
    </xf>
    <xf numFmtId="1" fontId="37" fillId="17" borderId="21" xfId="5" applyNumberFormat="1" applyFont="1" applyFill="1" applyBorder="1" applyAlignment="1" applyProtection="1">
      <alignment horizontal="center"/>
      <protection hidden="1"/>
    </xf>
    <xf numFmtId="0" fontId="13" fillId="16" borderId="32" xfId="5" applyFont="1" applyFill="1" applyBorder="1" applyAlignment="1" applyProtection="1">
      <alignment horizontal="center"/>
      <protection hidden="1"/>
    </xf>
    <xf numFmtId="0" fontId="13" fillId="16" borderId="33" xfId="5" applyFont="1" applyFill="1" applyBorder="1" applyAlignment="1" applyProtection="1">
      <alignment horizontal="center"/>
      <protection hidden="1"/>
    </xf>
    <xf numFmtId="0" fontId="13" fillId="16" borderId="18" xfId="5" applyFont="1" applyFill="1" applyBorder="1" applyAlignment="1" applyProtection="1">
      <alignment horizontal="center"/>
      <protection hidden="1"/>
    </xf>
    <xf numFmtId="0" fontId="13" fillId="0" borderId="22" xfId="5" applyFont="1" applyBorder="1" applyAlignment="1" applyProtection="1">
      <protection hidden="1"/>
    </xf>
    <xf numFmtId="0" fontId="13" fillId="18" borderId="23" xfId="5" applyFont="1" applyFill="1" applyBorder="1" applyAlignment="1" applyProtection="1">
      <alignment horizontal="center"/>
      <protection locked="0"/>
    </xf>
    <xf numFmtId="0" fontId="13" fillId="0" borderId="34" xfId="5" applyFont="1" applyBorder="1" applyAlignment="1" applyProtection="1">
      <alignment horizontal="center"/>
      <protection hidden="1"/>
    </xf>
    <xf numFmtId="10" fontId="13" fillId="16" borderId="3" xfId="2" applyNumberFormat="1" applyFont="1" applyFill="1" applyBorder="1" applyAlignment="1" applyProtection="1">
      <protection hidden="1"/>
    </xf>
    <xf numFmtId="171" fontId="13" fillId="18" borderId="29" xfId="2" applyNumberFormat="1" applyFont="1" applyFill="1" applyBorder="1" applyAlignment="1" applyProtection="1">
      <alignment horizontal="center"/>
      <protection locked="0"/>
    </xf>
    <xf numFmtId="0" fontId="13" fillId="0" borderId="24" xfId="5" applyFont="1" applyBorder="1" applyAlignment="1" applyProtection="1">
      <protection hidden="1"/>
    </xf>
    <xf numFmtId="0" fontId="13" fillId="18" borderId="1" xfId="5" applyFont="1" applyFill="1" applyBorder="1" applyAlignment="1" applyProtection="1">
      <alignment horizontal="center"/>
      <protection locked="0"/>
    </xf>
    <xf numFmtId="0" fontId="13" fillId="0" borderId="25" xfId="5" applyFont="1" applyBorder="1" applyAlignment="1" applyProtection="1">
      <alignment horizontal="center"/>
      <protection hidden="1"/>
    </xf>
    <xf numFmtId="10" fontId="13" fillId="16" borderId="6" xfId="2" applyNumberFormat="1" applyFont="1" applyFill="1" applyBorder="1" applyAlignment="1" applyProtection="1">
      <protection hidden="1"/>
    </xf>
    <xf numFmtId="171" fontId="13" fillId="18" borderId="35" xfId="2" applyNumberFormat="1" applyFont="1" applyFill="1" applyBorder="1" applyAlignment="1" applyProtection="1">
      <alignment horizontal="center"/>
      <protection locked="0"/>
    </xf>
    <xf numFmtId="0" fontId="13" fillId="16" borderId="24" xfId="5" applyFont="1" applyFill="1" applyBorder="1" applyAlignment="1" applyProtection="1">
      <protection hidden="1"/>
    </xf>
    <xf numFmtId="0" fontId="13" fillId="16" borderId="26" xfId="5" applyFont="1" applyFill="1" applyBorder="1" applyAlignment="1" applyProtection="1">
      <protection hidden="1"/>
    </xf>
    <xf numFmtId="0" fontId="13" fillId="16" borderId="27" xfId="5" applyFont="1" applyFill="1" applyBorder="1" applyAlignment="1" applyProtection="1">
      <alignment horizontal="center"/>
      <protection hidden="1"/>
    </xf>
    <xf numFmtId="0" fontId="13" fillId="16" borderId="36" xfId="5" applyFont="1" applyFill="1" applyBorder="1" applyAlignment="1" applyProtection="1">
      <alignment horizontal="center"/>
      <protection hidden="1"/>
    </xf>
    <xf numFmtId="171" fontId="13" fillId="16" borderId="31" xfId="2" applyNumberFormat="1" applyFont="1" applyFill="1" applyBorder="1" applyAlignment="1" applyProtection="1">
      <alignment horizontal="center"/>
      <protection hidden="1"/>
    </xf>
    <xf numFmtId="0" fontId="37" fillId="17" borderId="20" xfId="5" applyFont="1" applyFill="1" applyBorder="1" applyAlignment="1" applyProtection="1">
      <alignment horizontal="center"/>
      <protection hidden="1"/>
    </xf>
    <xf numFmtId="9" fontId="13" fillId="16" borderId="37" xfId="2" applyFont="1" applyFill="1" applyBorder="1" applyAlignment="1" applyProtection="1">
      <protection hidden="1"/>
    </xf>
    <xf numFmtId="10" fontId="37" fillId="17" borderId="33" xfId="2" applyNumberFormat="1" applyFont="1" applyFill="1" applyBorder="1" applyAlignment="1" applyProtection="1">
      <alignment horizontal="center"/>
      <protection hidden="1"/>
    </xf>
    <xf numFmtId="0" fontId="35" fillId="31" borderId="0" xfId="0" applyFont="1" applyFill="1" applyBorder="1" applyAlignment="1" applyProtection="1">
      <protection hidden="1"/>
    </xf>
    <xf numFmtId="0" fontId="43" fillId="18" borderId="38" xfId="0" applyFont="1" applyFill="1" applyBorder="1" applyAlignment="1" applyProtection="1">
      <protection hidden="1"/>
    </xf>
    <xf numFmtId="0" fontId="43" fillId="18" borderId="28" xfId="0" applyFont="1" applyFill="1" applyBorder="1" applyAlignment="1" applyProtection="1">
      <alignment horizontal="right" indent="15"/>
      <protection locked="0"/>
    </xf>
    <xf numFmtId="10" fontId="43" fillId="18" borderId="39" xfId="0" applyNumberFormat="1" applyFont="1" applyFill="1" applyBorder="1" applyAlignment="1" applyProtection="1">
      <protection hidden="1"/>
    </xf>
    <xf numFmtId="10" fontId="43" fillId="18" borderId="40" xfId="0" applyNumberFormat="1" applyFont="1" applyFill="1" applyBorder="1" applyAlignment="1" applyProtection="1">
      <alignment horizontal="right" indent="15"/>
      <protection locked="0"/>
    </xf>
    <xf numFmtId="0" fontId="43" fillId="18" borderId="39" xfId="0" applyFont="1" applyFill="1" applyBorder="1" applyAlignment="1" applyProtection="1">
      <protection hidden="1"/>
    </xf>
    <xf numFmtId="0" fontId="43" fillId="18" borderId="40" xfId="0" applyFont="1" applyFill="1" applyBorder="1" applyAlignment="1" applyProtection="1">
      <alignment horizontal="right" indent="15"/>
      <protection locked="0"/>
    </xf>
    <xf numFmtId="175" fontId="44" fillId="17" borderId="39" xfId="0" applyNumberFormat="1" applyFont="1" applyFill="1" applyBorder="1" applyAlignment="1" applyProtection="1">
      <protection hidden="1"/>
    </xf>
    <xf numFmtId="175" fontId="44" fillId="17" borderId="40" xfId="0" applyNumberFormat="1" applyFont="1" applyFill="1" applyBorder="1" applyAlignment="1" applyProtection="1">
      <alignment horizontal="right" indent="15"/>
      <protection hidden="1"/>
    </xf>
    <xf numFmtId="10" fontId="43" fillId="26" borderId="42" xfId="2" applyNumberFormat="1" applyFont="1" applyFill="1" applyBorder="1" applyAlignment="1" applyProtection="1">
      <protection hidden="1"/>
    </xf>
    <xf numFmtId="10" fontId="43" fillId="26" borderId="43" xfId="2" applyNumberFormat="1" applyFont="1" applyFill="1" applyBorder="1" applyAlignment="1" applyProtection="1">
      <alignment horizontal="right" indent="15"/>
      <protection hidden="1"/>
    </xf>
    <xf numFmtId="0" fontId="16" fillId="30" borderId="0" xfId="5" applyFont="1" applyFill="1" applyBorder="1" applyAlignment="1" applyProtection="1">
      <protection locked="0"/>
    </xf>
    <xf numFmtId="0" fontId="16" fillId="30" borderId="0" xfId="5" applyFont="1" applyFill="1" applyBorder="1" applyAlignment="1" applyProtection="1">
      <alignment horizontal="center"/>
      <protection locked="0"/>
    </xf>
    <xf numFmtId="0" fontId="35" fillId="30" borderId="0" xfId="0" applyFont="1" applyFill="1" applyBorder="1" applyAlignment="1" applyProtection="1">
      <protection locked="0"/>
    </xf>
    <xf numFmtId="0" fontId="13" fillId="30" borderId="0" xfId="0" applyFont="1" applyFill="1" applyBorder="1" applyAlignment="1" applyProtection="1">
      <protection hidden="1"/>
    </xf>
    <xf numFmtId="0" fontId="13" fillId="0" borderId="0" xfId="0" applyFont="1" applyBorder="1" applyAlignment="1" applyProtection="1">
      <protection hidden="1"/>
    </xf>
    <xf numFmtId="0" fontId="13" fillId="16" borderId="0" xfId="0" applyFont="1" applyFill="1" applyBorder="1" applyAlignment="1" applyProtection="1">
      <protection hidden="1"/>
    </xf>
    <xf numFmtId="0" fontId="13" fillId="30" borderId="6" xfId="0" applyFont="1" applyFill="1" applyBorder="1" applyAlignment="1" applyProtection="1">
      <protection hidden="1"/>
    </xf>
    <xf numFmtId="0" fontId="13" fillId="30" borderId="7" xfId="0" applyFont="1" applyFill="1" applyBorder="1" applyAlignment="1" applyProtection="1">
      <protection hidden="1"/>
    </xf>
    <xf numFmtId="0" fontId="13" fillId="30" borderId="0" xfId="0" applyFont="1" applyFill="1" applyBorder="1" applyAlignment="1"/>
    <xf numFmtId="0" fontId="40" fillId="16" borderId="0" xfId="0" applyFont="1" applyFill="1" applyBorder="1" applyAlignment="1" applyProtection="1">
      <protection hidden="1"/>
    </xf>
    <xf numFmtId="0" fontId="40" fillId="30" borderId="0" xfId="0" applyFont="1" applyFill="1" applyBorder="1" applyAlignment="1"/>
    <xf numFmtId="0" fontId="40" fillId="32" borderId="3" xfId="0" applyFont="1" applyFill="1" applyBorder="1" applyAlignment="1" applyProtection="1">
      <protection hidden="1"/>
    </xf>
    <xf numFmtId="0" fontId="40" fillId="32" borderId="4" xfId="0" applyFont="1" applyFill="1" applyBorder="1" applyAlignment="1" applyProtection="1">
      <protection hidden="1"/>
    </xf>
    <xf numFmtId="0" fontId="40" fillId="32" borderId="5" xfId="0" applyFont="1" applyFill="1" applyBorder="1" applyAlignment="1" applyProtection="1">
      <protection hidden="1"/>
    </xf>
    <xf numFmtId="0" fontId="40" fillId="31" borderId="3" xfId="0" applyFont="1" applyFill="1" applyBorder="1" applyAlignment="1"/>
    <xf numFmtId="0" fontId="40" fillId="31" borderId="4" xfId="0" applyFont="1" applyFill="1" applyBorder="1" applyAlignment="1"/>
    <xf numFmtId="0" fontId="13" fillId="31" borderId="4" xfId="0" applyFont="1" applyFill="1" applyBorder="1" applyAlignment="1"/>
    <xf numFmtId="0" fontId="13" fillId="31" borderId="5" xfId="0" applyFont="1" applyFill="1" applyBorder="1" applyAlignment="1"/>
    <xf numFmtId="0" fontId="40" fillId="32" borderId="6" xfId="0" applyFont="1" applyFill="1" applyBorder="1" applyAlignment="1" applyProtection="1">
      <protection hidden="1"/>
    </xf>
    <xf numFmtId="0" fontId="40" fillId="32" borderId="0" xfId="0" applyFont="1" applyFill="1" applyBorder="1" applyAlignment="1" applyProtection="1">
      <protection hidden="1"/>
    </xf>
    <xf numFmtId="0" fontId="40" fillId="32" borderId="7" xfId="0" applyFont="1" applyFill="1" applyBorder="1" applyAlignment="1" applyProtection="1">
      <protection hidden="1"/>
    </xf>
    <xf numFmtId="0" fontId="40" fillId="31" borderId="6" xfId="0" applyFont="1" applyFill="1" applyBorder="1" applyAlignment="1"/>
    <xf numFmtId="0" fontId="40" fillId="31" borderId="0" xfId="0" applyFont="1" applyFill="1" applyBorder="1" applyAlignment="1"/>
    <xf numFmtId="0" fontId="13" fillId="31" borderId="0" xfId="0" applyFont="1" applyFill="1" applyBorder="1" applyAlignment="1"/>
    <xf numFmtId="0" fontId="13" fillId="31" borderId="7" xfId="0" applyFont="1" applyFill="1" applyBorder="1" applyAlignment="1"/>
    <xf numFmtId="0" fontId="13" fillId="32" borderId="0" xfId="0" applyFont="1" applyFill="1" applyBorder="1" applyAlignment="1" applyProtection="1">
      <protection hidden="1"/>
    </xf>
    <xf numFmtId="0" fontId="48" fillId="34" borderId="37" xfId="0" applyFont="1" applyFill="1" applyBorder="1" applyAlignment="1" applyProtection="1">
      <alignment horizontal="center"/>
      <protection hidden="1"/>
    </xf>
    <xf numFmtId="0" fontId="48" fillId="34" borderId="45" xfId="0" applyFont="1" applyFill="1" applyBorder="1" applyAlignment="1" applyProtection="1">
      <alignment horizontal="center"/>
      <protection hidden="1"/>
    </xf>
    <xf numFmtId="0" fontId="48" fillId="34" borderId="33" xfId="0" applyFont="1" applyFill="1" applyBorder="1" applyAlignment="1" applyProtection="1">
      <alignment horizontal="center"/>
      <protection hidden="1"/>
    </xf>
    <xf numFmtId="0" fontId="40" fillId="32" borderId="7" xfId="0" applyFont="1" applyFill="1" applyBorder="1" applyAlignment="1" applyProtection="1">
      <alignment vertical="center"/>
      <protection hidden="1"/>
    </xf>
    <xf numFmtId="0" fontId="40" fillId="16" borderId="0" xfId="0" applyFont="1" applyFill="1" applyBorder="1" applyAlignment="1" applyProtection="1">
      <alignment vertical="center"/>
      <protection hidden="1"/>
    </xf>
    <xf numFmtId="0" fontId="13" fillId="30" borderId="0" xfId="0" applyFont="1" applyFill="1" applyBorder="1" applyAlignment="1" applyProtection="1">
      <alignment vertical="center"/>
      <protection hidden="1"/>
    </xf>
    <xf numFmtId="2" fontId="13" fillId="30" borderId="0" xfId="0" applyNumberFormat="1" applyFont="1" applyFill="1" applyBorder="1" applyAlignment="1" applyProtection="1">
      <alignment vertical="center"/>
      <protection hidden="1"/>
    </xf>
    <xf numFmtId="0" fontId="40" fillId="31" borderId="6" xfId="0" applyFont="1" applyFill="1" applyBorder="1" applyAlignment="1" applyProtection="1">
      <alignment vertical="center"/>
      <protection hidden="1"/>
    </xf>
    <xf numFmtId="0" fontId="40" fillId="31" borderId="0" xfId="0" applyFont="1" applyFill="1" applyBorder="1" applyAlignment="1" applyProtection="1">
      <alignment vertical="center"/>
      <protection hidden="1"/>
    </xf>
    <xf numFmtId="0" fontId="13" fillId="31" borderId="0" xfId="0" applyFont="1" applyFill="1" applyBorder="1" applyAlignment="1" applyProtection="1">
      <alignment vertical="center"/>
      <protection hidden="1"/>
    </xf>
    <xf numFmtId="0" fontId="13" fillId="31" borderId="7" xfId="0" applyFont="1" applyFill="1" applyBorder="1" applyAlignment="1" applyProtection="1">
      <alignment vertical="center"/>
      <protection hidden="1"/>
    </xf>
    <xf numFmtId="0" fontId="13" fillId="30" borderId="0" xfId="0" applyFont="1" applyFill="1" applyBorder="1" applyAlignment="1">
      <alignment vertical="center"/>
    </xf>
    <xf numFmtId="1" fontId="40" fillId="31" borderId="34" xfId="0" applyNumberFormat="1" applyFont="1" applyFill="1" applyBorder="1" applyAlignment="1" applyProtection="1">
      <alignment vertical="center"/>
      <protection hidden="1"/>
    </xf>
    <xf numFmtId="0" fontId="40" fillId="16" borderId="46" xfId="0" applyFont="1" applyFill="1" applyBorder="1" applyAlignment="1" applyProtection="1">
      <alignment horizontal="center"/>
      <protection hidden="1"/>
    </xf>
    <xf numFmtId="0" fontId="40" fillId="16" borderId="14" xfId="0" applyFont="1" applyFill="1" applyBorder="1" applyAlignment="1" applyProtection="1">
      <alignment horizontal="center"/>
      <protection hidden="1"/>
    </xf>
    <xf numFmtId="1" fontId="40" fillId="16" borderId="14" xfId="0" applyNumberFormat="1" applyFont="1" applyFill="1" applyBorder="1" applyAlignment="1" applyProtection="1">
      <alignment horizontal="right" vertical="center"/>
      <protection hidden="1"/>
    </xf>
    <xf numFmtId="1" fontId="40" fillId="16" borderId="47" xfId="0" applyNumberFormat="1" applyFont="1" applyFill="1" applyBorder="1" applyAlignment="1" applyProtection="1">
      <alignment horizontal="right" vertical="center"/>
      <protection hidden="1"/>
    </xf>
    <xf numFmtId="0" fontId="13" fillId="32" borderId="7" xfId="0" applyFont="1" applyFill="1" applyBorder="1" applyAlignment="1" applyProtection="1">
      <alignment vertical="center"/>
      <protection hidden="1"/>
    </xf>
    <xf numFmtId="0" fontId="13" fillId="16" borderId="0" xfId="0" applyFont="1" applyFill="1" applyBorder="1" applyAlignment="1" applyProtection="1">
      <alignment vertical="center"/>
      <protection hidden="1"/>
    </xf>
    <xf numFmtId="0" fontId="40" fillId="31" borderId="25" xfId="0" applyFont="1" applyFill="1" applyBorder="1" applyAlignment="1" applyProtection="1">
      <alignment vertical="center"/>
      <protection hidden="1"/>
    </xf>
    <xf numFmtId="0" fontId="40" fillId="16" borderId="24" xfId="0" applyFont="1" applyFill="1" applyBorder="1" applyAlignment="1" applyProtection="1">
      <alignment horizontal="center"/>
      <protection hidden="1"/>
    </xf>
    <xf numFmtId="0" fontId="40" fillId="16" borderId="1" xfId="0" applyFont="1" applyFill="1" applyBorder="1" applyAlignment="1" applyProtection="1">
      <alignment horizontal="center"/>
      <protection hidden="1"/>
    </xf>
    <xf numFmtId="1" fontId="40" fillId="16" borderId="1" xfId="0" applyNumberFormat="1" applyFont="1" applyFill="1" applyBorder="1" applyAlignment="1" applyProtection="1">
      <alignment horizontal="right" vertical="center"/>
      <protection hidden="1"/>
    </xf>
    <xf numFmtId="1" fontId="40" fillId="16" borderId="25" xfId="0" applyNumberFormat="1" applyFont="1" applyFill="1" applyBorder="1" applyAlignment="1" applyProtection="1">
      <alignment horizontal="right" vertical="center"/>
      <protection hidden="1"/>
    </xf>
    <xf numFmtId="10" fontId="40" fillId="31" borderId="25" xfId="0" applyNumberFormat="1" applyFont="1" applyFill="1" applyBorder="1" applyAlignment="1" applyProtection="1">
      <alignment vertical="center"/>
      <protection hidden="1"/>
    </xf>
    <xf numFmtId="10" fontId="40" fillId="26" borderId="25" xfId="0" applyNumberFormat="1" applyFont="1" applyFill="1" applyBorder="1" applyAlignment="1" applyProtection="1">
      <alignment vertical="center"/>
      <protection hidden="1"/>
    </xf>
    <xf numFmtId="0" fontId="40" fillId="16" borderId="26" xfId="0" applyFont="1" applyFill="1" applyBorder="1" applyAlignment="1" applyProtection="1">
      <alignment horizontal="left"/>
      <protection hidden="1"/>
    </xf>
    <xf numFmtId="0" fontId="40" fillId="16" borderId="27" xfId="0" applyFont="1" applyFill="1" applyBorder="1" applyAlignment="1" applyProtection="1">
      <alignment horizontal="left"/>
      <protection hidden="1"/>
    </xf>
    <xf numFmtId="1" fontId="40" fillId="33" borderId="36" xfId="0" applyNumberFormat="1" applyFont="1" applyFill="1" applyBorder="1" applyAlignment="1" applyProtection="1">
      <alignment vertical="center"/>
      <protection hidden="1"/>
    </xf>
    <xf numFmtId="172" fontId="40" fillId="32" borderId="0" xfId="1" applyNumberFormat="1" applyFont="1" applyFill="1" applyBorder="1" applyAlignment="1" applyProtection="1">
      <protection hidden="1"/>
    </xf>
    <xf numFmtId="0" fontId="40" fillId="16" borderId="26" xfId="0" applyFont="1" applyFill="1" applyBorder="1" applyAlignment="1" applyProtection="1">
      <alignment horizontal="center"/>
      <protection hidden="1"/>
    </xf>
    <xf numFmtId="0" fontId="40" fillId="16" borderId="27" xfId="0" applyFont="1" applyFill="1" applyBorder="1" applyAlignment="1" applyProtection="1">
      <alignment horizontal="center"/>
      <protection hidden="1"/>
    </xf>
    <xf numFmtId="1" fontId="40" fillId="16" borderId="27" xfId="0" applyNumberFormat="1" applyFont="1" applyFill="1" applyBorder="1" applyAlignment="1" applyProtection="1">
      <alignment horizontal="right" vertical="center"/>
      <protection hidden="1"/>
    </xf>
    <xf numFmtId="1" fontId="40" fillId="16" borderId="36" xfId="0" applyNumberFormat="1" applyFont="1" applyFill="1" applyBorder="1" applyAlignment="1" applyProtection="1">
      <alignment horizontal="right" vertical="center"/>
      <protection hidden="1"/>
    </xf>
    <xf numFmtId="0" fontId="40" fillId="30" borderId="0" xfId="0" applyFont="1" applyFill="1" applyBorder="1" applyAlignment="1" applyProtection="1">
      <protection hidden="1"/>
    </xf>
    <xf numFmtId="0" fontId="40" fillId="31" borderId="6" xfId="0" applyFont="1" applyFill="1" applyBorder="1" applyAlignment="1" applyProtection="1">
      <protection hidden="1"/>
    </xf>
    <xf numFmtId="0" fontId="40" fillId="31" borderId="0" xfId="0" applyFont="1" applyFill="1" applyBorder="1" applyAlignment="1" applyProtection="1">
      <protection hidden="1"/>
    </xf>
    <xf numFmtId="0" fontId="13" fillId="31" borderId="0" xfId="0" applyFont="1" applyFill="1" applyBorder="1" applyAlignment="1" applyProtection="1">
      <protection hidden="1"/>
    </xf>
    <xf numFmtId="0" fontId="13" fillId="31" borderId="7" xfId="0" applyFont="1" applyFill="1" applyBorder="1" applyAlignment="1" applyProtection="1">
      <protection hidden="1"/>
    </xf>
    <xf numFmtId="0" fontId="13" fillId="31" borderId="0" xfId="0" applyFont="1" applyFill="1" applyBorder="1" applyAlignment="1" applyProtection="1">
      <alignment horizontal="center" vertical="center"/>
      <protection hidden="1"/>
    </xf>
    <xf numFmtId="172" fontId="42" fillId="31" borderId="0" xfId="1" applyNumberFormat="1" applyFont="1" applyFill="1" applyBorder="1" applyAlignment="1" applyProtection="1">
      <alignment horizontal="right" vertical="center"/>
      <protection hidden="1"/>
    </xf>
    <xf numFmtId="166" fontId="40" fillId="32" borderId="0" xfId="0" applyNumberFormat="1" applyFont="1" applyFill="1" applyBorder="1" applyAlignment="1" applyProtection="1">
      <protection hidden="1"/>
    </xf>
    <xf numFmtId="0" fontId="13" fillId="31" borderId="6" xfId="0" applyFont="1" applyFill="1" applyBorder="1" applyAlignment="1" applyProtection="1">
      <protection hidden="1"/>
    </xf>
    <xf numFmtId="0" fontId="40" fillId="32" borderId="46" xfId="0" applyFont="1" applyFill="1" applyBorder="1" applyAlignment="1" applyProtection="1">
      <protection hidden="1"/>
    </xf>
    <xf numFmtId="10" fontId="40" fillId="32" borderId="14" xfId="2" applyNumberFormat="1" applyFont="1" applyFill="1" applyBorder="1" applyAlignment="1" applyProtection="1">
      <protection hidden="1"/>
    </xf>
    <xf numFmtId="0" fontId="40" fillId="32" borderId="14" xfId="0" applyFont="1" applyFill="1" applyBorder="1" applyAlignment="1" applyProtection="1">
      <protection hidden="1"/>
    </xf>
    <xf numFmtId="172" fontId="40" fillId="32" borderId="14" xfId="1" applyNumberFormat="1" applyFont="1" applyFill="1" applyBorder="1" applyAlignment="1" applyProtection="1">
      <protection hidden="1"/>
    </xf>
    <xf numFmtId="1" fontId="40" fillId="32" borderId="14" xfId="0" applyNumberFormat="1" applyFont="1" applyFill="1" applyBorder="1" applyAlignment="1" applyProtection="1">
      <protection hidden="1"/>
    </xf>
    <xf numFmtId="0" fontId="40" fillId="32" borderId="47" xfId="0" applyFont="1" applyFill="1" applyBorder="1" applyAlignment="1" applyProtection="1">
      <protection hidden="1"/>
    </xf>
    <xf numFmtId="0" fontId="13" fillId="30" borderId="24" xfId="0" applyFont="1" applyFill="1" applyBorder="1" applyAlignment="1" applyProtection="1">
      <protection hidden="1"/>
    </xf>
    <xf numFmtId="10" fontId="13" fillId="30" borderId="1" xfId="2" applyNumberFormat="1" applyFont="1" applyFill="1" applyBorder="1" applyAlignment="1" applyProtection="1">
      <protection hidden="1"/>
    </xf>
    <xf numFmtId="9" fontId="13" fillId="30" borderId="1" xfId="2" applyFont="1" applyFill="1" applyBorder="1" applyAlignment="1" applyProtection="1">
      <protection hidden="1"/>
    </xf>
    <xf numFmtId="0" fontId="13" fillId="30" borderId="1" xfId="0" applyFont="1" applyFill="1" applyBorder="1" applyAlignment="1" applyProtection="1">
      <protection hidden="1"/>
    </xf>
    <xf numFmtId="0" fontId="13" fillId="30" borderId="25" xfId="0" applyFont="1" applyFill="1" applyBorder="1" applyAlignment="1" applyProtection="1">
      <protection hidden="1"/>
    </xf>
    <xf numFmtId="0" fontId="40" fillId="32" borderId="48" xfId="0" applyFont="1" applyFill="1" applyBorder="1" applyAlignment="1" applyProtection="1">
      <protection hidden="1"/>
    </xf>
    <xf numFmtId="172" fontId="40" fillId="32" borderId="2" xfId="1" applyNumberFormat="1" applyFont="1" applyFill="1" applyBorder="1" applyAlignment="1" applyProtection="1">
      <protection hidden="1"/>
    </xf>
    <xf numFmtId="0" fontId="40" fillId="32" borderId="2" xfId="0" applyFont="1" applyFill="1" applyBorder="1" applyAlignment="1" applyProtection="1">
      <protection hidden="1"/>
    </xf>
    <xf numFmtId="0" fontId="40" fillId="32" borderId="49" xfId="0" applyFont="1" applyFill="1" applyBorder="1" applyAlignment="1" applyProtection="1">
      <protection hidden="1"/>
    </xf>
    <xf numFmtId="0" fontId="13" fillId="30" borderId="48" xfId="0" applyFont="1" applyFill="1" applyBorder="1" applyAlignment="1" applyProtection="1">
      <protection hidden="1"/>
    </xf>
    <xf numFmtId="172" fontId="13" fillId="30" borderId="2" xfId="0" applyNumberFormat="1" applyFont="1" applyFill="1" applyBorder="1" applyAlignment="1" applyProtection="1">
      <protection hidden="1"/>
    </xf>
    <xf numFmtId="0" fontId="13" fillId="30" borderId="2" xfId="0" applyFont="1" applyFill="1" applyBorder="1" applyAlignment="1" applyProtection="1">
      <protection hidden="1"/>
    </xf>
    <xf numFmtId="0" fontId="13" fillId="30" borderId="49" xfId="0" applyFont="1" applyFill="1" applyBorder="1" applyAlignment="1" applyProtection="1">
      <protection hidden="1"/>
    </xf>
    <xf numFmtId="0" fontId="40" fillId="20" borderId="37" xfId="0" applyFont="1" applyFill="1" applyBorder="1" applyAlignment="1" applyProtection="1">
      <alignment horizontal="center"/>
      <protection hidden="1"/>
    </xf>
    <xf numFmtId="172" fontId="40" fillId="20" borderId="45" xfId="1" applyNumberFormat="1" applyFont="1" applyFill="1" applyBorder="1" applyAlignment="1" applyProtection="1">
      <alignment horizontal="center"/>
      <protection hidden="1"/>
    </xf>
    <xf numFmtId="172" fontId="40" fillId="20" borderId="33" xfId="1" applyNumberFormat="1" applyFont="1" applyFill="1" applyBorder="1" applyAlignment="1" applyProtection="1">
      <alignment horizontal="center"/>
      <protection hidden="1"/>
    </xf>
    <xf numFmtId="0" fontId="40" fillId="30" borderId="9" xfId="0" applyFont="1" applyFill="1" applyBorder="1" applyAlignment="1" applyProtection="1">
      <alignment horizontal="center"/>
      <protection hidden="1"/>
    </xf>
    <xf numFmtId="1" fontId="40" fillId="30" borderId="1" xfId="0" applyNumberFormat="1" applyFont="1" applyFill="1" applyBorder="1" applyAlignment="1" applyProtection="1">
      <alignment horizontal="center"/>
      <protection hidden="1"/>
    </xf>
    <xf numFmtId="0" fontId="40" fillId="30" borderId="1" xfId="0" applyFont="1" applyFill="1" applyBorder="1" applyAlignment="1" applyProtection="1">
      <alignment horizontal="center"/>
      <protection hidden="1"/>
    </xf>
    <xf numFmtId="0" fontId="40" fillId="30" borderId="0" xfId="0" applyFont="1" applyFill="1" applyBorder="1" applyAlignment="1" applyProtection="1">
      <alignment horizontal="center"/>
      <protection hidden="1"/>
    </xf>
    <xf numFmtId="164" fontId="40" fillId="20" borderId="37" xfId="1" applyFont="1" applyFill="1" applyBorder="1" applyAlignment="1" applyProtection="1">
      <alignment horizontal="center"/>
      <protection hidden="1"/>
    </xf>
    <xf numFmtId="164" fontId="40" fillId="20" borderId="45" xfId="1" applyFont="1" applyFill="1" applyBorder="1" applyAlignment="1" applyProtection="1">
      <alignment horizontal="center"/>
      <protection hidden="1"/>
    </xf>
    <xf numFmtId="164" fontId="40" fillId="20" borderId="33" xfId="1" applyFont="1" applyFill="1" applyBorder="1" applyAlignment="1" applyProtection="1">
      <alignment horizontal="center"/>
      <protection hidden="1"/>
    </xf>
    <xf numFmtId="1" fontId="40" fillId="16" borderId="14" xfId="1" applyNumberFormat="1" applyFont="1" applyFill="1" applyBorder="1" applyAlignment="1" applyProtection="1">
      <protection hidden="1"/>
    </xf>
    <xf numFmtId="1" fontId="40" fillId="16" borderId="47" xfId="1" applyNumberFormat="1" applyFont="1" applyFill="1" applyBorder="1" applyAlignment="1" applyProtection="1">
      <protection hidden="1"/>
    </xf>
    <xf numFmtId="0" fontId="40" fillId="30" borderId="9" xfId="0" applyFont="1" applyFill="1" applyBorder="1" applyAlignment="1" applyProtection="1">
      <protection hidden="1"/>
    </xf>
    <xf numFmtId="1" fontId="40" fillId="30" borderId="1" xfId="0" applyNumberFormat="1" applyFont="1" applyFill="1" applyBorder="1" applyAlignment="1" applyProtection="1">
      <protection hidden="1"/>
    </xf>
    <xf numFmtId="1" fontId="40" fillId="30" borderId="0" xfId="0" applyNumberFormat="1" applyFont="1" applyFill="1" applyBorder="1" applyAlignment="1" applyProtection="1">
      <protection hidden="1"/>
    </xf>
    <xf numFmtId="0" fontId="40" fillId="16" borderId="46" xfId="1" applyNumberFormat="1" applyFont="1" applyFill="1" applyBorder="1" applyAlignment="1" applyProtection="1">
      <alignment horizontal="center" vertical="center"/>
      <protection hidden="1"/>
    </xf>
    <xf numFmtId="1" fontId="40" fillId="16" borderId="1" xfId="1" applyNumberFormat="1" applyFont="1" applyFill="1" applyBorder="1" applyAlignment="1" applyProtection="1">
      <protection hidden="1"/>
    </xf>
    <xf numFmtId="1" fontId="40" fillId="16" borderId="25" xfId="1" applyNumberFormat="1" applyFont="1" applyFill="1" applyBorder="1" applyAlignment="1" applyProtection="1">
      <protection hidden="1"/>
    </xf>
    <xf numFmtId="0" fontId="40" fillId="16" borderId="24" xfId="1" applyNumberFormat="1" applyFont="1" applyFill="1" applyBorder="1" applyAlignment="1" applyProtection="1">
      <alignment horizontal="center" vertical="center"/>
      <protection hidden="1"/>
    </xf>
    <xf numFmtId="1" fontId="13" fillId="30" borderId="0" xfId="0" applyNumberFormat="1" applyFont="1" applyFill="1" applyBorder="1" applyAlignment="1"/>
    <xf numFmtId="172" fontId="13" fillId="30" borderId="0" xfId="0" applyNumberFormat="1" applyFont="1" applyFill="1" applyBorder="1" applyAlignment="1"/>
    <xf numFmtId="0" fontId="42" fillId="16" borderId="50" xfId="0" applyFont="1" applyFill="1" applyBorder="1" applyAlignment="1" applyProtection="1">
      <alignment horizontal="center" vertical="center"/>
      <protection hidden="1"/>
    </xf>
    <xf numFmtId="0" fontId="37" fillId="17" borderId="9" xfId="0" applyFont="1" applyFill="1" applyBorder="1" applyAlignment="1" applyProtection="1">
      <alignment horizontal="center" vertical="center"/>
      <protection hidden="1"/>
    </xf>
    <xf numFmtId="0" fontId="44" fillId="17" borderId="1" xfId="0" applyFont="1" applyFill="1" applyBorder="1" applyAlignment="1" applyProtection="1">
      <alignment horizontal="center" vertical="center"/>
      <protection hidden="1"/>
    </xf>
    <xf numFmtId="0" fontId="37" fillId="17" borderId="1" xfId="0" applyFont="1" applyFill="1" applyBorder="1" applyAlignment="1" applyProtection="1">
      <alignment horizontal="center" vertical="center"/>
      <protection hidden="1"/>
    </xf>
    <xf numFmtId="0" fontId="37" fillId="17" borderId="10" xfId="0" applyFont="1" applyFill="1" applyBorder="1" applyAlignment="1" applyProtection="1">
      <alignment horizontal="center" vertical="center"/>
      <protection hidden="1"/>
    </xf>
    <xf numFmtId="10" fontId="43" fillId="0" borderId="51" xfId="0" applyNumberFormat="1" applyFont="1" applyBorder="1" applyAlignment="1" applyProtection="1">
      <alignment horizontal="center" vertical="center"/>
      <protection hidden="1"/>
    </xf>
    <xf numFmtId="1" fontId="40" fillId="31" borderId="9" xfId="0" applyNumberFormat="1" applyFont="1" applyFill="1" applyBorder="1" applyAlignment="1" applyProtection="1">
      <alignment horizontal="center" vertical="center"/>
      <protection hidden="1"/>
    </xf>
    <xf numFmtId="1" fontId="42" fillId="31" borderId="1" xfId="0" applyNumberFormat="1" applyFont="1" applyFill="1" applyBorder="1" applyAlignment="1" applyProtection="1">
      <alignment horizontal="center" vertical="center"/>
      <protection hidden="1"/>
    </xf>
    <xf numFmtId="1" fontId="40" fillId="31" borderId="1" xfId="0" applyNumberFormat="1" applyFont="1" applyFill="1" applyBorder="1" applyAlignment="1" applyProtection="1">
      <alignment horizontal="center" vertical="center"/>
      <protection hidden="1"/>
    </xf>
    <xf numFmtId="1" fontId="40" fillId="31" borderId="10" xfId="0" applyNumberFormat="1" applyFont="1" applyFill="1" applyBorder="1" applyAlignment="1" applyProtection="1">
      <alignment horizontal="center" vertical="center"/>
      <protection hidden="1"/>
    </xf>
    <xf numFmtId="1" fontId="40" fillId="18" borderId="1" xfId="0" applyNumberFormat="1" applyFont="1" applyFill="1" applyBorder="1" applyAlignment="1" applyProtection="1">
      <alignment horizontal="center" vertical="center"/>
      <protection hidden="1"/>
    </xf>
    <xf numFmtId="1" fontId="42" fillId="18" borderId="1" xfId="0" applyNumberFormat="1" applyFont="1" applyFill="1" applyBorder="1" applyAlignment="1" applyProtection="1">
      <alignment horizontal="center" vertical="center"/>
      <protection hidden="1"/>
    </xf>
    <xf numFmtId="1" fontId="40" fillId="18" borderId="10" xfId="0" applyNumberFormat="1" applyFont="1" applyFill="1" applyBorder="1" applyAlignment="1" applyProtection="1">
      <alignment horizontal="center" vertical="center"/>
      <protection hidden="1"/>
    </xf>
    <xf numFmtId="10" fontId="43" fillId="0" borderId="9" xfId="0" applyNumberFormat="1" applyFont="1" applyBorder="1" applyAlignment="1" applyProtection="1">
      <alignment horizontal="center" vertical="center"/>
      <protection hidden="1"/>
    </xf>
    <xf numFmtId="0" fontId="48" fillId="34" borderId="1" xfId="0" applyFont="1" applyFill="1" applyBorder="1" applyAlignment="1" applyProtection="1">
      <alignment horizontal="center" vertical="center"/>
      <protection hidden="1"/>
    </xf>
    <xf numFmtId="0" fontId="53" fillId="34" borderId="1" xfId="0" applyFont="1" applyFill="1" applyBorder="1" applyAlignment="1" applyProtection="1">
      <alignment horizontal="center" vertical="center"/>
      <protection hidden="1"/>
    </xf>
    <xf numFmtId="0" fontId="48" fillId="34" borderId="10" xfId="0" applyFont="1" applyFill="1" applyBorder="1" applyAlignment="1" applyProtection="1">
      <alignment horizontal="center" vertical="center"/>
      <protection hidden="1"/>
    </xf>
    <xf numFmtId="0" fontId="54" fillId="16" borderId="15" xfId="0" applyFont="1" applyFill="1" applyBorder="1" applyAlignment="1" applyProtection="1">
      <alignment vertical="center"/>
      <protection hidden="1"/>
    </xf>
    <xf numFmtId="0" fontId="40" fillId="16" borderId="9" xfId="0" applyFont="1" applyFill="1" applyBorder="1" applyAlignment="1" applyProtection="1">
      <alignment vertical="center"/>
      <protection hidden="1"/>
    </xf>
    <xf numFmtId="10" fontId="40" fillId="26" borderId="1" xfId="0" applyNumberFormat="1" applyFont="1" applyFill="1" applyBorder="1" applyAlignment="1" applyProtection="1">
      <alignment horizontal="right" vertical="center" indent="5"/>
      <protection hidden="1"/>
    </xf>
    <xf numFmtId="10" fontId="40" fillId="26" borderId="10" xfId="0" applyNumberFormat="1" applyFont="1" applyFill="1" applyBorder="1" applyAlignment="1" applyProtection="1">
      <alignment horizontal="right" vertical="center" indent="5"/>
      <protection hidden="1"/>
    </xf>
    <xf numFmtId="1" fontId="40" fillId="33" borderId="1" xfId="0" applyNumberFormat="1" applyFont="1" applyFill="1" applyBorder="1" applyAlignment="1" applyProtection="1">
      <alignment horizontal="right" vertical="center" indent="5"/>
      <protection hidden="1"/>
    </xf>
    <xf numFmtId="1" fontId="40" fillId="33" borderId="10" xfId="0" applyNumberFormat="1" applyFont="1" applyFill="1" applyBorder="1" applyAlignment="1" applyProtection="1">
      <alignment horizontal="right" vertical="center" indent="5"/>
      <protection hidden="1"/>
    </xf>
    <xf numFmtId="1" fontId="40" fillId="16" borderId="1" xfId="1" applyNumberFormat="1" applyFont="1" applyFill="1" applyBorder="1" applyAlignment="1" applyProtection="1">
      <alignment horizontal="right"/>
      <protection hidden="1"/>
    </xf>
    <xf numFmtId="1" fontId="40" fillId="16" borderId="27" xfId="1" applyNumberFormat="1" applyFont="1" applyFill="1" applyBorder="1" applyAlignment="1" applyProtection="1">
      <alignment horizontal="right"/>
      <protection hidden="1"/>
    </xf>
    <xf numFmtId="1" fontId="40" fillId="16" borderId="27" xfId="1" applyNumberFormat="1" applyFont="1" applyFill="1" applyBorder="1" applyAlignment="1" applyProtection="1">
      <protection hidden="1"/>
    </xf>
    <xf numFmtId="1" fontId="40" fillId="16" borderId="36" xfId="1" applyNumberFormat="1" applyFont="1" applyFill="1" applyBorder="1" applyAlignment="1" applyProtection="1">
      <protection hidden="1"/>
    </xf>
    <xf numFmtId="0" fontId="40" fillId="16" borderId="26" xfId="1" applyNumberFormat="1" applyFont="1" applyFill="1" applyBorder="1" applyAlignment="1" applyProtection="1">
      <alignment horizontal="center" vertical="center"/>
      <protection hidden="1"/>
    </xf>
    <xf numFmtId="0" fontId="40" fillId="16" borderId="0" xfId="0" applyFont="1" applyFill="1" applyBorder="1" applyAlignment="1" applyProtection="1">
      <alignment horizontal="center"/>
      <protection hidden="1"/>
    </xf>
    <xf numFmtId="1" fontId="40" fillId="16" borderId="0" xfId="1" applyNumberFormat="1" applyFont="1" applyFill="1" applyBorder="1" applyAlignment="1" applyProtection="1">
      <protection hidden="1"/>
    </xf>
    <xf numFmtId="0" fontId="40" fillId="16" borderId="0" xfId="1" applyNumberFormat="1" applyFont="1" applyFill="1" applyBorder="1" applyAlignment="1" applyProtection="1">
      <alignment horizontal="center" vertical="center"/>
      <protection hidden="1"/>
    </xf>
    <xf numFmtId="172" fontId="40" fillId="16" borderId="0" xfId="1" applyNumberFormat="1" applyFont="1" applyFill="1" applyBorder="1" applyAlignment="1" applyProtection="1">
      <protection hidden="1"/>
    </xf>
    <xf numFmtId="0" fontId="40" fillId="32" borderId="11" xfId="0" applyFont="1" applyFill="1" applyBorder="1" applyAlignment="1" applyProtection="1">
      <protection hidden="1"/>
    </xf>
    <xf numFmtId="0" fontId="40" fillId="32" borderId="12" xfId="0" applyFont="1" applyFill="1" applyBorder="1" applyAlignment="1" applyProtection="1">
      <protection hidden="1"/>
    </xf>
    <xf numFmtId="0" fontId="40" fillId="32" borderId="13" xfId="0" applyFont="1" applyFill="1" applyBorder="1" applyAlignment="1" applyProtection="1">
      <protection hidden="1"/>
    </xf>
    <xf numFmtId="0" fontId="40" fillId="31" borderId="11" xfId="0" applyFont="1" applyFill="1" applyBorder="1" applyAlignment="1" applyProtection="1">
      <protection hidden="1"/>
    </xf>
    <xf numFmtId="0" fontId="13" fillId="31" borderId="12" xfId="0" applyFont="1" applyFill="1" applyBorder="1" applyAlignment="1" applyProtection="1">
      <protection hidden="1"/>
    </xf>
    <xf numFmtId="0" fontId="13" fillId="31" borderId="13" xfId="0" applyFont="1" applyFill="1" applyBorder="1" applyAlignment="1" applyProtection="1">
      <protection hidden="1"/>
    </xf>
    <xf numFmtId="0" fontId="1" fillId="0" borderId="0" xfId="0" applyFont="1">
      <alignment vertical="center"/>
    </xf>
    <xf numFmtId="0" fontId="1" fillId="0" borderId="0" xfId="0" applyFont="1" applyAlignment="1">
      <alignment horizontal="center" vertical="center"/>
    </xf>
    <xf numFmtId="0" fontId="4" fillId="26" borderId="1" xfId="0" applyFont="1" applyFill="1" applyBorder="1" applyAlignment="1">
      <alignment horizontal="center" vertical="center" wrapText="1"/>
    </xf>
    <xf numFmtId="0" fontId="4" fillId="26"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16" borderId="1" xfId="0" applyFont="1" applyFill="1" applyBorder="1">
      <alignment vertical="center"/>
    </xf>
    <xf numFmtId="0" fontId="1" fillId="16" borderId="1" xfId="0" applyFont="1" applyFill="1" applyBorder="1" applyAlignment="1">
      <alignment horizontal="center" vertical="center"/>
    </xf>
    <xf numFmtId="0" fontId="1" fillId="16" borderId="1" xfId="0" applyFont="1" applyFill="1" applyBorder="1" applyAlignment="1">
      <alignment vertical="center" wrapText="1"/>
    </xf>
    <xf numFmtId="0" fontId="1" fillId="0" borderId="1" xfId="0" applyFont="1" applyBorder="1" applyAlignment="1">
      <alignment horizontal="left" vertical="center" wrapText="1" indent="9"/>
    </xf>
    <xf numFmtId="0" fontId="1" fillId="0" borderId="1" xfId="0" applyFont="1" applyBorder="1" applyAlignment="1">
      <alignment horizontal="left" vertical="center" wrapText="1" indent="15"/>
    </xf>
    <xf numFmtId="0" fontId="1" fillId="0" borderId="1" xfId="0" applyFont="1" applyBorder="1" applyAlignment="1">
      <alignment horizontal="left" vertical="center" wrapText="1" indent="7"/>
    </xf>
    <xf numFmtId="0" fontId="1" fillId="0" borderId="1" xfId="0" applyFont="1" applyBorder="1" applyAlignment="1">
      <alignment horizontal="center" vertical="center"/>
    </xf>
    <xf numFmtId="18" fontId="1" fillId="0" borderId="1" xfId="0" applyNumberFormat="1" applyFont="1" applyBorder="1" applyAlignment="1">
      <alignment vertical="center" wrapText="1"/>
    </xf>
    <xf numFmtId="0" fontId="4" fillId="0" borderId="1" xfId="0" applyFont="1" applyBorder="1" applyAlignment="1">
      <alignment vertical="center" wrapText="1"/>
    </xf>
    <xf numFmtId="0" fontId="5" fillId="16" borderId="0" xfId="0" applyFont="1" applyFill="1" applyAlignment="1" applyProtection="1">
      <alignment wrapText="1"/>
    </xf>
    <xf numFmtId="0" fontId="5" fillId="0" borderId="0" xfId="0" applyFont="1" applyAlignment="1" applyProtection="1">
      <alignment horizontal="center" wrapText="1"/>
    </xf>
    <xf numFmtId="0" fontId="5" fillId="0" borderId="0" xfId="0" applyFont="1" applyAlignment="1" applyProtection="1">
      <alignment wrapText="1"/>
    </xf>
    <xf numFmtId="0" fontId="5" fillId="16" borderId="0" xfId="0" applyFont="1" applyFill="1" applyAlignment="1" applyProtection="1">
      <alignment horizontal="right" vertical="center" wrapText="1"/>
    </xf>
    <xf numFmtId="0" fontId="33" fillId="17" borderId="1" xfId="0" applyFont="1" applyFill="1" applyBorder="1" applyAlignment="1" applyProtection="1">
      <alignment vertical="top" wrapText="1"/>
    </xf>
    <xf numFmtId="0" fontId="33" fillId="17" borderId="2" xfId="0" applyFont="1" applyFill="1" applyBorder="1" applyAlignment="1" applyProtection="1">
      <alignment vertical="top" wrapText="1"/>
    </xf>
    <xf numFmtId="0" fontId="33" fillId="17" borderId="0" xfId="0" applyFont="1" applyFill="1" applyAlignment="1" applyProtection="1">
      <alignment vertical="top" wrapText="1"/>
    </xf>
    <xf numFmtId="0" fontId="33" fillId="17" borderId="0" xfId="0" applyFont="1" applyFill="1" applyAlignment="1" applyProtection="1">
      <alignment horizontal="right" vertical="center" wrapText="1"/>
    </xf>
    <xf numFmtId="0" fontId="5" fillId="35" borderId="1" xfId="0" applyFont="1" applyFill="1" applyBorder="1" applyAlignment="1" applyProtection="1">
      <alignment vertical="top" wrapText="1"/>
    </xf>
    <xf numFmtId="0" fontId="5" fillId="0" borderId="1" xfId="0" applyFont="1" applyBorder="1" applyAlignment="1" applyProtection="1">
      <alignment vertical="top" wrapText="1"/>
    </xf>
    <xf numFmtId="176" fontId="5" fillId="16" borderId="1" xfId="0" applyNumberFormat="1" applyFont="1" applyFill="1" applyBorder="1" applyAlignment="1" applyProtection="1">
      <alignment horizontal="right" vertical="top" wrapText="1"/>
    </xf>
    <xf numFmtId="2" fontId="5" fillId="0" borderId="1" xfId="0" applyNumberFormat="1" applyFont="1" applyBorder="1" applyAlignment="1" applyProtection="1">
      <alignment vertical="top" wrapText="1"/>
    </xf>
    <xf numFmtId="0" fontId="5" fillId="0" borderId="0" xfId="0" applyFont="1" applyAlignment="1" applyProtection="1">
      <alignment vertical="center" wrapText="1"/>
    </xf>
    <xf numFmtId="0" fontId="5" fillId="0" borderId="1" xfId="0" applyFont="1" applyBorder="1" applyAlignment="1" applyProtection="1">
      <alignment horizontal="right" vertical="top" wrapText="1"/>
    </xf>
    <xf numFmtId="9" fontId="5" fillId="0" borderId="1" xfId="2" applyFont="1" applyBorder="1" applyAlignment="1" applyProtection="1">
      <alignment horizontal="right" vertical="top" wrapText="1"/>
    </xf>
    <xf numFmtId="0" fontId="33" fillId="17" borderId="1" xfId="0" applyFont="1" applyFill="1" applyBorder="1" applyAlignment="1" applyProtection="1">
      <alignment vertical="center" wrapText="1"/>
    </xf>
    <xf numFmtId="0" fontId="5" fillId="0" borderId="1" xfId="0" applyFont="1" applyBorder="1" applyAlignment="1" applyProtection="1">
      <alignment horizontal="left" vertical="top" wrapText="1"/>
    </xf>
    <xf numFmtId="0" fontId="17" fillId="0" borderId="1" xfId="0" applyFont="1" applyBorder="1" applyAlignment="1" applyProtection="1">
      <alignment horizontal="center"/>
      <protection locked="0"/>
    </xf>
    <xf numFmtId="0" fontId="55" fillId="36" borderId="0" xfId="0" applyFont="1" applyFill="1" applyAlignment="1" applyProtection="1">
      <protection hidden="1"/>
    </xf>
    <xf numFmtId="1" fontId="0" fillId="19" borderId="1" xfId="0" applyNumberFormat="1" applyFill="1" applyBorder="1" applyAlignment="1" applyProtection="1">
      <alignment horizontal="center" vertical="top" wrapText="1"/>
      <protection hidden="1"/>
    </xf>
    <xf numFmtId="1" fontId="8" fillId="19" borderId="1" xfId="0" applyNumberFormat="1" applyFont="1" applyFill="1" applyBorder="1" applyAlignment="1" applyProtection="1">
      <alignment horizontal="center" vertical="top" wrapText="1"/>
      <protection hidden="1"/>
    </xf>
    <xf numFmtId="1" fontId="8" fillId="19" borderId="1" xfId="0" applyNumberFormat="1" applyFont="1" applyFill="1" applyBorder="1" applyAlignment="1" applyProtection="1">
      <alignment horizontal="center"/>
      <protection hidden="1"/>
    </xf>
    <xf numFmtId="9" fontId="19" fillId="16" borderId="21" xfId="2" applyNumberFormat="1" applyFont="1" applyFill="1" applyBorder="1" applyAlignment="1" applyProtection="1">
      <alignment horizontal="center" vertical="top"/>
    </xf>
    <xf numFmtId="168" fontId="56" fillId="0" borderId="1" xfId="0" applyNumberFormat="1" applyFont="1" applyBorder="1" applyAlignment="1" applyProtection="1">
      <alignment horizontal="center" vertical="top"/>
      <protection locked="0"/>
    </xf>
    <xf numFmtId="174" fontId="17" fillId="19" borderId="24" xfId="0" applyNumberFormat="1" applyFont="1" applyFill="1" applyBorder="1" applyAlignment="1" applyProtection="1">
      <alignment horizontal="center"/>
      <protection locked="0"/>
    </xf>
    <xf numFmtId="0" fontId="17" fillId="0" borderId="1" xfId="0" applyFont="1" applyBorder="1" applyAlignment="1" applyProtection="1">
      <alignment horizontal="center"/>
      <protection locked="0"/>
    </xf>
    <xf numFmtId="0" fontId="17" fillId="0" borderId="1" xfId="0" applyFont="1" applyBorder="1" applyAlignment="1" applyProtection="1">
      <alignment horizontal="center"/>
      <protection locked="0"/>
    </xf>
    <xf numFmtId="17" fontId="0" fillId="16" borderId="1" xfId="0" applyNumberFormat="1" applyFill="1" applyBorder="1" applyAlignment="1" applyProtection="1">
      <alignment horizontal="center"/>
      <protection locked="0"/>
    </xf>
    <xf numFmtId="0" fontId="17" fillId="0" borderId="1" xfId="0" applyFont="1" applyFill="1" applyBorder="1" applyAlignment="1" applyProtection="1">
      <alignment horizontal="center"/>
      <protection locked="0"/>
    </xf>
    <xf numFmtId="0" fontId="5" fillId="0" borderId="1" xfId="0" applyFont="1" applyBorder="1" applyAlignment="1" applyProtection="1">
      <alignment horizontal="center" vertical="top" wrapText="1"/>
      <protection locked="0"/>
    </xf>
    <xf numFmtId="0" fontId="57" fillId="16" borderId="1" xfId="0" applyFont="1" applyFill="1" applyBorder="1" applyAlignment="1" applyProtection="1">
      <alignment horizontal="center"/>
      <protection locked="0"/>
    </xf>
    <xf numFmtId="0" fontId="58" fillId="16" borderId="1" xfId="0" applyFont="1" applyFill="1" applyBorder="1" applyAlignment="1" applyProtection="1">
      <alignment horizontal="center"/>
      <protection locked="0"/>
    </xf>
    <xf numFmtId="0" fontId="57" fillId="0" borderId="1" xfId="0" applyFont="1" applyBorder="1" applyAlignment="1" applyProtection="1">
      <alignment horizontal="center"/>
      <protection locked="0"/>
    </xf>
    <xf numFmtId="2" fontId="59" fillId="0" borderId="1" xfId="0" applyNumberFormat="1" applyFont="1" applyBorder="1" applyAlignment="1">
      <alignment horizontal="center"/>
    </xf>
    <xf numFmtId="0" fontId="60" fillId="0" borderId="0" xfId="0" applyFont="1" applyProtection="1">
      <alignment vertical="center"/>
    </xf>
    <xf numFmtId="164" fontId="17" fillId="0" borderId="21" xfId="1" applyFont="1" applyBorder="1" applyAlignment="1" applyProtection="1">
      <alignment horizontal="center" vertical="center"/>
    </xf>
    <xf numFmtId="0" fontId="17" fillId="0" borderId="1" xfId="0" applyFont="1" applyBorder="1" applyAlignment="1" applyProtection="1">
      <alignment horizontal="center"/>
      <protection locked="0"/>
    </xf>
    <xf numFmtId="0" fontId="3" fillId="2" borderId="0" xfId="0" applyFont="1" applyFill="1" applyBorder="1" applyAlignment="1">
      <alignment horizontal="center" vertical="top"/>
    </xf>
    <xf numFmtId="0" fontId="0" fillId="0" borderId="0" xfId="0" applyBorder="1" applyAlignment="1" applyProtection="1">
      <alignment horizontal="center" vertical="top"/>
      <protection hidden="1"/>
    </xf>
    <xf numFmtId="0" fontId="5" fillId="0" borderId="1" xfId="0" applyFont="1" applyBorder="1" applyAlignment="1" applyProtection="1">
      <alignment horizontal="center" vertical="center"/>
      <protection locked="0"/>
    </xf>
    <xf numFmtId="0" fontId="5" fillId="16" borderId="1" xfId="0" applyFont="1" applyFill="1" applyBorder="1" applyAlignment="1" applyProtection="1">
      <alignment horizontal="left" vertical="top" wrapText="1"/>
      <protection locked="0"/>
    </xf>
    <xf numFmtId="0" fontId="5" fillId="10" borderId="1" xfId="0" applyFont="1" applyFill="1" applyBorder="1" applyAlignment="1" applyProtection="1">
      <alignment horizontal="center" vertical="center" wrapText="1"/>
    </xf>
    <xf numFmtId="0" fontId="5" fillId="10" borderId="1" xfId="0" applyFont="1" applyFill="1" applyBorder="1" applyAlignment="1" applyProtection="1">
      <alignment horizontal="center" vertical="center" wrapText="1"/>
      <protection locked="0" hidden="1"/>
    </xf>
    <xf numFmtId="0" fontId="1" fillId="0" borderId="1" xfId="0" applyFont="1" applyBorder="1" applyAlignment="1" applyProtection="1">
      <alignment horizontal="left" vertical="top" wrapText="1"/>
      <protection locked="0"/>
    </xf>
    <xf numFmtId="0" fontId="1" fillId="0" borderId="1" xfId="0" applyFont="1" applyBorder="1" applyAlignment="1" applyProtection="1">
      <alignment horizontal="left" vertical="top"/>
      <protection locked="0"/>
    </xf>
    <xf numFmtId="0" fontId="5" fillId="20" borderId="1" xfId="0" applyFont="1" applyFill="1" applyBorder="1" applyAlignment="1" applyProtection="1"/>
    <xf numFmtId="0" fontId="5" fillId="20" borderId="1" xfId="0" applyFont="1" applyFill="1" applyBorder="1" applyAlignment="1" applyProtection="1">
      <alignment horizontal="left"/>
    </xf>
    <xf numFmtId="0" fontId="34" fillId="18" borderId="1" xfId="0" applyFont="1" applyFill="1" applyBorder="1" applyAlignment="1" applyProtection="1">
      <alignment horizontal="center" vertical="top"/>
      <protection locked="0"/>
    </xf>
    <xf numFmtId="1" fontId="34" fillId="0" borderId="1" xfId="0" applyNumberFormat="1" applyFont="1" applyBorder="1" applyAlignment="1" applyProtection="1">
      <alignment horizontal="center" vertical="top"/>
      <protection locked="0"/>
    </xf>
    <xf numFmtId="0" fontId="0" fillId="0" borderId="1" xfId="0" applyBorder="1" applyAlignment="1">
      <alignment horizontal="center" vertical="center"/>
    </xf>
    <xf numFmtId="0" fontId="0" fillId="13" borderId="1" xfId="0" applyFont="1" applyFill="1" applyBorder="1" applyAlignment="1">
      <alignment horizontal="left" vertical="center" wrapText="1"/>
    </xf>
    <xf numFmtId="0" fontId="0" fillId="0" borderId="2" xfId="0" applyBorder="1" applyAlignment="1">
      <alignment horizontal="center" vertical="center"/>
    </xf>
    <xf numFmtId="0" fontId="0" fillId="13" borderId="2" xfId="0" applyFont="1" applyFill="1" applyBorder="1" applyAlignment="1">
      <alignment horizontal="left" vertical="center" wrapText="1"/>
    </xf>
    <xf numFmtId="0" fontId="0" fillId="12" borderId="1" xfId="0" applyFont="1" applyFill="1" applyBorder="1" applyAlignment="1">
      <alignment horizontal="left" vertical="center" wrapText="1"/>
    </xf>
    <xf numFmtId="0" fontId="0" fillId="0" borderId="1" xfId="0" applyBorder="1" applyAlignment="1">
      <alignment horizontal="center"/>
    </xf>
    <xf numFmtId="0" fontId="0" fillId="11" borderId="1" xfId="0" applyFont="1" applyFill="1" applyBorder="1" applyAlignment="1">
      <alignment horizontal="left" vertical="center" wrapText="1"/>
    </xf>
    <xf numFmtId="9" fontId="0" fillId="0" borderId="1" xfId="0" applyNumberFormat="1" applyBorder="1" applyAlignment="1">
      <alignment horizontal="center"/>
    </xf>
    <xf numFmtId="0" fontId="1" fillId="11" borderId="1" xfId="0" applyFont="1" applyFill="1" applyBorder="1" applyAlignment="1">
      <alignment horizontal="left" vertical="center"/>
    </xf>
    <xf numFmtId="0" fontId="4" fillId="0" borderId="1" xfId="0" applyFont="1" applyBorder="1" applyAlignment="1">
      <alignment horizontal="center"/>
    </xf>
    <xf numFmtId="0" fontId="0" fillId="8" borderId="1" xfId="0" applyFont="1" applyFill="1" applyBorder="1" applyAlignment="1">
      <alignment horizontal="left" vertical="center" wrapText="1"/>
    </xf>
    <xf numFmtId="0" fontId="10" fillId="9" borderId="1" xfId="0" applyFont="1" applyFill="1" applyBorder="1" applyAlignment="1">
      <alignment horizontal="center"/>
    </xf>
    <xf numFmtId="0" fontId="0" fillId="0" borderId="8" xfId="0" applyBorder="1" applyAlignment="1">
      <alignment horizontal="center" vertical="center"/>
    </xf>
    <xf numFmtId="0" fontId="0" fillId="8" borderId="2" xfId="0" applyFont="1" applyFill="1" applyBorder="1" applyAlignment="1">
      <alignment horizontal="left" vertical="center" wrapText="1"/>
    </xf>
    <xf numFmtId="0" fontId="0" fillId="0" borderId="10" xfId="0" applyBorder="1" applyAlignment="1">
      <alignment horizontal="center" vertical="center"/>
    </xf>
    <xf numFmtId="0" fontId="1" fillId="0" borderId="1" xfId="0" applyFont="1" applyBorder="1" applyAlignment="1" applyProtection="1">
      <alignment horizontal="center" wrapText="1"/>
      <protection locked="0"/>
    </xf>
    <xf numFmtId="0" fontId="1" fillId="0" borderId="1" xfId="0" applyFont="1" applyBorder="1" applyAlignment="1" applyProtection="1">
      <alignment horizontal="left" wrapText="1"/>
      <protection locked="0"/>
    </xf>
    <xf numFmtId="0" fontId="22" fillId="0" borderId="17" xfId="0" applyFont="1" applyBorder="1" applyAlignment="1" applyProtection="1">
      <alignment horizontal="center"/>
    </xf>
    <xf numFmtId="0" fontId="4" fillId="24" borderId="17" xfId="0" applyFont="1" applyFill="1" applyBorder="1" applyAlignment="1" applyProtection="1">
      <alignment horizontal="left"/>
      <protection locked="0"/>
    </xf>
    <xf numFmtId="0" fontId="4" fillId="15" borderId="1" xfId="0" applyFont="1" applyFill="1" applyBorder="1" applyAlignment="1" applyProtection="1">
      <alignment horizontal="center" wrapText="1"/>
      <protection locked="0"/>
    </xf>
    <xf numFmtId="0" fontId="1" fillId="15" borderId="10" xfId="0" applyFont="1" applyFill="1" applyBorder="1" applyAlignment="1" applyProtection="1">
      <alignment horizontal="center" wrapText="1"/>
      <protection locked="0"/>
    </xf>
    <xf numFmtId="0" fontId="1" fillId="16" borderId="1" xfId="0" applyFont="1" applyFill="1" applyBorder="1" applyAlignment="1" applyProtection="1">
      <alignment horizontal="left"/>
      <protection locked="0"/>
    </xf>
    <xf numFmtId="0" fontId="4" fillId="16" borderId="1" xfId="0" applyFont="1" applyFill="1" applyBorder="1" applyAlignment="1" applyProtection="1">
      <alignment horizontal="left"/>
      <protection locked="0"/>
    </xf>
    <xf numFmtId="0" fontId="4" fillId="24" borderId="0" xfId="0" applyFont="1" applyFill="1" applyBorder="1" applyAlignment="1" applyProtection="1">
      <alignment horizontal="left"/>
      <protection locked="0"/>
    </xf>
    <xf numFmtId="0" fontId="1" fillId="16" borderId="1" xfId="0" applyFont="1" applyFill="1" applyBorder="1" applyAlignment="1" applyProtection="1">
      <alignment horizontal="left" vertical="center" wrapText="1"/>
      <protection locked="0"/>
    </xf>
    <xf numFmtId="0" fontId="4" fillId="15" borderId="1" xfId="0" applyFont="1" applyFill="1" applyBorder="1" applyAlignment="1" applyProtection="1">
      <alignment horizontal="center"/>
      <protection locked="0"/>
    </xf>
    <xf numFmtId="0" fontId="0" fillId="0" borderId="1" xfId="0" applyBorder="1" applyAlignment="1" applyProtection="1">
      <alignment horizontal="center" vertical="center"/>
      <protection locked="0"/>
    </xf>
    <xf numFmtId="0" fontId="1" fillId="16" borderId="1" xfId="0" applyFont="1" applyFill="1" applyBorder="1" applyAlignment="1" applyProtection="1">
      <alignment horizontal="center" vertical="center" wrapText="1"/>
    </xf>
    <xf numFmtId="0" fontId="8" fillId="16" borderId="10" xfId="0" applyFont="1" applyFill="1" applyBorder="1" applyAlignment="1" applyProtection="1">
      <alignment horizontal="left" vertical="center" wrapText="1"/>
    </xf>
    <xf numFmtId="0" fontId="8" fillId="16" borderId="15" xfId="0" applyFont="1" applyFill="1" applyBorder="1" applyAlignment="1" applyProtection="1">
      <alignment horizontal="left" vertical="center" wrapText="1"/>
    </xf>
    <xf numFmtId="0" fontId="8" fillId="16" borderId="9" xfId="0" applyFont="1" applyFill="1" applyBorder="1" applyAlignment="1" applyProtection="1">
      <alignment horizontal="left" vertical="center" wrapText="1"/>
    </xf>
    <xf numFmtId="0" fontId="1" fillId="16" borderId="1" xfId="0" applyFont="1" applyFill="1" applyBorder="1" applyAlignment="1" applyProtection="1">
      <alignment horizontal="center" vertical="center" wrapText="1"/>
      <protection locked="0"/>
    </xf>
    <xf numFmtId="0" fontId="8" fillId="16" borderId="1" xfId="0" applyFont="1" applyFill="1" applyBorder="1" applyAlignment="1" applyProtection="1">
      <alignment horizontal="left" vertical="center" wrapText="1"/>
    </xf>
    <xf numFmtId="0" fontId="4" fillId="15" borderId="1" xfId="0" applyFont="1" applyFill="1" applyBorder="1" applyAlignment="1" applyProtection="1">
      <alignment horizontal="center" vertical="center" wrapText="1"/>
      <protection locked="0"/>
    </xf>
    <xf numFmtId="0" fontId="1" fillId="0" borderId="1" xfId="0" applyFont="1" applyBorder="1" applyAlignment="1" applyProtection="1">
      <alignment horizontal="center"/>
      <protection locked="0"/>
    </xf>
    <xf numFmtId="0" fontId="0" fillId="0" borderId="1" xfId="0" applyBorder="1" applyAlignment="1" applyProtection="1">
      <alignment horizontal="center"/>
      <protection locked="0"/>
    </xf>
    <xf numFmtId="0" fontId="4" fillId="15" borderId="1" xfId="0" applyFont="1" applyFill="1" applyBorder="1" applyAlignment="1" applyProtection="1">
      <alignment horizontal="center"/>
    </xf>
    <xf numFmtId="1" fontId="0" fillId="23" borderId="1" xfId="0" applyNumberFormat="1" applyFill="1" applyBorder="1" applyAlignment="1" applyProtection="1">
      <alignment horizontal="center"/>
    </xf>
    <xf numFmtId="1" fontId="0" fillId="16" borderId="1" xfId="0" applyNumberFormat="1" applyFill="1" applyBorder="1" applyAlignment="1" applyProtection="1">
      <alignment horizontal="center"/>
      <protection locked="0"/>
    </xf>
    <xf numFmtId="0" fontId="4" fillId="24" borderId="0" xfId="0" applyFont="1" applyFill="1" applyBorder="1" applyAlignment="1" applyProtection="1">
      <alignment horizontal="left"/>
    </xf>
    <xf numFmtId="0" fontId="0" fillId="23" borderId="1" xfId="0" applyFill="1" applyBorder="1" applyAlignment="1" applyProtection="1">
      <alignment horizontal="center"/>
    </xf>
    <xf numFmtId="10" fontId="0" fillId="23" borderId="1" xfId="0" applyNumberFormat="1" applyFill="1" applyBorder="1" applyAlignment="1" applyProtection="1">
      <alignment horizontal="center"/>
    </xf>
    <xf numFmtId="2" fontId="0" fillId="23" borderId="1" xfId="0" applyNumberFormat="1" applyFill="1" applyBorder="1" applyAlignment="1" applyProtection="1">
      <alignment horizontal="center"/>
    </xf>
    <xf numFmtId="1" fontId="0" fillId="0" borderId="1" xfId="0" applyNumberFormat="1" applyFont="1" applyBorder="1" applyAlignment="1" applyProtection="1">
      <alignment horizontal="center"/>
      <protection locked="0"/>
    </xf>
    <xf numFmtId="3" fontId="0" fillId="23" borderId="1" xfId="0" applyNumberFormat="1" applyFill="1" applyBorder="1" applyAlignment="1" applyProtection="1">
      <alignment horizontal="center"/>
    </xf>
    <xf numFmtId="0" fontId="7" fillId="7" borderId="1" xfId="0" applyFont="1" applyFill="1" applyBorder="1" applyAlignment="1" applyProtection="1">
      <alignment horizontal="center" wrapText="1"/>
    </xf>
    <xf numFmtId="0" fontId="11" fillId="7" borderId="1" xfId="0" applyFont="1" applyFill="1" applyBorder="1" applyAlignment="1">
      <alignment horizontal="left" vertical="center"/>
    </xf>
    <xf numFmtId="0" fontId="17" fillId="7" borderId="1" xfId="0" applyFont="1" applyFill="1" applyBorder="1" applyAlignment="1" applyProtection="1">
      <alignment horizontal="left" vertical="center"/>
      <protection hidden="1"/>
    </xf>
    <xf numFmtId="9" fontId="1" fillId="0" borderId="1" xfId="2" applyBorder="1" applyAlignment="1" applyProtection="1">
      <alignment horizontal="center" vertical="center"/>
    </xf>
    <xf numFmtId="9" fontId="1" fillId="0" borderId="1" xfId="2" applyFont="1" applyBorder="1" applyAlignment="1" applyProtection="1">
      <alignment horizontal="center" vertical="center"/>
      <protection locked="0"/>
    </xf>
    <xf numFmtId="0" fontId="17" fillId="0" borderId="27" xfId="0" applyFont="1" applyBorder="1" applyAlignment="1" applyProtection="1">
      <alignment horizontal="center"/>
    </xf>
    <xf numFmtId="0" fontId="20" fillId="0" borderId="0" xfId="0" applyFont="1" applyBorder="1" applyAlignment="1" applyProtection="1">
      <alignment horizontal="center"/>
    </xf>
    <xf numFmtId="0" fontId="17" fillId="18" borderId="0" xfId="0" applyFont="1" applyFill="1" applyBorder="1" applyAlignment="1" applyProtection="1">
      <alignment horizontal="center"/>
      <protection locked="0"/>
    </xf>
    <xf numFmtId="0" fontId="17" fillId="0" borderId="23" xfId="0" applyFont="1" applyBorder="1" applyAlignment="1" applyProtection="1">
      <alignment horizontal="center"/>
      <protection locked="0"/>
    </xf>
    <xf numFmtId="0" fontId="20" fillId="0" borderId="23" xfId="0" applyFont="1" applyBorder="1" applyAlignment="1" applyProtection="1">
      <alignment horizontal="center"/>
    </xf>
    <xf numFmtId="0" fontId="17" fillId="18" borderId="23" xfId="0" applyFont="1" applyFill="1" applyBorder="1" applyAlignment="1" applyProtection="1">
      <alignment horizontal="center"/>
      <protection locked="0"/>
    </xf>
    <xf numFmtId="0" fontId="17" fillId="0" borderId="1" xfId="0" applyFont="1" applyBorder="1" applyAlignment="1" applyProtection="1">
      <alignment horizontal="center"/>
      <protection locked="0"/>
    </xf>
    <xf numFmtId="0" fontId="20" fillId="0" borderId="1" xfId="0" applyFont="1" applyBorder="1" applyAlignment="1" applyProtection="1">
      <alignment horizontal="center"/>
    </xf>
    <xf numFmtId="0" fontId="20" fillId="22" borderId="18" xfId="0" applyFont="1" applyFill="1" applyBorder="1" applyAlignment="1" applyProtection="1">
      <alignment horizontal="left" vertical="center" wrapText="1"/>
    </xf>
    <xf numFmtId="0" fontId="17" fillId="19" borderId="1" xfId="0" applyFont="1" applyFill="1" applyBorder="1" applyAlignment="1" applyProtection="1">
      <alignment horizontal="center"/>
    </xf>
    <xf numFmtId="0" fontId="29" fillId="16" borderId="20" xfId="0" applyFont="1" applyFill="1" applyBorder="1" applyAlignment="1" applyProtection="1">
      <alignment horizontal="center" vertical="center"/>
    </xf>
    <xf numFmtId="0" fontId="20" fillId="22" borderId="18" xfId="0" applyFont="1" applyFill="1" applyBorder="1" applyAlignment="1" applyProtection="1">
      <alignment horizontal="left" wrapText="1"/>
    </xf>
    <xf numFmtId="0" fontId="20" fillId="20" borderId="0" xfId="0" applyFont="1" applyFill="1" applyBorder="1" applyAlignment="1" applyProtection="1">
      <alignment horizontal="center" vertical="center" wrapText="1"/>
    </xf>
    <xf numFmtId="0" fontId="17" fillId="20" borderId="1" xfId="0" applyFont="1" applyFill="1" applyBorder="1" applyAlignment="1" applyProtection="1">
      <alignment horizontal="left"/>
      <protection locked="0"/>
    </xf>
    <xf numFmtId="0" fontId="20" fillId="26" borderId="1" xfId="0" applyFont="1" applyFill="1" applyBorder="1" applyAlignment="1" applyProtection="1">
      <alignment horizontal="left"/>
      <protection locked="0"/>
    </xf>
    <xf numFmtId="0" fontId="20" fillId="26" borderId="1" xfId="0" applyFont="1" applyFill="1" applyBorder="1" applyAlignment="1" applyProtection="1">
      <alignment horizontal="center"/>
      <protection locked="0"/>
    </xf>
    <xf numFmtId="0" fontId="43" fillId="16" borderId="41" xfId="0" applyFont="1" applyFill="1" applyBorder="1" applyAlignment="1" applyProtection="1">
      <alignment horizontal="left" indent="11"/>
      <protection hidden="1"/>
    </xf>
    <xf numFmtId="0" fontId="43" fillId="16" borderId="44" xfId="0" applyFont="1" applyFill="1" applyBorder="1" applyAlignment="1" applyProtection="1">
      <alignment horizontal="left" indent="11"/>
      <protection hidden="1"/>
    </xf>
    <xf numFmtId="0" fontId="42" fillId="33" borderId="21" xfId="0" applyFont="1" applyFill="1" applyBorder="1" applyAlignment="1" applyProtection="1">
      <alignment horizontal="center" vertical="center"/>
      <protection hidden="1"/>
    </xf>
    <xf numFmtId="0" fontId="43" fillId="16" borderId="29" xfId="0" applyFont="1" applyFill="1" applyBorder="1" applyAlignment="1" applyProtection="1">
      <alignment horizontal="left" indent="11"/>
      <protection hidden="1"/>
    </xf>
    <xf numFmtId="0" fontId="43" fillId="16" borderId="35" xfId="0" applyFont="1" applyFill="1" applyBorder="1" applyAlignment="1" applyProtection="1">
      <alignment horizontal="left" indent="11"/>
      <protection hidden="1"/>
    </xf>
    <xf numFmtId="0" fontId="23" fillId="18" borderId="21" xfId="5" applyFont="1" applyFill="1" applyBorder="1" applyAlignment="1" applyProtection="1">
      <alignment horizontal="center" vertical="center"/>
      <protection hidden="1"/>
    </xf>
    <xf numFmtId="0" fontId="13" fillId="16" borderId="28" xfId="5" applyFont="1" applyFill="1" applyBorder="1" applyAlignment="1" applyProtection="1">
      <alignment horizontal="center"/>
      <protection hidden="1"/>
    </xf>
    <xf numFmtId="0" fontId="13" fillId="16" borderId="29" xfId="5" applyFont="1" applyFill="1" applyBorder="1" applyAlignment="1" applyProtection="1">
      <alignment horizontal="center"/>
      <protection hidden="1"/>
    </xf>
    <xf numFmtId="0" fontId="38" fillId="31" borderId="19" xfId="5" applyFont="1" applyFill="1" applyBorder="1" applyAlignment="1" applyProtection="1">
      <alignment horizontal="center" vertical="center" wrapText="1"/>
      <protection hidden="1"/>
    </xf>
    <xf numFmtId="0" fontId="13" fillId="0" borderId="21" xfId="5" applyFont="1" applyBorder="1" applyAlignment="1" applyProtection="1">
      <alignment horizontal="center"/>
      <protection hidden="1"/>
    </xf>
    <xf numFmtId="10" fontId="40" fillId="26" borderId="1" xfId="0" applyNumberFormat="1" applyFont="1" applyFill="1" applyBorder="1" applyAlignment="1" applyProtection="1">
      <alignment horizontal="right" vertical="center" indent="5"/>
      <protection hidden="1"/>
    </xf>
    <xf numFmtId="1" fontId="40" fillId="33" borderId="1" xfId="0" applyNumberFormat="1" applyFont="1" applyFill="1" applyBorder="1" applyAlignment="1" applyProtection="1">
      <alignment horizontal="right" vertical="center" indent="5"/>
      <protection hidden="1"/>
    </xf>
    <xf numFmtId="0" fontId="50" fillId="16" borderId="24" xfId="0" applyFont="1" applyFill="1" applyBorder="1" applyAlignment="1" applyProtection="1">
      <alignment horizontal="left" vertical="center"/>
      <protection hidden="1"/>
    </xf>
    <xf numFmtId="10" fontId="51" fillId="26" borderId="25" xfId="2" applyNumberFormat="1" applyFont="1" applyFill="1" applyBorder="1" applyAlignment="1" applyProtection="1">
      <alignment horizontal="right" vertical="center" indent="4"/>
      <protection hidden="1"/>
    </xf>
    <xf numFmtId="0" fontId="50" fillId="16" borderId="26" xfId="0" applyFont="1" applyFill="1" applyBorder="1" applyAlignment="1" applyProtection="1">
      <alignment horizontal="left" vertical="center"/>
      <protection hidden="1"/>
    </xf>
    <xf numFmtId="1" fontId="51" fillId="33" borderId="36" xfId="1" applyNumberFormat="1" applyFont="1" applyFill="1" applyBorder="1" applyAlignment="1" applyProtection="1">
      <alignment horizontal="right" vertical="center" indent="4"/>
      <protection hidden="1"/>
    </xf>
    <xf numFmtId="0" fontId="52" fillId="31" borderId="21" xfId="0" applyFont="1" applyFill="1" applyBorder="1" applyAlignment="1" applyProtection="1">
      <alignment horizontal="center" vertical="center"/>
      <protection hidden="1"/>
    </xf>
    <xf numFmtId="0" fontId="49" fillId="32" borderId="29" xfId="0" applyFont="1" applyFill="1" applyBorder="1" applyAlignment="1" applyProtection="1">
      <alignment horizontal="center"/>
      <protection hidden="1"/>
    </xf>
    <xf numFmtId="0" fontId="40" fillId="16" borderId="24" xfId="0" applyFont="1" applyFill="1" applyBorder="1" applyAlignment="1" applyProtection="1">
      <alignment horizontal="left"/>
      <protection hidden="1"/>
    </xf>
    <xf numFmtId="0" fontId="51" fillId="18" borderId="25" xfId="0" applyFont="1" applyFill="1" applyBorder="1" applyAlignment="1" applyProtection="1">
      <alignment horizontal="right" vertical="center" indent="4"/>
      <protection hidden="1"/>
    </xf>
    <xf numFmtId="1" fontId="51" fillId="18" borderId="25" xfId="0" applyNumberFormat="1" applyFont="1" applyFill="1" applyBorder="1" applyAlignment="1" applyProtection="1">
      <alignment horizontal="right" vertical="center" indent="4"/>
      <protection hidden="1"/>
    </xf>
    <xf numFmtId="0" fontId="40" fillId="16" borderId="22" xfId="0" applyFont="1" applyFill="1" applyBorder="1" applyAlignment="1" applyProtection="1">
      <alignment horizontal="left"/>
      <protection hidden="1"/>
    </xf>
    <xf numFmtId="0" fontId="50" fillId="16" borderId="46" xfId="0" applyFont="1" applyFill="1" applyBorder="1" applyAlignment="1" applyProtection="1">
      <alignment horizontal="left" vertical="center"/>
      <protection hidden="1"/>
    </xf>
    <xf numFmtId="1" fontId="51" fillId="20" borderId="47" xfId="1" applyNumberFormat="1" applyFont="1" applyFill="1" applyBorder="1" applyAlignment="1" applyProtection="1">
      <alignment horizontal="right" vertical="center" indent="4"/>
      <protection hidden="1"/>
    </xf>
    <xf numFmtId="10" fontId="51" fillId="18" borderId="25" xfId="2" applyNumberFormat="1" applyFont="1" applyFill="1" applyBorder="1" applyAlignment="1" applyProtection="1">
      <alignment horizontal="right" vertical="center" indent="4"/>
      <protection hidden="1"/>
    </xf>
    <xf numFmtId="0" fontId="45" fillId="0" borderId="0" xfId="0" applyFont="1" applyBorder="1" applyAlignment="1" applyProtection="1">
      <alignment horizontal="center" vertical="center"/>
      <protection hidden="1"/>
    </xf>
    <xf numFmtId="0" fontId="45" fillId="0" borderId="0" xfId="0" applyFont="1" applyBorder="1" applyAlignment="1">
      <alignment horizontal="center" vertical="center"/>
    </xf>
    <xf numFmtId="0" fontId="46" fillId="20" borderId="37" xfId="0" applyFont="1" applyFill="1" applyBorder="1" applyAlignment="1" applyProtection="1">
      <alignment horizontal="center" vertical="center"/>
      <protection hidden="1"/>
    </xf>
    <xf numFmtId="10" fontId="47" fillId="27" borderId="33" xfId="0" applyNumberFormat="1" applyFont="1" applyFill="1" applyBorder="1" applyAlignment="1" applyProtection="1">
      <alignment horizontal="center" vertical="center"/>
      <protection hidden="1"/>
    </xf>
    <xf numFmtId="0" fontId="49" fillId="19" borderId="21" xfId="0" applyFont="1" applyFill="1" applyBorder="1" applyAlignment="1" applyProtection="1">
      <alignment horizontal="center"/>
      <protection hidden="1"/>
    </xf>
    <xf numFmtId="0" fontId="1" fillId="0" borderId="1" xfId="0" applyFont="1" applyBorder="1" applyAlignment="1">
      <alignment horizontal="center" vertical="center" wrapText="1"/>
    </xf>
    <xf numFmtId="0" fontId="1" fillId="0" borderId="1" xfId="0" applyFont="1" applyBorder="1" applyAlignment="1">
      <alignment vertical="center" wrapText="1"/>
    </xf>
  </cellXfs>
  <cellStyles count="7">
    <cellStyle name="Comma" xfId="1" builtinId="3"/>
    <cellStyle name="Normal" xfId="0" builtinId="0"/>
    <cellStyle name="Normal 4" xfId="3" xr:uid="{00000000-0005-0000-0000-000002000000}"/>
    <cellStyle name="Normal 4 2" xfId="4" xr:uid="{00000000-0005-0000-0000-000003000000}"/>
    <cellStyle name="Normal_EMI_CALC" xfId="5" xr:uid="{00000000-0005-0000-0000-000004000000}"/>
    <cellStyle name="Percent" xfId="2" builtinId="5"/>
    <cellStyle name="Percent 2" xfId="6" xr:uid="{00000000-0005-0000-0000-000006000000}"/>
  </cellStyles>
  <dxfs count="94">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b/>
        <i val="0"/>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color rgb="FFFFFFFF"/>
      </font>
      <fill>
        <patternFill>
          <bgColor rgb="FFFFFFFF"/>
        </patternFill>
      </fill>
    </dxf>
    <dxf>
      <font>
        <b/>
        <i val="0"/>
        <color rgb="FFFFFFFF"/>
      </font>
      <fill>
        <patternFill>
          <bgColor rgb="FFCCFFCC"/>
        </patternFill>
      </fill>
    </dxf>
    <dxf>
      <font>
        <color rgb="FFFFFFFF"/>
      </font>
      <fill>
        <patternFill>
          <bgColor rgb="FFFFFFFF"/>
        </patternFill>
      </fill>
    </dxf>
    <dxf>
      <font>
        <b/>
        <i val="0"/>
        <color rgb="FFFFFFFF"/>
      </font>
      <fill>
        <patternFill>
          <bgColor rgb="FFCCFFCC"/>
        </patternFill>
      </fill>
    </dxf>
    <dxf>
      <font>
        <color rgb="FFFFFFFF"/>
      </font>
      <fill>
        <patternFill>
          <bgColor rgb="FFFFFFFF"/>
        </patternFill>
      </fill>
    </dxf>
    <dxf>
      <font>
        <b/>
        <i val="0"/>
        <color rgb="FFFFFFFF"/>
      </font>
      <fill>
        <patternFill>
          <bgColor rgb="FFCCFFCC"/>
        </patternFill>
      </fill>
    </dxf>
    <dxf>
      <font>
        <color rgb="FFFFFFFF"/>
      </font>
      <fill>
        <patternFill>
          <bgColor rgb="FFFFFFFF"/>
        </patternFill>
      </fill>
    </dxf>
    <dxf>
      <font>
        <b/>
        <i val="0"/>
        <color rgb="FFFFFFFF"/>
      </font>
      <fill>
        <patternFill>
          <bgColor rgb="FFCCFFCC"/>
        </patternFill>
      </fill>
    </dxf>
    <dxf>
      <font>
        <color rgb="FFFFFFFF"/>
      </font>
      <fill>
        <patternFill>
          <bgColor rgb="FFFFFFFF"/>
        </patternFill>
      </fill>
    </dxf>
    <dxf>
      <font>
        <b/>
        <i val="0"/>
        <color rgb="FFFFFFFF"/>
      </font>
      <fill>
        <patternFill>
          <bgColor rgb="FFCCFFCC"/>
        </patternFill>
      </fill>
    </dxf>
    <dxf>
      <font>
        <color rgb="FFFFFFFF"/>
      </font>
      <fill>
        <patternFill>
          <bgColor rgb="FFFFFFFF"/>
        </patternFill>
      </fill>
    </dxf>
    <dxf>
      <font>
        <color rgb="FFFFFFFF"/>
      </font>
      <fill>
        <patternFill>
          <bgColor rgb="FFFFFFFF"/>
        </patternFill>
      </fill>
    </dxf>
    <dxf>
      <font>
        <b/>
        <i val="0"/>
        <color rgb="FFFFFF00"/>
      </font>
      <fill>
        <patternFill>
          <bgColor rgb="FFFF0000"/>
        </patternFill>
      </fill>
    </dxf>
    <dxf>
      <font>
        <b/>
        <i val="0"/>
        <color rgb="FFFFFFFF"/>
      </font>
      <fill>
        <patternFill>
          <bgColor rgb="FFFF0000"/>
        </patternFill>
      </fill>
    </dxf>
    <dxf>
      <font>
        <b/>
        <i val="0"/>
        <color rgb="FFFFFFFF"/>
      </font>
      <fill>
        <patternFill>
          <bgColor rgb="FFFF0000"/>
        </patternFill>
      </fill>
    </dxf>
    <dxf>
      <font>
        <b/>
        <i val="0"/>
        <color rgb="FFFFFFFF"/>
      </font>
      <fill>
        <patternFill>
          <bgColor rgb="FF333399"/>
        </patternFill>
      </fill>
    </dxf>
    <dxf>
      <font>
        <b/>
        <i val="0"/>
      </font>
      <fill>
        <patternFill>
          <bgColor rgb="FFCCFFCC"/>
        </patternFill>
      </fill>
    </dxf>
    <dxf>
      <font>
        <b/>
        <i val="0"/>
        <color rgb="FFFFFFFF"/>
      </font>
      <fill>
        <patternFill>
          <bgColor rgb="FFFF99CC"/>
        </patternFill>
      </fill>
    </dxf>
    <dxf>
      <font>
        <b/>
        <i val="0"/>
      </font>
      <fill>
        <patternFill>
          <bgColor rgb="FFCCFFCC"/>
        </patternFill>
      </fill>
    </dxf>
    <dxf>
      <font>
        <b/>
        <i val="0"/>
        <color rgb="FFFFFFFF"/>
      </font>
      <fill>
        <patternFill>
          <bgColor rgb="FFFF99CC"/>
        </patternFill>
      </fill>
    </dxf>
    <dxf>
      <font>
        <b/>
        <i val="0"/>
      </font>
      <fill>
        <patternFill>
          <bgColor rgb="FFCCFFCC"/>
        </patternFill>
      </fill>
    </dxf>
    <dxf>
      <font>
        <b/>
        <i val="0"/>
        <color rgb="FFFFFFFF"/>
      </font>
      <fill>
        <patternFill>
          <bgColor rgb="FFFF99CC"/>
        </patternFill>
      </fill>
    </dxf>
    <dxf>
      <font>
        <b/>
        <i val="0"/>
      </font>
      <fill>
        <patternFill>
          <bgColor rgb="FFCCFFCC"/>
        </patternFill>
      </fill>
    </dxf>
    <dxf>
      <font>
        <b/>
        <i val="0"/>
        <color rgb="FFFFFFFF"/>
      </font>
      <fill>
        <patternFill>
          <bgColor rgb="FFFF99CC"/>
        </patternFill>
      </fill>
    </dxf>
    <dxf>
      <font>
        <color rgb="FFFFFFFF"/>
      </font>
      <fill>
        <patternFill>
          <bgColor rgb="FFFFFFFF"/>
        </patternFill>
      </fill>
    </dxf>
    <dxf>
      <font>
        <color rgb="FFFFFFFF"/>
      </font>
    </dxf>
    <dxf>
      <font>
        <color rgb="FFFFFFFF"/>
      </font>
    </dxf>
    <dxf>
      <font>
        <color rgb="FFFFFFFF"/>
      </font>
      <fill>
        <patternFill>
          <bgColor rgb="FFFFFFFF"/>
        </patternFill>
      </fill>
    </dxf>
    <dxf>
      <font>
        <color rgb="FF000000"/>
        <name val="Calibri"/>
      </font>
      <numFmt numFmtId="164" formatCode="_(* #,##0.00_);_(* \(#,##0.00\);_(* \-??_);_(@_)"/>
    </dxf>
    <dxf>
      <font>
        <color rgb="FF000000"/>
        <name val="Calibri"/>
      </font>
      <numFmt numFmtId="164" formatCode="_(* #,##0.00_);_(* \(#,##0.00\);_(* \-??_);_(@_)"/>
    </dxf>
    <dxf>
      <font>
        <b val="0"/>
        <i val="0"/>
        <strike val="0"/>
        <outline val="0"/>
        <shadow val="0"/>
        <u val="none"/>
        <color rgb="FF000000"/>
        <name val="Calibri"/>
      </font>
      <numFmt numFmtId="0" formatCode="General"/>
      <fill>
        <patternFill>
          <bgColor rgb="FFFFFFFF"/>
        </patternFill>
      </fill>
      <border diagonalUp="0" diagonalDown="0">
        <left/>
        <right/>
        <top/>
        <bottom/>
      </border>
    </dxf>
    <dxf>
      <font>
        <color rgb="FF000000"/>
        <name val="Calibri"/>
      </font>
      <numFmt numFmtId="164" formatCode="_(* #,##0.00_);_(* \(#,##0.00\);_(* \-??_);_(@_)"/>
    </dxf>
    <dxf>
      <fill>
        <patternFill>
          <bgColor rgb="FFFF0000"/>
        </patternFill>
      </fill>
    </dxf>
    <dxf>
      <fill>
        <patternFill>
          <bgColor rgb="FFFF0000"/>
        </patternFill>
      </fill>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ont>
        <color rgb="FF000000"/>
        <name val="Calibri"/>
      </font>
      <numFmt numFmtId="164" formatCode="_(* #,##0.00_);_(* \(#,##0.00\);_(* \-??_);_(@_)"/>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ont>
        <b val="0"/>
        <i val="0"/>
        <strike val="0"/>
        <outline val="0"/>
        <shadow val="0"/>
        <u val="none"/>
        <color rgb="FF000000"/>
        <name val="Calibri"/>
      </font>
      <numFmt numFmtId="0" formatCode="General"/>
      <fill>
        <patternFill>
          <bgColor rgb="FFFFFFFF"/>
        </patternFill>
      </fill>
      <border diagonalUp="0" diagonalDown="0">
        <left/>
        <right/>
        <top/>
        <bottom/>
      </border>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s>
  <tableStyles count="0" defaultTableStyle="TableStyleMedium2" defaultPivotStyle="PivotStyleLight16"/>
  <colors>
    <indexedColors>
      <rgbColor rgb="FF000000"/>
      <rgbColor rgb="FFFFFFFF"/>
      <rgbColor rgb="FFFF0000"/>
      <rgbColor rgb="FFEDEDED"/>
      <rgbColor rgb="FF0000FF"/>
      <rgbColor rgb="FFFFFF00"/>
      <rgbColor rgb="FFFF00FF"/>
      <rgbColor rgb="FFD9D9D9"/>
      <rgbColor rgb="FF9C0006"/>
      <rgbColor rgb="FF008000"/>
      <rgbColor rgb="FF000080"/>
      <rgbColor rgb="FFBFBFBF"/>
      <rgbColor rgb="FF800080"/>
      <rgbColor rgb="FFF2F2F2"/>
      <rgbColor rgb="FFC0C0C0"/>
      <rgbColor rgb="FF558ED5"/>
      <rgbColor rgb="FF8EB4E3"/>
      <rgbColor rgb="FFCCC1DA"/>
      <rgbColor rgb="FFFFFFCC"/>
      <rgbColor rgb="FFCCFFFF"/>
      <rgbColor rgb="FF660066"/>
      <rgbColor rgb="FFFF8080"/>
      <rgbColor rgb="FF0066CC"/>
      <rgbColor rgb="FFC6D9F1"/>
      <rgbColor rgb="FF000080"/>
      <rgbColor rgb="FFFF00FF"/>
      <rgbColor rgb="FFD7E4BD"/>
      <rgbColor rgb="FFDDD9C3"/>
      <rgbColor rgb="FF800080"/>
      <rgbColor rgb="FF800000"/>
      <rgbColor rgb="FF008080"/>
      <rgbColor rgb="FF0000FF"/>
      <rgbColor rgb="FF00B0F0"/>
      <rgbColor rgb="FFDCE6F2"/>
      <rgbColor rgb="FFCCFFCC"/>
      <rgbColor rgb="FFFFFF99"/>
      <rgbColor rgb="FF99CCFF"/>
      <rgbColor rgb="FFFF99CC"/>
      <rgbColor rgb="FFFF99FF"/>
      <rgbColor rgb="FFFFCC99"/>
      <rgbColor rgb="FFB4C7E7"/>
      <rgbColor rgb="FF33CCCC"/>
      <rgbColor rgb="FFC3D69B"/>
      <rgbColor rgb="FFFFC000"/>
      <rgbColor rgb="FFED7D31"/>
      <rgbColor rgb="FFFF6600"/>
      <rgbColor rgb="FF2F5597"/>
      <rgbColor rgb="FFA6A6A6"/>
      <rgbColor rgb="FF003366"/>
      <rgbColor rgb="FF95B3D7"/>
      <rgbColor rgb="FF003300"/>
      <rgbColor rgb="FF333300"/>
      <rgbColor rgb="FF993300"/>
      <rgbColor rgb="FFFFC7CE"/>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658800</xdr:colOff>
      <xdr:row>3</xdr:row>
      <xdr:rowOff>252360</xdr:rowOff>
    </xdr:from>
    <xdr:to>
      <xdr:col>3</xdr:col>
      <xdr:colOff>659160</xdr:colOff>
      <xdr:row>5</xdr:row>
      <xdr:rowOff>116640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7369920" y="709560"/>
          <a:ext cx="360" cy="292680"/>
        </a:xfrm>
        <a:custGeom>
          <a:avLst/>
          <a:gdLst/>
          <a:ahLst/>
          <a:cxnLst/>
          <a:rect l="l" t="t" r="r" b="b"/>
          <a:pathLst>
            <a:path w="21600" h="21600">
              <a:moveTo>
                <a:pt x="0" y="0"/>
              </a:moveTo>
              <a:lnTo>
                <a:pt x="21600" y="21600"/>
              </a:lnTo>
            </a:path>
          </a:pathLst>
        </a:custGeom>
        <a:noFill/>
        <a:ln>
          <a:solidFill>
            <a:srgbClr val="4A7EBB"/>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456480</xdr:colOff>
      <xdr:row>51</xdr:row>
      <xdr:rowOff>113760</xdr:rowOff>
    </xdr:to>
    <xdr:sp macro="" textlink="">
      <xdr:nvSpPr>
        <xdr:cNvPr id="2" name="CustomShape 1" hidden="1">
          <a:extLst>
            <a:ext uri="{FF2B5EF4-FFF2-40B4-BE49-F238E27FC236}">
              <a16:creationId xmlns:a16="http://schemas.microsoft.com/office/drawing/2014/main" id="{00000000-0008-0000-0500-000002000000}"/>
            </a:ext>
          </a:extLst>
        </xdr:cNvPr>
        <xdr:cNvSpPr/>
      </xdr:nvSpPr>
      <xdr:spPr>
        <a:xfrm>
          <a:off x="0" y="0"/>
          <a:ext cx="10052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457200</xdr:colOff>
      <xdr:row>51</xdr:row>
      <xdr:rowOff>114300</xdr:rowOff>
    </xdr:to>
    <xdr:sp macro="" textlink="">
      <xdr:nvSpPr>
        <xdr:cNvPr id="2050" name="_x0000_t202" hidden="1">
          <a:extLst>
            <a:ext uri="{FF2B5EF4-FFF2-40B4-BE49-F238E27FC236}">
              <a16:creationId xmlns:a16="http://schemas.microsoft.com/office/drawing/2014/main" id="{00000000-0008-0000-05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3" name="AutoShape 2">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4" name="AutoShape 2">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5" name="AutoShape 2">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6" name="AutoShape 2">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7" name="AutoShape 2">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8" name="AutoShape 2">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9" name="AutoShape 2">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0" name="AutoShape 2">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1" name="AutoShape 2">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2" name="AutoShape 2">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3" name="AutoShape 2">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4" name="AutoShape 2">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5" name="AutoShape 2">
          <a:extLst>
            <a:ext uri="{FF2B5EF4-FFF2-40B4-BE49-F238E27FC236}">
              <a16:creationId xmlns:a16="http://schemas.microsoft.com/office/drawing/2014/main" id="{00000000-0008-0000-05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6" name="AutoShape 2">
          <a:extLst>
            <a:ext uri="{FF2B5EF4-FFF2-40B4-BE49-F238E27FC236}">
              <a16:creationId xmlns:a16="http://schemas.microsoft.com/office/drawing/2014/main" id="{00000000-0008-0000-05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7" name="AutoShape 2">
          <a:extLst>
            <a:ext uri="{FF2B5EF4-FFF2-40B4-BE49-F238E27FC236}">
              <a16:creationId xmlns:a16="http://schemas.microsoft.com/office/drawing/2014/main" id="{00000000-0008-0000-05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8" name="AutoShape 2">
          <a:extLst>
            <a:ext uri="{FF2B5EF4-FFF2-40B4-BE49-F238E27FC236}">
              <a16:creationId xmlns:a16="http://schemas.microsoft.com/office/drawing/2014/main" id="{00000000-0008-0000-05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19" name="AutoShape 2">
          <a:extLst>
            <a:ext uri="{FF2B5EF4-FFF2-40B4-BE49-F238E27FC236}">
              <a16:creationId xmlns:a16="http://schemas.microsoft.com/office/drawing/2014/main" id="{00000000-0008-0000-05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0" name="AutoShape 2">
          <a:extLst>
            <a:ext uri="{FF2B5EF4-FFF2-40B4-BE49-F238E27FC236}">
              <a16:creationId xmlns:a16="http://schemas.microsoft.com/office/drawing/2014/main" id="{00000000-0008-0000-05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1" name="AutoShape 2">
          <a:extLst>
            <a:ext uri="{FF2B5EF4-FFF2-40B4-BE49-F238E27FC236}">
              <a16:creationId xmlns:a16="http://schemas.microsoft.com/office/drawing/2014/main" id="{00000000-0008-0000-05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2" name="AutoShape 2">
          <a:extLst>
            <a:ext uri="{FF2B5EF4-FFF2-40B4-BE49-F238E27FC236}">
              <a16:creationId xmlns:a16="http://schemas.microsoft.com/office/drawing/2014/main" id="{00000000-0008-0000-05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3" name="AutoShape 2">
          <a:extLst>
            <a:ext uri="{FF2B5EF4-FFF2-40B4-BE49-F238E27FC236}">
              <a16:creationId xmlns:a16="http://schemas.microsoft.com/office/drawing/2014/main" id="{00000000-0008-0000-05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4" name="AutoShape 2">
          <a:extLst>
            <a:ext uri="{FF2B5EF4-FFF2-40B4-BE49-F238E27FC236}">
              <a16:creationId xmlns:a16="http://schemas.microsoft.com/office/drawing/2014/main" id="{00000000-0008-0000-0500-00001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5" name="AutoShape 2">
          <a:extLst>
            <a:ext uri="{FF2B5EF4-FFF2-40B4-BE49-F238E27FC236}">
              <a16:creationId xmlns:a16="http://schemas.microsoft.com/office/drawing/2014/main" id="{00000000-0008-0000-0500-00001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6" name="AutoShape 2">
          <a:extLst>
            <a:ext uri="{FF2B5EF4-FFF2-40B4-BE49-F238E27FC236}">
              <a16:creationId xmlns:a16="http://schemas.microsoft.com/office/drawing/2014/main" id="{00000000-0008-0000-0500-00001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7" name="AutoShape 2">
          <a:extLst>
            <a:ext uri="{FF2B5EF4-FFF2-40B4-BE49-F238E27FC236}">
              <a16:creationId xmlns:a16="http://schemas.microsoft.com/office/drawing/2014/main" id="{00000000-0008-0000-0500-00001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8" name="AutoShape 2">
          <a:extLst>
            <a:ext uri="{FF2B5EF4-FFF2-40B4-BE49-F238E27FC236}">
              <a16:creationId xmlns:a16="http://schemas.microsoft.com/office/drawing/2014/main" id="{00000000-0008-0000-0500-00001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9" name="AutoShape 2">
          <a:extLst>
            <a:ext uri="{FF2B5EF4-FFF2-40B4-BE49-F238E27FC236}">
              <a16:creationId xmlns:a16="http://schemas.microsoft.com/office/drawing/2014/main" id="{00000000-0008-0000-0500-00001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30" name="AutoShape 2">
          <a:extLst>
            <a:ext uri="{FF2B5EF4-FFF2-40B4-BE49-F238E27FC236}">
              <a16:creationId xmlns:a16="http://schemas.microsoft.com/office/drawing/2014/main" id="{00000000-0008-0000-0500-00001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31" name="AutoShape 2">
          <a:extLst>
            <a:ext uri="{FF2B5EF4-FFF2-40B4-BE49-F238E27FC236}">
              <a16:creationId xmlns:a16="http://schemas.microsoft.com/office/drawing/2014/main" id="{00000000-0008-0000-0500-00001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048" name="AutoShape 2">
          <a:extLst>
            <a:ext uri="{FF2B5EF4-FFF2-40B4-BE49-F238E27FC236}">
              <a16:creationId xmlns:a16="http://schemas.microsoft.com/office/drawing/2014/main" id="{00000000-0008-0000-0500-00000008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457200</xdr:colOff>
      <xdr:row>51</xdr:row>
      <xdr:rowOff>114300</xdr:rowOff>
    </xdr:to>
    <xdr:sp macro="" textlink="">
      <xdr:nvSpPr>
        <xdr:cNvPr id="2049" name="AutoShape 2">
          <a:extLst>
            <a:ext uri="{FF2B5EF4-FFF2-40B4-BE49-F238E27FC236}">
              <a16:creationId xmlns:a16="http://schemas.microsoft.com/office/drawing/2014/main" id="{00000000-0008-0000-0500-00000108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658800</xdr:colOff>
      <xdr:row>4</xdr:row>
      <xdr:rowOff>42840</xdr:rowOff>
    </xdr:from>
    <xdr:to>
      <xdr:col>3</xdr:col>
      <xdr:colOff>659160</xdr:colOff>
      <xdr:row>4</xdr:row>
      <xdr:rowOff>82080</xdr:rowOff>
    </xdr:to>
    <xdr:sp macro="" textlink="">
      <xdr:nvSpPr>
        <xdr:cNvPr id="2" name="CustomShape 1">
          <a:extLst>
            <a:ext uri="{FF2B5EF4-FFF2-40B4-BE49-F238E27FC236}">
              <a16:creationId xmlns:a16="http://schemas.microsoft.com/office/drawing/2014/main" id="{00000000-0008-0000-0600-000002000000}"/>
            </a:ext>
          </a:extLst>
        </xdr:cNvPr>
        <xdr:cNvSpPr/>
      </xdr:nvSpPr>
      <xdr:spPr>
        <a:xfrm>
          <a:off x="7369920" y="785520"/>
          <a:ext cx="360" cy="39240"/>
        </a:xfrm>
        <a:custGeom>
          <a:avLst/>
          <a:gdLst/>
          <a:ahLst/>
          <a:cxnLst/>
          <a:rect l="l" t="t" r="r" b="b"/>
          <a:pathLst>
            <a:path w="21600" h="21600">
              <a:moveTo>
                <a:pt x="0" y="0"/>
              </a:moveTo>
              <a:lnTo>
                <a:pt x="21600" y="21600"/>
              </a:lnTo>
            </a:path>
          </a:pathLst>
        </a:custGeom>
        <a:noFill/>
        <a:ln>
          <a:solidFill>
            <a:srgbClr val="4A7EBB"/>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0058/Downloads/Library/Products/Group/29%20-%20CP%20Plus%20(New%20Credit%20Life)/99%20-%20Quotes/99%20-%20QUOTATION%20TOOL/Credit%20Protect%20Plus%20Premium%20Rate%20Calculator.Unlocked%20Version.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100058/Downloads/HP/AppData/Local/Microsoft/Windows/Temporary%20Internet%20Files/Content.Outlook/HRIDX4HJ/Tele%20Verifcation%20Re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100058/Downloads/303027891/Downloads/302005851/Downloads/Policy%20and%20Other%20Docs/Policy/by%20Kaushik/Retail%20Approval%20Mem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100058/Downloads/303027891/Downloads/212617604/Downloads/CET%20Version/CET%20New%20Version-KADAMBRI.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100058/Downloads/303027891/Downloads/302005851/Downloads/Score%20Car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100058/Downloads/212676841/Desktop/Branch%20Ops%20Project/CAM%20Standardisation/CAM%20Format%2029.10.2018%20Evening.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100058/Downloads/Public/Documents/Now/Magma%20FA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100058/Downloads/Ashfaque.s/AppData/Local/Temp/notes758E9C/PNB%20Housing%20Joint%20life%20Calculator.xlsb"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100058/Downloads/hp/Downloads/Sanction%20Letter%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Lists &amp; Working"/>
      <sheetName val="BASE_PREM"/>
      <sheetName val="ADB rates"/>
      <sheetName val="ADB_PREM"/>
      <sheetName val="TPD rates"/>
      <sheetName val="TPD_PREM"/>
      <sheetName val="CI-5 rates"/>
      <sheetName val="CI-5_PREM"/>
      <sheetName val="CI-10 rates"/>
      <sheetName val="CI-10_PRE"/>
      <sheetName val="FACTOR_MORT"/>
      <sheetName val="WKG_MORT"/>
      <sheetName val="FACTOR_MORATORIUM"/>
      <sheetName val="WKG_MORATORIUM"/>
      <sheetName val="FACTOR_TI"/>
      <sheetName val="FACTOR_INT"/>
      <sheetName val="WKG_INT"/>
      <sheetName val="Final Rates"/>
      <sheetName val="Checks"/>
      <sheetName val="Checks Final"/>
      <sheetName val="industry margin - service"/>
      <sheetName val="industry margin - trading"/>
      <sheetName val="industry margin - mfg"/>
      <sheetName val="Customer Details"/>
      <sheetName val="Sheet1"/>
      <sheetName val="Banking"/>
      <sheetName val="Sheet8"/>
      <sheetName val="Deviation Sheet"/>
      <sheetName val="Existing Loans"/>
      <sheetName val="Working -2"/>
      <sheetName val="Sheet5"/>
      <sheetName val="VAT"/>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ustomer Details"/>
      <sheetName val="Banking"/>
      <sheetName val="Industry Margin"/>
      <sheetName val="Existing Loans"/>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hdfc life"/>
      <sheetName val="LISTS"/>
      <sheetName val="WKG"/>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Fin-1"/>
      <sheetName val="Fin-2"/>
      <sheetName val="Fin-3"/>
      <sheetName val="DSCR"/>
      <sheetName val="Banking"/>
      <sheetName val="Existing Loans"/>
      <sheetName val="Industry Margin"/>
      <sheetName val="VAT"/>
      <sheetName val="Sheet6"/>
      <sheetName val="Sheet1"/>
      <sheetName val="Sheet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ver's International"/>
      <sheetName val="Klarke Facility Management"/>
      <sheetName val="Pharmer"/>
      <sheetName val="FNS International"/>
      <sheetName val="Alaric Score"/>
      <sheetName val="Rearranged Matrices"/>
      <sheetName val="Cases "/>
      <sheetName val="Scorecard  (2)"/>
      <sheetName val="Scorecard "/>
      <sheetName val="Metrics"/>
      <sheetName val="Notes"/>
      <sheetName val="Calci"/>
      <sheetName val="Customer Details"/>
      <sheetName val="CAM"/>
      <sheetName val="Fin-1"/>
      <sheetName val="Fin-2"/>
      <sheetName val="Fin-3"/>
      <sheetName val="DSCR"/>
      <sheetName val="Banking"/>
      <sheetName val="Existing Loans"/>
      <sheetName val="Industry Margin"/>
      <sheetName val="VAT"/>
      <sheetName val="Deviation Sheet"/>
      <sheetName val="Sheet1"/>
      <sheetName val="Sheet3"/>
      <sheetName val="Sheet2"/>
      <sheetName val="Sheet4"/>
      <sheetName val="Sheet5"/>
      <sheetName val="Sheet6"/>
      <sheetName val="Lists &amp; Working"/>
      <sheetName val="FACTOR_INT"/>
      <sheetName val="FACTOR_MORATORIUM"/>
      <sheetName val="FACTOR_MORT"/>
      <sheetName val="FACTOR_TI"/>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ver's International"/>
      <sheetName val="Klarke Facility Management"/>
      <sheetName val="Pharmer"/>
      <sheetName val="FNS International"/>
      <sheetName val="Alaric Score"/>
      <sheetName val="Customer Details"/>
      <sheetName val="CAM"/>
      <sheetName val="Fin-1"/>
      <sheetName val="Fin-2"/>
      <sheetName val="Fin-3"/>
      <sheetName val="DSCR"/>
      <sheetName val="Banking"/>
      <sheetName val="VAT"/>
      <sheetName val="Existing Loans"/>
      <sheetName val="Deviation Sheet"/>
      <sheetName val="Industry Margin - Mfg"/>
      <sheetName val="Industry Margin - Trading"/>
      <sheetName val="Industry Margin - Service"/>
      <sheetName val="Industry Margin"/>
      <sheetName val="Sheet1"/>
      <sheetName val="Sheet3"/>
      <sheetName val="Sheet2"/>
      <sheetName val="Sheet4"/>
      <sheetName val="Sheet5"/>
      <sheetName val="Scorecard"/>
      <sheetName val="Sheet8"/>
      <sheetName val="Sheet6"/>
      <sheetName val="Working -1"/>
      <sheetName val="Working -2"/>
      <sheetName val="Working -3"/>
      <sheetName val="Working -4"/>
      <sheetName val="Working -5"/>
      <sheetName val="FAT"/>
      <sheetName val="P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sheetName val="Industry List"/>
      <sheetName val="Mandatory Info"/>
      <sheetName val="PB"/>
      <sheetName val="ABB SHEET (2)"/>
      <sheetName val="FAT"/>
      <sheetName val="PB PROVISIONALS"/>
      <sheetName val="FAT PROVISIONAL"/>
      <sheetName val="Cash Flow"/>
      <sheetName val="OS"/>
      <sheetName val="ABB"/>
      <sheetName val="Scoring"/>
      <sheetName val="PD"/>
      <sheetName val="DSCR CSC &amp; DEVIATION"/>
      <sheetName val="TURNOVER CSC &amp; DEVIATION"/>
      <sheetName val="PNW &amp; SHP"/>
      <sheetName val="Sales Register &amp; Top 5 Cm"/>
      <sheetName val="RTR ELIGIBILITY &amp; CSC"/>
      <sheetName val="ABB ELIGIBILITY &amp; CSC"/>
      <sheetName val="Addn Workings"/>
      <sheetName val="Oracle Entry"/>
      <sheetName val="Sheet2"/>
      <sheetName val="cam-n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int Life"/>
      <sheetName val="NML"/>
      <sheetName val="Validations1"/>
      <sheetName val="Validations"/>
      <sheetName val="PRates_M4"/>
      <sheetName val="WKG"/>
      <sheetName val="LISTS"/>
      <sheetName val="Single Life"/>
      <sheetName val="Single_WKG"/>
      <sheetName val="Single_Validations"/>
      <sheetName val="Single_NML"/>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Emi Cal"/>
      <sheetName val="HDFC Life"/>
      <sheetName val="NML"/>
      <sheetName val="Validations"/>
      <sheetName val="PRates_M4"/>
      <sheetName val="WKG"/>
      <sheetName val="LISTS"/>
      <sheetName val="CALCULATOR"/>
      <sheetName val="SANCTION LETTER"/>
      <sheetName val="PENDENCYS.No"/>
      <sheetName val="Location Category"/>
      <sheetName val="Deviation Matrix"/>
      <sheetName val="HDFC"/>
      <sheetName val="Kotak"/>
      <sheetName val="Non Med limits"/>
      <sheetName val="Pricing grid"/>
      <sheetName val="Pricing"/>
      <sheetName val="Sheet3"/>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7"/>
  <sheetViews>
    <sheetView tabSelected="1" zoomScaleNormal="100" workbookViewId="0">
      <selection activeCell="B20" sqref="B20"/>
    </sheetView>
  </sheetViews>
  <sheetFormatPr defaultRowHeight="15"/>
  <cols>
    <col min="1" max="1" width="9.140625" style="1" customWidth="1"/>
    <col min="2" max="2" width="84.85546875" style="2" customWidth="1"/>
    <col min="3" max="3" width="19.5703125" style="3" customWidth="1"/>
    <col min="4" max="4" width="23" style="1" customWidth="1"/>
    <col min="5" max="5" width="37.5703125" style="2" customWidth="1"/>
    <col min="6" max="6" width="66.42578125" style="2" customWidth="1"/>
    <col min="7" max="7" width="13.42578125" style="2" customWidth="1"/>
    <col min="8" max="9" width="9.140625" style="2" customWidth="1"/>
    <col min="10" max="10" width="74.7109375" style="2" customWidth="1"/>
    <col min="11" max="11" width="15.85546875" style="2" customWidth="1"/>
    <col min="12" max="1025" width="9.140625" style="2" customWidth="1"/>
  </cols>
  <sheetData>
    <row r="1" spans="1:4" ht="18.75">
      <c r="A1" s="852" t="s">
        <v>0</v>
      </c>
      <c r="B1" s="852"/>
      <c r="C1" s="852"/>
      <c r="D1" s="852"/>
    </row>
    <row r="2" spans="1:4" ht="30">
      <c r="A2" s="4" t="s">
        <v>1</v>
      </c>
      <c r="B2" s="5" t="s">
        <v>2</v>
      </c>
      <c r="C2" s="6" t="s">
        <v>3</v>
      </c>
      <c r="D2" s="6" t="s">
        <v>4</v>
      </c>
    </row>
    <row r="3" spans="1:4">
      <c r="A3" s="7" t="s">
        <v>5</v>
      </c>
      <c r="B3" s="7"/>
      <c r="C3" s="7"/>
      <c r="D3" s="7"/>
    </row>
    <row r="4" spans="1:4">
      <c r="A4" s="1">
        <v>1</v>
      </c>
      <c r="B4" s="8" t="s">
        <v>6</v>
      </c>
      <c r="C4" s="9" t="str">
        <f>IF('Customer Details'!J8="Auto_Ancilliaries_M","Yes",IF('Customer Details'!L8="Wholesale of automotive components","Yes","No"))</f>
        <v>No</v>
      </c>
      <c r="D4" s="10" t="str">
        <f>IF(C4="Yes","No Go", "Ok")</f>
        <v>Ok</v>
      </c>
    </row>
    <row r="5" spans="1:4">
      <c r="A5" s="1">
        <v>2</v>
      </c>
      <c r="B5" s="8" t="s">
        <v>7</v>
      </c>
      <c r="C5" s="9" t="str">
        <f>IF('Customer Details'!J8="Automobile_2W_Trading","Yes","No")</f>
        <v>No</v>
      </c>
      <c r="D5" s="10" t="str">
        <f>IF(C5="Yes","No Go", "Ok")</f>
        <v>Ok</v>
      </c>
    </row>
    <row r="6" spans="1:4">
      <c r="C6" s="9"/>
      <c r="D6" s="10"/>
    </row>
    <row r="7" spans="1:4">
      <c r="A7" s="11" t="s">
        <v>8</v>
      </c>
      <c r="B7" s="11"/>
      <c r="C7" s="12"/>
      <c r="D7" s="13"/>
    </row>
    <row r="8" spans="1:4">
      <c r="A8" s="1">
        <v>1</v>
      </c>
      <c r="B8" s="8" t="s">
        <v>9</v>
      </c>
      <c r="C8" s="9" t="str">
        <f>IF('Customer Details'!E9&lt;600,(IF((COUNTIF('Customer Details'!E9:E13,"&gt;=-1")-COUNTIF('Customer Details'!E9:E13,"&gt;4"))&gt;0,"No",(IF('Customer Details'!E10&lt;600,"Yes","No")))),"No")</f>
        <v>Yes</v>
      </c>
      <c r="D8" s="10" t="str">
        <f>IF(C8="Yes","No Go", "Ok")</f>
        <v>No Go</v>
      </c>
    </row>
    <row r="9" spans="1:4">
      <c r="A9" s="1">
        <v>2</v>
      </c>
      <c r="B9" s="8" t="s">
        <v>10</v>
      </c>
      <c r="C9" s="9" t="str">
        <f>IF('Customer Details'!E8="NA","No",(IFERROR(IF('Customer Details'!E8&gt;=7,"Yes","No"),"No")))</f>
        <v>No</v>
      </c>
      <c r="D9" s="10" t="str">
        <f>IF(C9="Yes","No Go", "Ok")</f>
        <v>Ok</v>
      </c>
    </row>
    <row r="10" spans="1:4" ht="30">
      <c r="A10" s="1">
        <v>3</v>
      </c>
      <c r="B10" s="14" t="s">
        <v>11</v>
      </c>
      <c r="C10" s="9" t="str">
        <f>IF('Customer Details'!F5="Banking Programme",IF('Existing Loans'!G2&gt;10,"Yes","No"),"NA")</f>
        <v>NA</v>
      </c>
      <c r="D10" s="10" t="str">
        <f>IF(C10="Yes","No Go", "Ok")</f>
        <v>Ok</v>
      </c>
    </row>
    <row r="11" spans="1:4">
      <c r="C11" s="9"/>
      <c r="D11" s="10"/>
    </row>
    <row r="12" spans="1:4">
      <c r="A12" s="11" t="s">
        <v>12</v>
      </c>
      <c r="B12" s="11"/>
      <c r="C12" s="12"/>
      <c r="D12" s="13"/>
    </row>
    <row r="13" spans="1:4">
      <c r="A13" s="1">
        <v>1</v>
      </c>
      <c r="B13" s="8" t="s">
        <v>13</v>
      </c>
      <c r="C13" s="9" t="e">
        <f>IF('Customer Details'!F5="Banking Programme","NA",(IF('Customer Details'!F5="GST Program","NA",IF('Customer Details'!C8="Proprietorship","NA",IF('Fin-1'!D105&gt;3,"Yes","No")))))</f>
        <v>#DIV/0!</v>
      </c>
      <c r="D13" s="10" t="e">
        <f>IF(C13="Yes","No Go", "Ok")</f>
        <v>#DIV/0!</v>
      </c>
    </row>
    <row r="14" spans="1:4">
      <c r="A14" s="1">
        <v>2</v>
      </c>
      <c r="B14" s="8" t="s">
        <v>14</v>
      </c>
      <c r="C14" s="9" t="str">
        <f>IF('Customer Details'!F5="Banking Programme","NA",(IF('Customer Details'!F5="GST Program","NA",IF(COUNTIF(G14:G21,"Not Ok")&gt;2,"Yes","No"))))</f>
        <v>No</v>
      </c>
      <c r="D14" s="10" t="str">
        <f>IF(C14="Yes","NCM Deviation", "Ok")</f>
        <v>Ok</v>
      </c>
    </row>
    <row r="15" spans="1:4">
      <c r="A15" s="1">
        <v>3</v>
      </c>
      <c r="B15" s="8" t="s">
        <v>15</v>
      </c>
      <c r="C15" s="853" t="str">
        <f>IF(DSCR!F5="Yes","Yes","No")</f>
        <v>No</v>
      </c>
      <c r="D15" s="853"/>
    </row>
    <row r="16" spans="1:4">
      <c r="A16" s="1">
        <v>4</v>
      </c>
      <c r="B16" s="8" t="s">
        <v>16</v>
      </c>
      <c r="C16" s="9" t="str">
        <f>IF('Customer Details'!F5="Banking Programme","NA",IF(CAM!D89&gt;2,"Yes","No"))</f>
        <v>No</v>
      </c>
      <c r="D16" s="10" t="str">
        <f>IF(C16="Yes","No Go", "Ok")</f>
        <v>Ok</v>
      </c>
    </row>
    <row r="17" spans="1:7">
      <c r="B17" s="8"/>
      <c r="C17" s="9"/>
      <c r="D17" s="10"/>
    </row>
    <row r="18" spans="1:7">
      <c r="B18" s="15" t="s">
        <v>17</v>
      </c>
      <c r="C18" s="16" t="s">
        <v>18</v>
      </c>
      <c r="D18" s="10"/>
    </row>
    <row r="19" spans="1:7">
      <c r="B19" s="17" t="s">
        <v>19</v>
      </c>
      <c r="C19" s="18" t="e">
        <f>IF('Fin-1'!D108&gt;120,"Not Ok","Ok")</f>
        <v>#DIV/0!</v>
      </c>
      <c r="D19" s="10"/>
    </row>
    <row r="20" spans="1:7">
      <c r="B20" s="17" t="s">
        <v>20</v>
      </c>
      <c r="C20" s="18" t="e">
        <f>IF('Fin-1'!D111&gt;120,"Not Ok","Ok")</f>
        <v>#DIV/0!</v>
      </c>
      <c r="D20" s="10"/>
    </row>
    <row r="21" spans="1:7">
      <c r="B21" s="17" t="s">
        <v>21</v>
      </c>
      <c r="C21" s="18" t="e">
        <f>IF('Fin-1'!D100&lt;-0.2,"Not Ok","Ok")</f>
        <v>#DIV/0!</v>
      </c>
      <c r="D21" s="10"/>
    </row>
    <row r="22" spans="1:7">
      <c r="B22" s="17" t="s">
        <v>22</v>
      </c>
      <c r="C22" s="18" t="e">
        <f>IF('Fin-1'!D107&gt;1.5,IF('Fin-1'!D107&gt;1.25,"Ok","Not Ok"),"Not Ok")</f>
        <v>#DIV/0!</v>
      </c>
      <c r="D22" s="10"/>
    </row>
    <row r="23" spans="1:7">
      <c r="B23" s="17" t="s">
        <v>23</v>
      </c>
      <c r="C23" s="18" t="e">
        <f>IF((('Fin-1'!C32-'Fin-1'!D32)/'Fin-1'!D32)&gt;0.1,"Not Ok","Ok")</f>
        <v>#DIV/0!</v>
      </c>
      <c r="D23" s="10"/>
    </row>
    <row r="24" spans="1:7">
      <c r="B24" s="19"/>
      <c r="C24" s="20"/>
      <c r="D24" s="10"/>
    </row>
    <row r="25" spans="1:7">
      <c r="B25" s="19"/>
      <c r="C25" s="20"/>
      <c r="D25" s="10"/>
    </row>
    <row r="26" spans="1:7">
      <c r="A26" s="21" t="s">
        <v>24</v>
      </c>
      <c r="B26" s="11"/>
      <c r="C26" s="12"/>
      <c r="D26" s="13"/>
    </row>
    <row r="27" spans="1:7">
      <c r="A27" s="1">
        <v>1</v>
      </c>
      <c r="B27" s="8" t="s">
        <v>25</v>
      </c>
      <c r="C27" s="22" t="e">
        <f>IF('Customer Details'!F5="Banking Programme","NA",IF(Banking!S9&gt;=0.8,"No","Yes"))</f>
        <v>#DIV/0!</v>
      </c>
      <c r="D27" s="10" t="e">
        <f>IF(C27="Yes","No Go", "Ok")</f>
        <v>#DIV/0!</v>
      </c>
      <c r="F27" s="19"/>
      <c r="G27" s="19"/>
    </row>
    <row r="28" spans="1:7" ht="45">
      <c r="A28" s="1">
        <v>2</v>
      </c>
      <c r="B28" s="14" t="s">
        <v>26</v>
      </c>
      <c r="C28" s="9" t="e">
        <f>IF(Banking!K17&lt;-0.15,"Yes","No")</f>
        <v>#DIV/0!</v>
      </c>
      <c r="D28" s="10" t="e">
        <f>IF(C28="Yes","No Go", "Ok")</f>
        <v>#DIV/0!</v>
      </c>
      <c r="F28" s="19"/>
      <c r="G28" s="19"/>
    </row>
    <row r="29" spans="1:7">
      <c r="C29" s="9"/>
      <c r="D29" s="10"/>
      <c r="F29" s="19"/>
      <c r="G29" s="19"/>
    </row>
    <row r="30" spans="1:7">
      <c r="A30" s="21" t="s">
        <v>27</v>
      </c>
      <c r="B30" s="11"/>
      <c r="C30" s="12"/>
      <c r="D30" s="13"/>
      <c r="F30" s="19"/>
      <c r="G30" s="19"/>
    </row>
    <row r="31" spans="1:7" ht="60">
      <c r="A31" s="1">
        <v>1</v>
      </c>
      <c r="B31" s="14" t="s">
        <v>28</v>
      </c>
      <c r="C31" s="22" t="str">
        <f>IF('Customer Details'!F5="Banking Programme",IF('Existing Loans'!L2&gt;0,"Yes","No"),IF(COUNTIF('Existing Loans'!F4:F135,"Live")&gt;5,IF('Existing Loans'!L2&lt;=1,"No","Yes"),IF('Existing Loans'!L2&gt;=1,"Yes","No")))</f>
        <v>No</v>
      </c>
      <c r="D31" s="10" t="str">
        <f>IF(C31="Yes","No Go", "Ok")</f>
        <v>Ok</v>
      </c>
      <c r="F31" s="19"/>
      <c r="G31" s="19"/>
    </row>
    <row r="32" spans="1:7">
      <c r="C32" s="9"/>
      <c r="D32" s="10"/>
      <c r="F32" s="19"/>
      <c r="G32" s="19"/>
    </row>
    <row r="33" spans="1:7">
      <c r="A33" s="21" t="s">
        <v>29</v>
      </c>
      <c r="B33" s="21"/>
      <c r="C33" s="12"/>
      <c r="D33" s="13"/>
      <c r="F33" s="19"/>
      <c r="G33" s="19"/>
    </row>
    <row r="34" spans="1:7" ht="30">
      <c r="A34" s="1">
        <v>1</v>
      </c>
      <c r="B34" s="14" t="s">
        <v>30</v>
      </c>
      <c r="C34" s="9" t="str">
        <f>IF('Customer Details'!F5="Banking Programme",IF('Customer Details'!F3&lt;=20,IF(Banking!K15&lt;1,"Yes","No"),"No"),"NA")</f>
        <v>NA</v>
      </c>
      <c r="D34" s="10" t="str">
        <f>IF(C34="Yes","No Go", "Ok")</f>
        <v>Ok</v>
      </c>
      <c r="F34" s="19"/>
      <c r="G34" s="19"/>
    </row>
    <row r="35" spans="1:7" ht="30">
      <c r="A35" s="1">
        <v>2</v>
      </c>
      <c r="B35" s="14" t="s">
        <v>31</v>
      </c>
      <c r="C35" s="9" t="str">
        <f>IF('Customer Details'!F5="Banking Programme",(IF('Customer Details'!B24=5,"Yes","No")),"NA")</f>
        <v>NA</v>
      </c>
      <c r="D35" s="10" t="str">
        <f>IF(C35="Yes","No Go", "Ok")</f>
        <v>Ok</v>
      </c>
      <c r="F35" s="19"/>
      <c r="G35" s="19"/>
    </row>
    <row r="36" spans="1:7" ht="30">
      <c r="A36" s="1">
        <v>3</v>
      </c>
      <c r="B36" s="14" t="s">
        <v>32</v>
      </c>
      <c r="C36" s="9" t="str">
        <f>IF('Customer Details'!F5="Banking Programme",(IF('Customer Details'!B25=5,"Yes","No")),"NA")</f>
        <v>NA</v>
      </c>
      <c r="D36" s="10" t="str">
        <f>IF(C36="Yes","No Go", "Ok")</f>
        <v>Ok</v>
      </c>
      <c r="F36" s="19"/>
      <c r="G36" s="19"/>
    </row>
    <row r="37" spans="1:7">
      <c r="A37" s="1">
        <v>4</v>
      </c>
      <c r="B37" s="14" t="s">
        <v>33</v>
      </c>
      <c r="C37" s="9" t="str">
        <f>IF('Customer Details'!F5="Banking Programme",(IF((OR('Customer Details'!C5="Mumbai",'Customer Details'!C5="Pune"))=1,(IF(Banking!S8&gt;1500,"Yes","No")),(IF(Banking!S8&gt;2500,"Yes","No")))),"NA")</f>
        <v>NA</v>
      </c>
      <c r="D37" s="10" t="str">
        <f>IF(C37="Yes","No Go", "Ok")</f>
        <v>Ok</v>
      </c>
      <c r="F37" s="19"/>
      <c r="G37" s="19"/>
    </row>
    <row r="38" spans="1:7">
      <c r="A38" s="1">
        <v>5</v>
      </c>
      <c r="B38" s="14" t="s">
        <v>34</v>
      </c>
      <c r="C38" s="9" t="b">
        <f>IF('Customer Details'!F5="Banking Programme",IF((OR('Customer Details'!J8="Pharmaceuticals_M",'Customer Details'!J8="Industrial_Equipment_or_Machinery_M",'Customer Details'!J8="Speciality_M",'Customer Details'!J8="Drug_Stores_Trading",'Customer Details'!J8="Industrial_Equipment_or_Machinery_Trading",'Customer Details'!J8="Speciality_Trading",'Customer Details'!J8="Professional_Services_Services_Industry",'Customer Details'!J8="Industrial_Equipment_or_Machinery_Services_Industry"))=1,(IF(Banking!F17&lt;4,"Yes","No")),(IF(Banking!F17&lt;5,"Yes","No"))))</f>
        <v>0</v>
      </c>
      <c r="D38" s="10" t="str">
        <f>IF(C38="Yes","No Go", "Ok")</f>
        <v>Ok</v>
      </c>
      <c r="F38" s="19"/>
      <c r="G38" s="19"/>
    </row>
    <row r="39" spans="1:7">
      <c r="B39" s="14"/>
      <c r="C39" s="22"/>
      <c r="D39" s="10"/>
      <c r="F39" s="19"/>
      <c r="G39" s="19"/>
    </row>
    <row r="40" spans="1:7">
      <c r="A40" s="21" t="s">
        <v>35</v>
      </c>
      <c r="B40" s="21"/>
      <c r="C40" s="23"/>
      <c r="D40" s="13"/>
      <c r="F40" s="19"/>
      <c r="G40" s="19"/>
    </row>
    <row r="41" spans="1:7">
      <c r="A41" s="1">
        <v>1</v>
      </c>
      <c r="B41" s="8" t="s">
        <v>36</v>
      </c>
      <c r="C41" s="9" t="str">
        <f>IF('Customer Details'!F5="Banking Programme",(IF((OR('Customer Details'!C5="Banglore",'Customer Details'!C5="Hyderabad",'Customer Details'!C5="Chandigarh",'Customer Details'!C5="Jaipur"))=0,"NA for location",(IF('Customer Details'!F3&gt;20,(IF(Banking!K15&lt;2,"Yes","No")),"NA")))),"NA")</f>
        <v>NA</v>
      </c>
      <c r="D41" s="10" t="str">
        <f>IF(C41="Yes","No Go", "Ok")</f>
        <v>Ok</v>
      </c>
      <c r="E41" s="24"/>
      <c r="F41" s="19"/>
      <c r="G41" s="19"/>
    </row>
    <row r="42" spans="1:7">
      <c r="A42" s="1">
        <v>2</v>
      </c>
      <c r="B42" s="8" t="s">
        <v>37</v>
      </c>
      <c r="C42" s="9" t="str">
        <f>IF('Customer Details'!F5="Banking Programme",(IF((OR('Customer Details'!C5="Banglore",'Customer Details'!C5="Hyderabad",'Customer Details'!C5="Chandigarh",'Customer Details'!C5="Jaipur"))=0,"NA for location",(IF('Customer Details'!F3&gt;20,(IF(Banking!M9&gt;0.01,"Yes","No")),"NA")))),"NA")</f>
        <v>NA</v>
      </c>
      <c r="D42" s="10" t="str">
        <f>IF(C42="Yes","No Go", "Ok")</f>
        <v>Ok</v>
      </c>
      <c r="E42" s="24"/>
      <c r="F42" s="19"/>
      <c r="G42" s="19"/>
    </row>
    <row r="43" spans="1:7">
      <c r="A43" s="1">
        <v>3</v>
      </c>
      <c r="B43" s="8" t="s">
        <v>38</v>
      </c>
      <c r="C43" s="9" t="str">
        <f>IF('Customer Details'!F5="Banking Programme",(IF((OR('Customer Details'!C5="Banglore",'Customer Details'!C5="Hyderabad",'Customer Details'!C5="Chandigarh",'Customer Details'!C5="Jaipur"))=0,"NA for location",(IF('Customer Details'!F5="Banking Programme",(IF('Customer Details'!F3&gt;20,(IF(Banking!S8&lt;500,"Yes","No")),"NA")),"NA")))),"NA")</f>
        <v>NA</v>
      </c>
      <c r="D43" s="10" t="str">
        <f>IF(C43="Yes","No Go", "Ok")</f>
        <v>Ok</v>
      </c>
      <c r="E43" s="24"/>
      <c r="F43" s="19"/>
      <c r="G43" s="19"/>
    </row>
    <row r="44" spans="1:7">
      <c r="C44" s="9"/>
      <c r="D44" s="10"/>
      <c r="E44" s="24"/>
      <c r="F44" s="19"/>
      <c r="G44" s="19"/>
    </row>
    <row r="45" spans="1:7">
      <c r="A45" s="21" t="s">
        <v>39</v>
      </c>
      <c r="B45" s="21"/>
      <c r="C45" s="12"/>
      <c r="D45" s="13"/>
      <c r="E45" s="24"/>
      <c r="F45" s="19"/>
      <c r="G45" s="19"/>
    </row>
    <row r="46" spans="1:7">
      <c r="A46" s="1">
        <v>1</v>
      </c>
      <c r="B46" s="8" t="s">
        <v>40</v>
      </c>
      <c r="C46" s="9" t="str">
        <f>IF('Customer Details'!F3&lt;=35,"NA",IF('Customer Details'!F5="Banking Programme","NA",(IF('Customer Details'!F5="GST Program","NA",IF('Customer Details'!G8&lt;7,"Yes","No")))))</f>
        <v>NA</v>
      </c>
      <c r="D46" s="10" t="str">
        <f t="shared" ref="D46:D52" si="0">IF(C46="Yes","No Go", "Ok")</f>
        <v>Ok</v>
      </c>
      <c r="E46" s="25"/>
    </row>
    <row r="47" spans="1:7">
      <c r="A47" s="1">
        <v>2</v>
      </c>
      <c r="B47" s="8" t="s">
        <v>41</v>
      </c>
      <c r="C47" s="9" t="str">
        <f>IF('Customer Details'!F3&lt;=35,"NA",IF('Customer Details'!F5="Banking Programme","NA",(IF('Customer Details'!F5="GST Program","NA",IF(DSCR!C8&lt;DSCR!B8,"Yes","No")))))</f>
        <v>NA</v>
      </c>
      <c r="D47" s="10" t="str">
        <f t="shared" si="0"/>
        <v>Ok</v>
      </c>
      <c r="E47" s="25"/>
      <c r="F47" s="19"/>
      <c r="G47" s="19"/>
    </row>
    <row r="48" spans="1:7">
      <c r="A48" s="1">
        <v>3</v>
      </c>
      <c r="B48" s="8" t="s">
        <v>42</v>
      </c>
      <c r="C48" s="9" t="str">
        <f>IF('Customer Details'!F3&lt;=35,"NA",IF('Customer Details'!F5="Banking Programme","NA",(IF('Customer Details'!F5="GST Program","NA",IF('Fin-1'!D26&lt;'Fin-1'!C26,"Yes","No")))))</f>
        <v>NA</v>
      </c>
      <c r="D48" s="10" t="str">
        <f t="shared" si="0"/>
        <v>Ok</v>
      </c>
      <c r="F48" s="19"/>
      <c r="G48" s="19"/>
    </row>
    <row r="49" spans="1:7">
      <c r="A49" s="1">
        <v>4</v>
      </c>
      <c r="B49" s="8" t="s">
        <v>43</v>
      </c>
      <c r="C49" s="9" t="str">
        <f>IF('Customer Details'!F3&lt;=35,"NA",IF('Customer Details'!F5="Banking Programme","NA",(IF('Customer Details'!F5="GST Program","NA",IF('Fin-1'!D105&gt;2,"Yes","No")))))</f>
        <v>NA</v>
      </c>
      <c r="D49" s="10" t="str">
        <f t="shared" si="0"/>
        <v>Ok</v>
      </c>
      <c r="F49" s="19"/>
      <c r="G49" s="19"/>
    </row>
    <row r="50" spans="1:7">
      <c r="A50" s="1">
        <v>5</v>
      </c>
      <c r="B50" s="8" t="s">
        <v>44</v>
      </c>
      <c r="C50" s="9" t="str">
        <f>IF('Customer Details'!F3&lt;=35,"NA",IF('Customer Details'!F5="Banking Programme","NA",(IF('Customer Details'!F5="GST Program","NA",IF('Fin-1'!D108&gt;90,IF('Fin-1'!D111&gt;120,"Yes","No"),"No")))))</f>
        <v>NA</v>
      </c>
      <c r="D50" s="10" t="str">
        <f t="shared" si="0"/>
        <v>Ok</v>
      </c>
      <c r="F50" s="19"/>
      <c r="G50" s="19"/>
    </row>
    <row r="51" spans="1:7">
      <c r="A51" s="1">
        <v>6</v>
      </c>
      <c r="B51" s="8" t="s">
        <v>45</v>
      </c>
      <c r="C51" s="9" t="str">
        <f>IF('Customer Details'!F3&lt;=35,"NA",IF('Customer Details'!F5="Banking Programme","NA",(IF('Customer Details'!F5="GST Program","NA",IF(OR('Customer Details'!E9&lt;650,'Customer Details'!E10&lt;650)="FALSE","Yes","No")))))</f>
        <v>NA</v>
      </c>
      <c r="D51" s="10" t="str">
        <f t="shared" si="0"/>
        <v>Ok</v>
      </c>
      <c r="F51" s="19"/>
      <c r="G51" s="19"/>
    </row>
    <row r="52" spans="1:7">
      <c r="A52" s="1">
        <v>7</v>
      </c>
      <c r="B52" s="8" t="s">
        <v>46</v>
      </c>
      <c r="C52" s="9" t="str">
        <f>IF('Customer Details'!F3&lt;=35,"NA",IF('Customer Details'!F5="Banking Programme","NA",(IF('Customer Details'!F5="GST Program","NA",IF(Banking!N17&lt;=0.95,"No","Yes")))))</f>
        <v>NA</v>
      </c>
      <c r="D52" s="10" t="str">
        <f t="shared" si="0"/>
        <v>Ok</v>
      </c>
      <c r="F52" s="19"/>
      <c r="G52" s="19"/>
    </row>
    <row r="53" spans="1:7">
      <c r="A53" s="1">
        <v>8</v>
      </c>
      <c r="B53" s="26" t="s">
        <v>47</v>
      </c>
      <c r="C53" s="27" t="s">
        <v>48</v>
      </c>
      <c r="D53" s="28" t="str">
        <f>IF(C53="No","No Go", "Ok")</f>
        <v>Ok</v>
      </c>
      <c r="E53" s="26" t="s">
        <v>49</v>
      </c>
      <c r="F53" s="19"/>
      <c r="G53" s="19"/>
    </row>
    <row r="54" spans="1:7">
      <c r="A54" s="1">
        <v>9</v>
      </c>
      <c r="B54" s="26" t="s">
        <v>50</v>
      </c>
      <c r="C54" s="27" t="s">
        <v>48</v>
      </c>
      <c r="D54" s="28" t="str">
        <f>IF(C54="No","No Go", "Ok")</f>
        <v>Ok</v>
      </c>
      <c r="E54" s="26" t="s">
        <v>49</v>
      </c>
    </row>
    <row r="55" spans="1:7">
      <c r="B55" s="8"/>
    </row>
    <row r="56" spans="1:7">
      <c r="A56" s="21" t="s">
        <v>51</v>
      </c>
      <c r="B56" s="21"/>
      <c r="C56" s="12"/>
      <c r="D56" s="13"/>
      <c r="E56" s="24"/>
      <c r="F56" s="19"/>
      <c r="G56" s="19"/>
    </row>
    <row r="57" spans="1:7">
      <c r="A57" s="1">
        <v>1</v>
      </c>
      <c r="B57" s="8" t="s">
        <v>52</v>
      </c>
      <c r="C57" s="3">
        <f>CAM!D89</f>
        <v>2</v>
      </c>
      <c r="D57" s="1" t="str">
        <f>IF((C57)&gt;2,"No Go","Ok")</f>
        <v>Ok</v>
      </c>
    </row>
  </sheetData>
  <sheetProtection password="857C" sheet="1" objects="1" scenarios="1"/>
  <mergeCells count="2">
    <mergeCell ref="A1:D1"/>
    <mergeCell ref="C15:D15"/>
  </mergeCells>
  <conditionalFormatting sqref="D4:D5 D8:D10 D31 D13:D14 D27:D28 D34:D40">
    <cfRule type="containsText" dxfId="93" priority="2" operator="containsText" text="No Go">
      <formula>NOT(ISERROR(SEARCH("No Go",D4)))</formula>
    </cfRule>
  </conditionalFormatting>
  <conditionalFormatting sqref="C15:D15">
    <cfRule type="containsText" dxfId="92" priority="3" operator="containsText" text="Yes">
      <formula>NOT(ISERROR(SEARCH("Yes",C15)))</formula>
    </cfRule>
  </conditionalFormatting>
  <conditionalFormatting sqref="D14">
    <cfRule type="containsText" dxfId="91" priority="4" operator="containsText" text="NCM Deviation">
      <formula>NOT(ISERROR(SEARCH("NCM Deviation",D14)))</formula>
    </cfRule>
  </conditionalFormatting>
  <conditionalFormatting sqref="D16:D22">
    <cfRule type="containsText" dxfId="90" priority="5" operator="containsText" text="No Go">
      <formula>NOT(ISERROR(SEARCH("No Go",D16)))</formula>
    </cfRule>
  </conditionalFormatting>
  <conditionalFormatting sqref="D46:D55">
    <cfRule type="containsText" dxfId="89" priority="6" operator="containsText" text="No Go">
      <formula>NOT(ISERROR(SEARCH("No Go",D46)))</formula>
    </cfRule>
  </conditionalFormatting>
  <conditionalFormatting sqref="D41:D43">
    <cfRule type="containsText" dxfId="88" priority="7" operator="containsText" text="No Go">
      <formula>NOT(ISERROR(SEARCH("No Go",D41)))</formula>
    </cfRule>
  </conditionalFormatting>
  <conditionalFormatting sqref="D57">
    <cfRule type="cellIs" dxfId="87" priority="8" operator="equal">
      <formula>"No Go"</formula>
    </cfRule>
  </conditionalFormatting>
  <dataValidations count="1">
    <dataValidation type="list" allowBlank="1" showInputMessage="1" showErrorMessage="1" sqref="C53:C54" xr:uid="{00000000-0002-0000-0000-000000000000}">
      <formula1>Haha</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8"/>
  <sheetViews>
    <sheetView showGridLines="0" zoomScaleNormal="100" workbookViewId="0"/>
  </sheetViews>
  <sheetFormatPr defaultRowHeight="15"/>
  <cols>
    <col min="1" max="1" width="29.7109375" style="477" customWidth="1"/>
    <col min="2" max="2" width="21.7109375" style="478" customWidth="1"/>
    <col min="3" max="3" width="25.140625" style="478" customWidth="1"/>
    <col min="4" max="4" width="12.140625" style="478" customWidth="1"/>
    <col min="5" max="5" width="9.42578125" style="478" customWidth="1"/>
    <col min="6" max="6" width="24.42578125" style="478" customWidth="1"/>
    <col min="7" max="7" width="15.85546875" style="478" customWidth="1"/>
    <col min="8" max="8" width="10.140625" style="478" customWidth="1"/>
    <col min="9" max="9" width="14.28515625" style="478" customWidth="1"/>
    <col min="10" max="10" width="22.140625" style="478" customWidth="1"/>
    <col min="11" max="11" width="17.7109375" style="479" customWidth="1"/>
    <col min="12" max="12" width="33.140625" style="479" customWidth="1"/>
    <col min="13" max="15" width="13.140625" style="479" customWidth="1"/>
    <col min="16" max="21" width="9.140625" style="479" customWidth="1"/>
    <col min="22" max="22" width="10.140625" style="479" customWidth="1"/>
    <col min="23" max="132" width="11.5703125" style="479" customWidth="1"/>
    <col min="133" max="1025" width="9.140625" style="479" customWidth="1"/>
  </cols>
  <sheetData>
    <row r="1" spans="1:44" s="482" customFormat="1" ht="15.75">
      <c r="A1" s="480" t="s">
        <v>2319</v>
      </c>
      <c r="B1" s="481"/>
      <c r="C1" s="481"/>
      <c r="D1" s="481"/>
      <c r="E1" s="481"/>
      <c r="F1" s="481"/>
      <c r="G1" s="481"/>
      <c r="H1" s="481"/>
      <c r="I1" s="481"/>
      <c r="J1" s="481"/>
      <c r="K1" s="481"/>
      <c r="L1" s="481"/>
      <c r="M1" s="481"/>
      <c r="N1" s="481"/>
    </row>
    <row r="2" spans="1:44" s="482" customFormat="1" ht="12.75">
      <c r="A2" s="483"/>
      <c r="B2" s="484"/>
      <c r="C2" s="484"/>
      <c r="D2" s="484"/>
      <c r="E2" s="484"/>
      <c r="F2" s="484"/>
      <c r="G2" s="484"/>
      <c r="H2" s="484"/>
      <c r="I2" s="484"/>
      <c r="J2" s="484"/>
      <c r="K2" s="485"/>
      <c r="L2" s="485"/>
      <c r="M2" s="485"/>
      <c r="N2" s="485"/>
    </row>
    <row r="3" spans="1:44">
      <c r="A3" s="860" t="s">
        <v>485</v>
      </c>
      <c r="B3" s="860"/>
      <c r="C3" s="487"/>
      <c r="D3" s="861" t="s">
        <v>486</v>
      </c>
      <c r="E3" s="861"/>
      <c r="F3" s="863"/>
      <c r="G3" s="863"/>
      <c r="H3" s="863"/>
      <c r="I3" s="488"/>
      <c r="J3" s="485"/>
      <c r="K3" s="486" t="s">
        <v>111</v>
      </c>
      <c r="L3" s="489">
        <v>0.19500000000000001</v>
      </c>
      <c r="M3" s="490"/>
    </row>
    <row r="4" spans="1:44">
      <c r="A4" s="860" t="s">
        <v>487</v>
      </c>
      <c r="B4" s="860"/>
      <c r="C4" s="838"/>
      <c r="D4" s="861" t="s">
        <v>316</v>
      </c>
      <c r="E4" s="861"/>
      <c r="F4" s="862"/>
      <c r="G4" s="862"/>
      <c r="H4" s="862"/>
      <c r="I4" s="491"/>
      <c r="J4" s="482"/>
      <c r="K4" s="486" t="s">
        <v>399</v>
      </c>
      <c r="L4" s="492">
        <v>24</v>
      </c>
      <c r="M4" s="493"/>
    </row>
    <row r="5" spans="1:44">
      <c r="A5" s="860" t="s">
        <v>489</v>
      </c>
      <c r="B5" s="860"/>
      <c r="C5" s="494"/>
      <c r="D5" s="861" t="s">
        <v>317</v>
      </c>
      <c r="E5" s="861"/>
      <c r="F5" s="862"/>
      <c r="G5" s="862"/>
      <c r="H5" s="862"/>
      <c r="I5" s="495"/>
      <c r="J5" s="482"/>
      <c r="K5" s="486" t="s">
        <v>492</v>
      </c>
      <c r="L5" s="496">
        <f>PMT(L3/12,L4,-F3*100000)</f>
        <v>0</v>
      </c>
      <c r="M5" s="497"/>
    </row>
    <row r="6" spans="1:44" s="482" customFormat="1" ht="12.75">
      <c r="A6" s="860" t="s">
        <v>327</v>
      </c>
      <c r="B6" s="860"/>
      <c r="C6" s="498"/>
      <c r="D6" s="861" t="s">
        <v>493</v>
      </c>
      <c r="E6" s="861"/>
      <c r="F6" s="863"/>
      <c r="G6" s="863"/>
      <c r="H6" s="863"/>
      <c r="I6" s="499"/>
      <c r="J6" s="485"/>
      <c r="K6" s="485"/>
      <c r="L6" s="485"/>
      <c r="M6" s="485"/>
    </row>
    <row r="7" spans="1:44" s="502" customFormat="1" ht="38.25">
      <c r="A7" s="500" t="s">
        <v>494</v>
      </c>
      <c r="B7" s="500" t="s">
        <v>495</v>
      </c>
      <c r="C7" s="500" t="s">
        <v>496</v>
      </c>
      <c r="D7" s="500" t="s">
        <v>497</v>
      </c>
      <c r="E7" s="500" t="s">
        <v>326</v>
      </c>
      <c r="F7" s="500" t="s">
        <v>498</v>
      </c>
      <c r="G7" s="500" t="s">
        <v>499</v>
      </c>
      <c r="H7" s="500" t="s">
        <v>500</v>
      </c>
      <c r="I7" s="500" t="s">
        <v>501</v>
      </c>
      <c r="J7" s="500" t="s">
        <v>502</v>
      </c>
      <c r="K7" s="500" t="s">
        <v>503</v>
      </c>
      <c r="L7" s="500" t="s">
        <v>316</v>
      </c>
      <c r="M7" s="500" t="s">
        <v>504</v>
      </c>
      <c r="N7" s="500" t="s">
        <v>505</v>
      </c>
      <c r="O7" s="500" t="s">
        <v>506</v>
      </c>
      <c r="P7" s="482"/>
      <c r="Q7" s="501"/>
      <c r="R7" s="501"/>
      <c r="S7" s="501"/>
      <c r="T7" s="501"/>
      <c r="U7" s="501"/>
      <c r="V7" s="501"/>
      <c r="W7" s="501"/>
      <c r="X7" s="501"/>
      <c r="Y7" s="501"/>
      <c r="Z7" s="501"/>
      <c r="AA7" s="501"/>
      <c r="AB7" s="501"/>
      <c r="AC7" s="501"/>
      <c r="AD7" s="501"/>
      <c r="AE7" s="501"/>
      <c r="AF7" s="501"/>
      <c r="AG7" s="501"/>
      <c r="AH7" s="501"/>
      <c r="AI7" s="501"/>
      <c r="AJ7" s="501"/>
      <c r="AK7" s="501"/>
      <c r="AL7" s="501"/>
      <c r="AM7" s="501"/>
      <c r="AN7" s="501"/>
      <c r="AO7" s="501"/>
      <c r="AP7" s="501"/>
      <c r="AQ7" s="501"/>
      <c r="AR7" s="501"/>
    </row>
    <row r="8" spans="1:44" s="24" customFormat="1" ht="12.75">
      <c r="A8" s="844" t="s">
        <v>507</v>
      </c>
      <c r="B8" s="844"/>
      <c r="C8" s="503"/>
      <c r="D8" s="504"/>
      <c r="E8" s="503"/>
      <c r="F8" s="505"/>
      <c r="G8" s="506">
        <f t="shared" ref="G8:G13" ca="1" si="0">IF(F8&gt;0,(TODAY()-F8)/365,0)</f>
        <v>0</v>
      </c>
      <c r="H8" s="507">
        <f ca="1">G8+L4/12</f>
        <v>2</v>
      </c>
      <c r="I8" s="508"/>
      <c r="J8" s="509"/>
      <c r="K8" s="510"/>
      <c r="L8" s="510"/>
      <c r="M8" s="511">
        <f>IF(IF(I8="Manufacturing",INDEX('Industry Margin - Mfg'!DL2:HT84,(SUMPRODUCT(('Industry Margin - Mfg'!C2:DK84=(L8))*ROW('Industry Margin - Mfg'!C2:DK84))-ROW('Industry Margin - Mfg'!C2:DK84)+1),(SUMPRODUCT(('Industry Margin - Mfg'!C2:DK84=(L8))*COLUMN('Industry Margin - Mfg'!C2:DK84))-COLUMN('Industry Margin - Mfg'!C2:DK84)+1))/100,(IF(I8="Trading",INDEX('Industry Margin - Trading'!AG2:BJ65,(SUMPRODUCT(('Industry Margin - Trading'!C2:AF65=(L8))*ROW('Industry Margin - Trading'!C2:AF65))-ROW('Industry Margin - Trading'!C2:AF65)+1),(SUMPRODUCT(('Industry Margin - Trading'!C2:AF65=(L8))*COLUMN('Industry Margin - Trading'!C2:AF65))-COLUMN('Industry Margin - Trading'!C2:AF65)+1)),IF(I8="Service",INDEX('Industry Margin - Service'!AQ2:CD39,(SUMPRODUCT(('Industry Margin - Service'!C2:AP39=(L8))*ROW('Industry Margin - Service'!C2:AP39))-ROW('Industry Margin - Service'!C2:AP39)+1),(SUMPRODUCT(('Industry Margin - Service'!C2:AP39=(L8))*COLUMN('Industry Margin - Service'!C2:AP39))-COLUMN('Industry Margin - Service'!C2:AP39)+1)),)))/100)="-",na,IF(I8="Manufacturing",INDEX('Industry Margin - Mfg'!DL2:HT84,(SUMPRODUCT(('Industry Margin - Mfg'!C2:DK84=(L8))*ROW('Industry Margin - Mfg'!C2:DK84))-ROW('Industry Margin - Mfg'!C2:DK84)+1),(SUMPRODUCT(('Industry Margin - Mfg'!C2:DK84=(L8))*COLUMN('Industry Margin - Mfg'!C2:DK84))-COLUMN('Industry Margin - Mfg'!C2:DK84)+1))/100,(IF(I8="Trading",INDEX('Industry Margin - Trading'!AG2:BJ65,(SUMPRODUCT(('Industry Margin - Trading'!C2:AF65=(L8))*ROW('Industry Margin - Trading'!C2:AF65))-ROW('Industry Margin - Trading'!C2:AF65)+1),(SUMPRODUCT(('Industry Margin - Trading'!C2:AF65=(L8))*COLUMN('Industry Margin - Trading'!C2:AF65))-COLUMN('Industry Margin - Trading'!C2:AF65)+1)),IF(I8="Service",INDEX('Industry Margin - Service'!AQ2:CD39,(SUMPRODUCT(('Industry Margin - Service'!C2:AP39=(L8))*ROW('Industry Margin - Service'!C2:AP39))-ROW('Industry Margin - Service'!C2:AP39)+1),(SUMPRODUCT(('Industry Margin - Service'!C2:AP39=(L8))*COLUMN('Industry Margin - Service'!C2:AP39))-COLUMN('Industry Margin - Service'!C2:AP39)+1)),)))/100))</f>
        <v>0</v>
      </c>
      <c r="N8" s="512" t="s">
        <v>354</v>
      </c>
      <c r="O8" s="512" t="s">
        <v>512</v>
      </c>
      <c r="V8" s="24" t="s">
        <v>513</v>
      </c>
      <c r="W8" s="24" t="s">
        <v>514</v>
      </c>
      <c r="X8" s="513" t="s">
        <v>488</v>
      </c>
      <c r="Z8" s="24" t="s">
        <v>515</v>
      </c>
    </row>
    <row r="9" spans="1:44" s="24" customFormat="1" ht="12.75">
      <c r="A9" s="844" t="s">
        <v>2320</v>
      </c>
      <c r="B9" s="503"/>
      <c r="C9" s="503"/>
      <c r="D9" s="504"/>
      <c r="E9" s="503"/>
      <c r="F9" s="505"/>
      <c r="G9" s="506">
        <f t="shared" ca="1" si="0"/>
        <v>0</v>
      </c>
      <c r="H9" s="507">
        <f ca="1">G9+L4/12</f>
        <v>2</v>
      </c>
      <c r="I9" s="508"/>
      <c r="J9" s="509"/>
      <c r="K9" s="510"/>
      <c r="L9" s="510"/>
      <c r="M9" s="511">
        <f>IF(I9="Manufacturing",INDEX('Industry Margin - Mfg'!DL2:HT84,(SUMPRODUCT(('Industry Margin - Mfg'!C2:DK84=(L9))*ROW('Industry Margin - Mfg'!C2:DK84))-ROW('Industry Margin - Mfg'!C2:DK84)+1),(SUMPRODUCT(('Industry Margin - Mfg'!C2:DK84=(L9))*COLUMN('Industry Margin - Mfg'!C2:DK84))-COLUMN('Industry Margin - Mfg'!C2:DK84)+1))/100,(IF(I9="Trading",INDEX('Industry Margin - Trading'!AG2:BJ65,(SUMPRODUCT(('Industry Margin - Trading'!C2:AF65=(L9))*ROW('Industry Margin - Trading'!C2:AF65))-ROW('Industry Margin - Trading'!C2:AF65)+1),(SUMPRODUCT(('Industry Margin - Trading'!C2:AF65=(L9))*COLUMN('Industry Margin - Trading'!C2:AF65))-COLUMN('Industry Margin - Trading'!C2:AF65)+1)),IF(I9="Service",INDEX('Industry Margin - Service'!AQ2:CD39,(SUMPRODUCT(('Industry Margin - Service'!C2:AP39=(L9))*ROW('Industry Margin - Service'!C2:AP39))-ROW('Industry Margin - Service'!C2:AP39)+1),(SUMPRODUCT(('Industry Margin - Service'!C2:AP39=(L9))*COLUMN('Industry Margin - Service'!C2:AP39))-COLUMN('Industry Margin - Service'!C2:AP39)+1)),)))/100)</f>
        <v>0</v>
      </c>
      <c r="N9" s="512" t="s">
        <v>512</v>
      </c>
      <c r="O9" s="512" t="s">
        <v>512</v>
      </c>
      <c r="V9" s="24" t="s">
        <v>490</v>
      </c>
      <c r="W9" s="24" t="s">
        <v>517</v>
      </c>
      <c r="X9" s="513"/>
      <c r="Z9" s="24" t="s">
        <v>508</v>
      </c>
    </row>
    <row r="10" spans="1:44" s="24" customFormat="1" ht="12.75">
      <c r="A10" s="844" t="s">
        <v>507</v>
      </c>
      <c r="B10" s="503"/>
      <c r="C10" s="503"/>
      <c r="D10" s="504"/>
      <c r="E10" s="503"/>
      <c r="F10" s="505"/>
      <c r="G10" s="506">
        <f t="shared" ca="1" si="0"/>
        <v>0</v>
      </c>
      <c r="H10" s="507">
        <f ca="1">G10+L4/12</f>
        <v>2</v>
      </c>
      <c r="I10" s="508"/>
      <c r="J10" s="509"/>
      <c r="K10" s="510"/>
      <c r="L10" s="510"/>
      <c r="M10" s="511">
        <f>IF(I10="Manufacturing",INDEX('Industry Margin - Mfg'!DL2:HT84,(SUMPRODUCT(('Industry Margin - Mfg'!C2:DK84=(L10))*ROW('Industry Margin - Mfg'!C2:DK84))-ROW('Industry Margin - Mfg'!C2:DK84)+1),(SUMPRODUCT(('Industry Margin - Mfg'!C2:DK84=(L10))*COLUMN('Industry Margin - Mfg'!C2:DK84))-COLUMN('Industry Margin - Mfg'!C2:DK84)+1))/100,(IF(I10="Trading",INDEX('Industry Margin - Trading'!AG2:BJ65,(SUMPRODUCT(('Industry Margin - Trading'!C2:AF65=(L10))*ROW('Industry Margin - Trading'!C2:AF65))-ROW('Industry Margin - Trading'!C2:AF65)+1),(SUMPRODUCT(('Industry Margin - Trading'!C2:AF65=(L10))*COLUMN('Industry Margin - Trading'!C2:AF65))-COLUMN('Industry Margin - Trading'!C2:AF65)+1)),IF(I10="Service",INDEX('Industry Margin - Service'!AQ2:CD39,(SUMPRODUCT(('Industry Margin - Service'!C2:AP39=(L10))*ROW('Industry Margin - Service'!C2:AP39))-ROW('Industry Margin - Service'!C2:AP39)+1),(SUMPRODUCT(('Industry Margin - Service'!C2:AP39=(L10))*COLUMN('Industry Margin - Service'!C2:AP39))-COLUMN('Industry Margin - Service'!C2:AP39)+1)),)))/100)</f>
        <v>0</v>
      </c>
      <c r="N10" s="512" t="s">
        <v>512</v>
      </c>
      <c r="O10" s="512" t="s">
        <v>512</v>
      </c>
      <c r="V10" s="24" t="s">
        <v>519</v>
      </c>
      <c r="W10" s="24" t="s">
        <v>520</v>
      </c>
      <c r="X10" s="513"/>
      <c r="Z10" s="24" t="s">
        <v>521</v>
      </c>
    </row>
    <row r="11" spans="1:44">
      <c r="A11" s="844"/>
      <c r="B11" s="503"/>
      <c r="C11" s="503"/>
      <c r="D11" s="514"/>
      <c r="E11" s="503"/>
      <c r="F11" s="505"/>
      <c r="G11" s="506">
        <f t="shared" ca="1" si="0"/>
        <v>0</v>
      </c>
      <c r="H11" s="507">
        <f ca="1">G11+L4/12</f>
        <v>2</v>
      </c>
      <c r="I11" s="508"/>
      <c r="J11" s="509"/>
      <c r="K11" s="510"/>
      <c r="L11" s="510"/>
      <c r="M11" s="511">
        <f>IF(I11="Manufacturing",INDEX('Industry Margin - Mfg'!DL2:HT84,(SUMPRODUCT(('Industry Margin - Mfg'!C2:DK84=(L11))*ROW('Industry Margin - Mfg'!C2:DK84))-ROW('Industry Margin - Mfg'!C2:DK84)+1),(SUMPRODUCT(('Industry Margin - Mfg'!C2:DK84=(L11))*COLUMN('Industry Margin - Mfg'!C2:DK84))-COLUMN('Industry Margin - Mfg'!C2:DK84)+1))/100,(IF(I11="Trading",INDEX('Industry Margin - Trading'!AG2:BJ65,(SUMPRODUCT(('Industry Margin - Trading'!C2:AF65=(L11))*ROW('Industry Margin - Trading'!C2:AF65))-ROW('Industry Margin - Trading'!C2:AF65)+1),(SUMPRODUCT(('Industry Margin - Trading'!C2:AF65=(L11))*COLUMN('Industry Margin - Trading'!C2:AF65))-COLUMN('Industry Margin - Trading'!C2:AF65)+1)),IF(I11="Service",INDEX('Industry Margin - Service'!AQ2:CD39,(SUMPRODUCT(('Industry Margin - Service'!C2:AP39=(L11))*ROW('Industry Margin - Service'!C2:AP39))-ROW('Industry Margin - Service'!C2:AP39)+1),(SUMPRODUCT(('Industry Margin - Service'!C2:AP39=(L11))*COLUMN('Industry Margin - Service'!C2:AP39))-COLUMN('Industry Margin - Service'!C2:AP39)+1)),)))/100)</f>
        <v>0</v>
      </c>
      <c r="N11" s="512" t="s">
        <v>354</v>
      </c>
      <c r="O11" s="512" t="s">
        <v>354</v>
      </c>
      <c r="V11" s="479" t="s">
        <v>522</v>
      </c>
      <c r="W11" s="24" t="s">
        <v>491</v>
      </c>
      <c r="X11" s="24"/>
      <c r="Z11" s="479" t="s">
        <v>523</v>
      </c>
      <c r="AA11" s="479" t="s">
        <v>48</v>
      </c>
    </row>
    <row r="12" spans="1:44">
      <c r="A12" s="844"/>
      <c r="B12" s="503"/>
      <c r="C12" s="503"/>
      <c r="D12" s="514"/>
      <c r="E12" s="503"/>
      <c r="F12" s="505"/>
      <c r="G12" s="506">
        <f t="shared" ca="1" si="0"/>
        <v>0</v>
      </c>
      <c r="H12" s="507">
        <f ca="1">G12+L4/12</f>
        <v>2</v>
      </c>
      <c r="I12" s="508"/>
      <c r="J12" s="509"/>
      <c r="K12" s="510"/>
      <c r="L12" s="510"/>
      <c r="M12" s="511">
        <f>IF(I12="Manufacturing",INDEX('Industry Margin - Mfg'!DL2:HT84,(SUMPRODUCT(('Industry Margin - Mfg'!C2:DK84=(L12))*ROW('Industry Margin - Mfg'!C2:DK84))-ROW('Industry Margin - Mfg'!C2:DK84)+1),(SUMPRODUCT(('Industry Margin - Mfg'!C2:DK84=(L12))*COLUMN('Industry Margin - Mfg'!C2:DK84))-COLUMN('Industry Margin - Mfg'!C2:DK84)+1))/100,(IF(I12="Trading",INDEX('Industry Margin - Trading'!AG2:BJ65,(SUMPRODUCT(('Industry Margin - Trading'!C2:AF65=(L12))*ROW('Industry Margin - Trading'!C2:AF65))-ROW('Industry Margin - Trading'!C2:AF65)+1),(SUMPRODUCT(('Industry Margin - Trading'!C2:AF65=(L12))*COLUMN('Industry Margin - Trading'!C2:AF65))-COLUMN('Industry Margin - Trading'!C2:AF65)+1)),IF(I12="Service",INDEX('Industry Margin - Service'!AQ2:CD39,(SUMPRODUCT(('Industry Margin - Service'!C2:AP39=(L12))*ROW('Industry Margin - Service'!C2:AP39))-ROW('Industry Margin - Service'!C2:AP39)+1),(SUMPRODUCT(('Industry Margin - Service'!C2:AP39=(L12))*COLUMN('Industry Margin - Service'!C2:AP39))-COLUMN('Industry Margin - Service'!C2:AP39)+1)),)))/100)</f>
        <v>0</v>
      </c>
      <c r="N12" s="512" t="s">
        <v>354</v>
      </c>
      <c r="O12" s="512" t="s">
        <v>354</v>
      </c>
      <c r="V12" s="479" t="s">
        <v>524</v>
      </c>
      <c r="W12" s="24"/>
      <c r="X12" s="24"/>
      <c r="Z12" s="479" t="s">
        <v>525</v>
      </c>
      <c r="AA12" s="479" t="s">
        <v>104</v>
      </c>
    </row>
    <row r="13" spans="1:44">
      <c r="A13" s="844"/>
      <c r="B13" s="503"/>
      <c r="C13" s="503"/>
      <c r="D13" s="514"/>
      <c r="E13" s="503"/>
      <c r="F13" s="505"/>
      <c r="G13" s="506">
        <f t="shared" ca="1" si="0"/>
        <v>0</v>
      </c>
      <c r="H13" s="507">
        <f ca="1">G13+L4/12</f>
        <v>2</v>
      </c>
      <c r="I13" s="508"/>
      <c r="J13" s="509"/>
      <c r="K13" s="515"/>
      <c r="L13" s="510"/>
      <c r="M13" s="511">
        <f>IF(I13="Manufacturing",INDEX('Industry Margin - Mfg'!DL2:HT84,(SUMPRODUCT(('Industry Margin - Mfg'!C2:DK84=(L13))*ROW('Industry Margin - Mfg'!C2:DK84))-ROW('Industry Margin - Mfg'!C2:DK84)+1),(SUMPRODUCT(('Industry Margin - Mfg'!C2:DK84=(L13))*COLUMN('Industry Margin - Mfg'!C2:DK84))-COLUMN('Industry Margin - Mfg'!C2:DK84)+1))/100,(IF(I13="Trading",INDEX('Industry Margin - Trading'!AG2:BJ65,(SUMPRODUCT(('Industry Margin - Trading'!C2:AF65=(L13))*ROW('Industry Margin - Trading'!C2:AF65))-ROW('Industry Margin - Trading'!C2:AF65)+1),(SUMPRODUCT(('Industry Margin - Trading'!C2:AF65=(L13))*COLUMN('Industry Margin - Trading'!C2:AF65))-COLUMN('Industry Margin - Trading'!C2:AF65)+1)),IF(I13="Service",INDEX('Industry Margin - Service'!AQ2:CD39,(SUMPRODUCT(('Industry Margin - Service'!C2:AP39=(L13))*ROW('Industry Margin - Service'!C2:AP39))-ROW('Industry Margin - Service'!C2:AP39)+1),(SUMPRODUCT(('Industry Margin - Service'!C2:AP39=(L13))*COLUMN('Industry Margin - Service'!C2:AP39))-COLUMN('Industry Margin - Service'!C2:AP39)+1)),)))/100)</f>
        <v>0</v>
      </c>
      <c r="N13" s="512" t="s">
        <v>354</v>
      </c>
      <c r="O13" s="512" t="s">
        <v>354</v>
      </c>
      <c r="V13" s="479" t="s">
        <v>526</v>
      </c>
      <c r="W13" s="24" t="s">
        <v>507</v>
      </c>
      <c r="X13" s="24"/>
      <c r="Z13" s="479" t="s">
        <v>516</v>
      </c>
    </row>
    <row r="14" spans="1:44" s="482" customFormat="1" ht="12.75">
      <c r="A14" s="516"/>
      <c r="B14" s="517"/>
      <c r="C14" s="517"/>
      <c r="D14" s="518"/>
      <c r="E14" s="517"/>
      <c r="F14" s="517"/>
      <c r="G14" s="517"/>
      <c r="H14" s="517"/>
      <c r="I14" s="517"/>
      <c r="J14" s="484"/>
      <c r="K14" s="519"/>
      <c r="L14" s="485"/>
      <c r="M14" s="485"/>
      <c r="N14" s="485"/>
      <c r="V14" s="482" t="s">
        <v>527</v>
      </c>
      <c r="W14" s="25" t="s">
        <v>2320</v>
      </c>
      <c r="Z14" s="482" t="s">
        <v>528</v>
      </c>
    </row>
    <row r="15" spans="1:44">
      <c r="A15" s="520" t="s">
        <v>529</v>
      </c>
      <c r="B15" s="503"/>
      <c r="C15" s="520" t="s">
        <v>530</v>
      </c>
      <c r="D15" s="503"/>
      <c r="E15" s="521"/>
      <c r="F15" s="522" t="s">
        <v>531</v>
      </c>
      <c r="G15" s="523">
        <f t="array" ref="G15">MIN(IF(E9:E13&gt;=300,E9:E13))</f>
        <v>0</v>
      </c>
      <c r="H15" s="521"/>
      <c r="I15" s="521"/>
      <c r="J15" s="498"/>
      <c r="K15" s="519"/>
      <c r="L15" s="519"/>
      <c r="M15" s="519"/>
      <c r="N15" s="519"/>
      <c r="V15" s="479" t="s">
        <v>532</v>
      </c>
      <c r="W15" s="479" t="s">
        <v>2321</v>
      </c>
      <c r="Z15" s="479" t="s">
        <v>518</v>
      </c>
    </row>
    <row r="16" spans="1:44">
      <c r="A16" s="520" t="s">
        <v>533</v>
      </c>
      <c r="B16" s="503"/>
      <c r="C16" s="520" t="s">
        <v>97</v>
      </c>
      <c r="D16" s="503"/>
      <c r="E16" s="521"/>
      <c r="F16" s="522"/>
      <c r="G16" s="523"/>
      <c r="H16" s="521"/>
      <c r="I16" s="521"/>
      <c r="J16" s="524"/>
      <c r="K16" s="519"/>
      <c r="L16" s="519"/>
      <c r="M16" s="519"/>
      <c r="N16" s="519"/>
      <c r="V16" s="479" t="s">
        <v>534</v>
      </c>
      <c r="Z16" s="479" t="s">
        <v>535</v>
      </c>
    </row>
    <row r="17" spans="1:26" s="531" customFormat="1" ht="25.5">
      <c r="A17" s="525" t="s">
        <v>536</v>
      </c>
      <c r="B17" s="854"/>
      <c r="C17" s="854"/>
      <c r="D17" s="854"/>
      <c r="E17" s="526"/>
      <c r="F17" s="527" t="s">
        <v>537</v>
      </c>
      <c r="G17" s="528" t="s">
        <v>104</v>
      </c>
      <c r="H17" s="526"/>
      <c r="I17" s="526"/>
      <c r="J17" s="529"/>
      <c r="K17" s="530"/>
      <c r="L17" s="530"/>
      <c r="M17" s="530"/>
      <c r="N17" s="530"/>
      <c r="V17" s="531" t="s">
        <v>538</v>
      </c>
      <c r="Z17" s="531" t="s">
        <v>539</v>
      </c>
    </row>
    <row r="18" spans="1:26">
      <c r="A18" s="520" t="s">
        <v>540</v>
      </c>
      <c r="B18" s="855"/>
      <c r="C18" s="855"/>
      <c r="D18" s="855"/>
      <c r="E18" s="521"/>
      <c r="F18" s="856" t="s">
        <v>541</v>
      </c>
      <c r="G18" s="857" t="s">
        <v>104</v>
      </c>
      <c r="J18" s="524"/>
      <c r="K18" s="519"/>
      <c r="L18" s="519"/>
      <c r="M18" s="519"/>
      <c r="N18" s="519"/>
      <c r="V18" s="479" t="s">
        <v>542</v>
      </c>
      <c r="Z18" s="479" t="s">
        <v>543</v>
      </c>
    </row>
    <row r="19" spans="1:26" s="482" customFormat="1" ht="12.75">
      <c r="A19" s="520" t="s">
        <v>544</v>
      </c>
      <c r="B19" s="855"/>
      <c r="C19" s="855"/>
      <c r="D19" s="855"/>
      <c r="E19" s="517"/>
      <c r="F19" s="856"/>
      <c r="G19" s="857"/>
      <c r="H19" s="517"/>
      <c r="I19" s="517"/>
      <c r="J19" s="532"/>
      <c r="K19" s="485"/>
      <c r="L19" s="485"/>
      <c r="M19" s="485"/>
      <c r="N19" s="485"/>
      <c r="Z19" s="482" t="s">
        <v>545</v>
      </c>
    </row>
    <row r="20" spans="1:26" s="482" customFormat="1" ht="57.75" customHeight="1">
      <c r="A20" s="520" t="s">
        <v>546</v>
      </c>
      <c r="B20" s="858"/>
      <c r="C20" s="859"/>
      <c r="D20" s="859"/>
      <c r="E20" s="484"/>
      <c r="F20" s="856"/>
      <c r="G20" s="857"/>
      <c r="H20" s="484"/>
      <c r="I20" s="484"/>
      <c r="J20" s="532"/>
      <c r="K20" s="485"/>
      <c r="L20" s="485"/>
      <c r="M20" s="485"/>
      <c r="N20" s="485"/>
    </row>
    <row r="21" spans="1:26" hidden="1">
      <c r="A21" s="482">
        <f>IF(F5="Banking Programme",1,0)</f>
        <v>0</v>
      </c>
      <c r="B21" s="482">
        <f>IF(C5="Mumbai",1,IF(C5="Pune",1,IF(C5="Banglore",1,IF(C5="Hyderabad",1,IF(C5="Delhi",1,0)))))</f>
        <v>0</v>
      </c>
      <c r="C21" s="482">
        <f ca="1">IF(G8&lt;=5,1,0)</f>
        <v>1</v>
      </c>
      <c r="D21" s="482" t="e">
        <f>IF(Banking!K15&lt;=2,1,0)</f>
        <v>#DIV/0!</v>
      </c>
      <c r="E21" s="482" t="e">
        <f>IF(Banking!N12&gt;1.5,1,0)</f>
        <v>#DIV/0!</v>
      </c>
      <c r="F21" s="498"/>
      <c r="G21" s="498"/>
      <c r="H21" s="498"/>
      <c r="I21" s="498"/>
      <c r="J21" s="498"/>
      <c r="K21" s="519"/>
      <c r="L21" s="519"/>
      <c r="M21" s="519"/>
      <c r="N21" s="519"/>
    </row>
    <row r="22" spans="1:26" hidden="1">
      <c r="A22" s="482">
        <f>IF(F5="Banking Programme",1,0)</f>
        <v>0</v>
      </c>
      <c r="B22" s="482">
        <f>IF(C5="Mumbai",1,IF(C5="Banglore",1,0))</f>
        <v>0</v>
      </c>
      <c r="C22" s="482">
        <f>IF(F3&gt;15,1,0)</f>
        <v>0</v>
      </c>
      <c r="D22" s="482" t="e">
        <f>IF(Banking!K15&lt;=2,1,0)</f>
        <v>#DIV/0!</v>
      </c>
      <c r="E22" s="484">
        <f>IF('Existing Loans'!W136=0,1,IF(L5/'Existing Loans'!W136&gt;50%,1,0))</f>
        <v>1</v>
      </c>
      <c r="F22" s="533"/>
      <c r="G22" s="498"/>
      <c r="H22" s="498"/>
      <c r="I22" s="498" t="s">
        <v>547</v>
      </c>
      <c r="J22" s="498" t="s">
        <v>548</v>
      </c>
      <c r="K22" s="519"/>
      <c r="L22" s="519"/>
      <c r="M22" s="519"/>
      <c r="N22" s="519"/>
    </row>
    <row r="23" spans="1:26" hidden="1">
      <c r="A23" s="483"/>
      <c r="B23" s="484"/>
      <c r="C23" s="484"/>
      <c r="D23" s="484"/>
      <c r="E23" s="484"/>
      <c r="F23" s="498"/>
      <c r="G23" s="498"/>
      <c r="H23" s="498"/>
      <c r="I23" s="498"/>
      <c r="J23" s="498"/>
      <c r="K23" s="519"/>
      <c r="L23" s="519"/>
      <c r="M23" s="519"/>
      <c r="N23" s="519"/>
    </row>
    <row r="24" spans="1:26" hidden="1">
      <c r="A24" s="424" t="s">
        <v>448</v>
      </c>
      <c r="B24" s="534" t="e">
        <f ca="1">A21+B21+C21+D21+E21</f>
        <v>#DIV/0!</v>
      </c>
      <c r="C24" s="484" t="e">
        <f ca="1">IF(B24=5,"No Go","")</f>
        <v>#DIV/0!</v>
      </c>
      <c r="D24" s="484"/>
      <c r="E24" s="484"/>
      <c r="F24" s="498"/>
      <c r="G24" s="498"/>
      <c r="H24" s="498"/>
      <c r="I24" s="498"/>
      <c r="J24" s="498"/>
      <c r="K24" s="519"/>
      <c r="L24" s="519"/>
      <c r="M24" s="519"/>
      <c r="N24" s="519"/>
    </row>
    <row r="25" spans="1:26" hidden="1">
      <c r="A25" s="424" t="s">
        <v>450</v>
      </c>
      <c r="B25" s="534" t="e">
        <f>A22+B22+C22+D22+E22</f>
        <v>#DIV/0!</v>
      </c>
      <c r="C25" s="484" t="e">
        <f>IF(B25=5,"No Go","")</f>
        <v>#DIV/0!</v>
      </c>
      <c r="D25" s="484"/>
      <c r="E25" s="484"/>
      <c r="F25" s="498"/>
      <c r="G25" s="498"/>
      <c r="H25" s="498"/>
      <c r="I25" s="498"/>
      <c r="J25" s="498"/>
      <c r="K25" s="519"/>
      <c r="L25" s="519"/>
      <c r="M25" s="519"/>
      <c r="N25" s="519"/>
    </row>
    <row r="26" spans="1:26">
      <c r="A26" s="535"/>
      <c r="B26" s="498"/>
      <c r="C26" s="498"/>
      <c r="D26" s="498"/>
      <c r="E26" s="498"/>
      <c r="F26" s="498"/>
      <c r="G26" s="498"/>
      <c r="H26" s="498"/>
      <c r="I26" s="498"/>
      <c r="J26" s="498"/>
      <c r="K26" s="519"/>
      <c r="L26" s="519"/>
      <c r="M26" s="519"/>
      <c r="N26" s="519"/>
    </row>
    <row r="27" spans="1:26">
      <c r="A27" s="535"/>
      <c r="B27" s="498"/>
      <c r="C27" s="498"/>
      <c r="D27" s="498"/>
      <c r="E27" s="498"/>
      <c r="F27" s="498"/>
      <c r="G27" s="498"/>
      <c r="H27" s="498"/>
      <c r="I27" s="498"/>
      <c r="J27" s="498"/>
      <c r="K27" s="519"/>
      <c r="L27" s="519"/>
      <c r="M27" s="519"/>
      <c r="N27" s="519"/>
    </row>
    <row r="28" spans="1:26">
      <c r="A28" s="535"/>
      <c r="B28" s="498"/>
      <c r="C28" s="498"/>
      <c r="D28" s="498"/>
      <c r="E28" s="498"/>
      <c r="F28" s="498"/>
      <c r="G28" s="498"/>
      <c r="H28" s="498"/>
      <c r="I28" s="498"/>
      <c r="J28" s="498"/>
      <c r="K28" s="519"/>
      <c r="L28" s="519"/>
      <c r="M28" s="519"/>
      <c r="N28" s="519"/>
    </row>
  </sheetData>
  <sheetProtection password="857C" sheet="1" objects="1" scenarios="1" formatCells="0" formatColumns="0" formatRows="0"/>
  <mergeCells count="18">
    <mergeCell ref="A3:B3"/>
    <mergeCell ref="D3:E3"/>
    <mergeCell ref="F3:H3"/>
    <mergeCell ref="A4:B4"/>
    <mergeCell ref="D4:E4"/>
    <mergeCell ref="F4:H4"/>
    <mergeCell ref="A5:B5"/>
    <mergeCell ref="D5:E5"/>
    <mergeCell ref="F5:H5"/>
    <mergeCell ref="A6:B6"/>
    <mergeCell ref="D6:E6"/>
    <mergeCell ref="F6:H6"/>
    <mergeCell ref="B17:D17"/>
    <mergeCell ref="B18:D18"/>
    <mergeCell ref="F18:F20"/>
    <mergeCell ref="G18:G20"/>
    <mergeCell ref="B19:D19"/>
    <mergeCell ref="B20:D20"/>
  </mergeCells>
  <conditionalFormatting sqref="G8">
    <cfRule type="cellIs" dxfId="86" priority="2" operator="lessThan">
      <formula>3</formula>
    </cfRule>
  </conditionalFormatting>
  <conditionalFormatting sqref="C24">
    <cfRule type="expression" dxfId="85" priority="3">
      <formula>$B$24=5</formula>
    </cfRule>
  </conditionalFormatting>
  <conditionalFormatting sqref="C25">
    <cfRule type="expression" dxfId="84" priority="4">
      <formula>$B$24=5</formula>
    </cfRule>
  </conditionalFormatting>
  <dataValidations count="24">
    <dataValidation type="list" allowBlank="1" showInputMessage="1" showErrorMessage="1" sqref="F4" xr:uid="{00000000-0002-0000-0100-000000000000}">
      <formula1>Loan_Type</formula1>
      <formula2>0</formula2>
    </dataValidation>
    <dataValidation type="list" allowBlank="1" showInputMessage="1" showErrorMessage="1" sqref="C5" xr:uid="{00000000-0002-0000-0100-000001000000}">
      <formula1>Branches</formula1>
      <formula2>0</formula2>
    </dataValidation>
    <dataValidation type="list" allowBlank="1" showInputMessage="1" showErrorMessage="1" sqref="B15:B16 G17:G18" xr:uid="{00000000-0002-0000-0100-000002000000}">
      <formula1>$AA$11:$AA$12</formula1>
      <formula2>0</formula2>
    </dataValidation>
    <dataValidation type="list" allowBlank="1" showInputMessage="1" showErrorMessage="1" sqref="J14:J19" xr:uid="{00000000-0002-0000-0100-000003000000}">
      <formula1>industry_type</formula1>
      <formula2>0</formula2>
    </dataValidation>
    <dataValidation type="list" allowBlank="1" showInputMessage="1" showErrorMessage="1" sqref="K19" xr:uid="{00000000-0002-0000-0100-000004000000}">
      <formula1>segment</formula1>
      <formula2>0</formula2>
    </dataValidation>
    <dataValidation type="list" allowBlank="1" showInputMessage="1" showErrorMessage="1" sqref="I8:I13" xr:uid="{00000000-0002-0000-0100-000005000000}">
      <formula1>Biz_Type</formula1>
      <formula2>0</formula2>
    </dataValidation>
    <dataValidation type="list" allowBlank="1" showInputMessage="1" showErrorMessage="1" sqref="N8:O13" xr:uid="{00000000-0002-0000-0100-000006000000}">
      <formula1>FI</formula1>
      <formula2>0</formula2>
    </dataValidation>
    <dataValidation type="list" allowBlank="1" showInputMessage="1" showErrorMessage="1" sqref="J8:J10" xr:uid="{00000000-0002-0000-0100-000007000000}">
      <formula1>INDIRECT($I$8)</formula1>
      <formula2>0</formula2>
    </dataValidation>
    <dataValidation type="list" allowBlank="1" showInputMessage="1" showErrorMessage="1" sqref="K8:K10" xr:uid="{00000000-0002-0000-0100-000008000000}">
      <formula1>INDIRECT($J$8)</formula1>
      <formula2>0</formula2>
    </dataValidation>
    <dataValidation type="list" allowBlank="1" showInputMessage="1" showErrorMessage="1" sqref="L8:L10" xr:uid="{00000000-0002-0000-0100-000009000000}">
      <formula1>INDIRECT($K$8)</formula1>
      <formula2>0</formula2>
    </dataValidation>
    <dataValidation type="list" allowBlank="1" showInputMessage="1" showErrorMessage="1" sqref="E8" xr:uid="{00000000-0002-0000-0100-00000A000000}">
      <formula1>"1,2,3,4,5,6,7,8,9,NA"</formula1>
    </dataValidation>
    <dataValidation type="list" allowBlank="1" showInputMessage="1" showErrorMessage="1" sqref="B17:D17" xr:uid="{00000000-0002-0000-0100-00000B000000}">
      <formula1>"Yes,No"</formula1>
      <formula2>0</formula2>
    </dataValidation>
    <dataValidation type="list" allowBlank="1" showInputMessage="1" showErrorMessage="1" sqref="K11" xr:uid="{00000000-0002-0000-0100-00000C000000}">
      <formula1>INDIRECT($J$11)</formula1>
      <formula2>0</formula2>
    </dataValidation>
    <dataValidation type="list" allowBlank="1" showInputMessage="1" showErrorMessage="1" sqref="K12" xr:uid="{00000000-0002-0000-0100-00000D000000}">
      <formula1>INDIRECT($J$12)</formula1>
      <formula2>0</formula2>
    </dataValidation>
    <dataValidation type="list" allowBlank="1" showInputMessage="1" showErrorMessage="1" sqref="K13" xr:uid="{00000000-0002-0000-0100-00000E000000}">
      <formula1>INDIRECT($J$13)</formula1>
      <formula2>0</formula2>
    </dataValidation>
    <dataValidation type="list" allowBlank="1" showInputMessage="1" showErrorMessage="1" sqref="L11" xr:uid="{00000000-0002-0000-0100-00000F000000}">
      <formula1>INDIRECT($K$11)</formula1>
      <formula2>0</formula2>
    </dataValidation>
    <dataValidation type="list" allowBlank="1" showInputMessage="1" showErrorMessage="1" sqref="L12" xr:uid="{00000000-0002-0000-0100-000010000000}">
      <formula1>INDIRECT($K$12)</formula1>
      <formula2>0</formula2>
    </dataValidation>
    <dataValidation type="list" allowBlank="1" showInputMessage="1" showErrorMessage="1" sqref="L13" xr:uid="{00000000-0002-0000-0100-000011000000}">
      <formula1>INDIRECT($K$13)</formula1>
      <formula2>0</formula2>
    </dataValidation>
    <dataValidation type="list" allowBlank="1" showInputMessage="1" showErrorMessage="1" sqref="J11" xr:uid="{00000000-0002-0000-0100-000012000000}">
      <formula1>INDIRECT($I$11)</formula1>
      <formula2>0</formula2>
    </dataValidation>
    <dataValidation type="list" allowBlank="1" showInputMessage="1" showErrorMessage="1" sqref="J12" xr:uid="{00000000-0002-0000-0100-000013000000}">
      <formula1>INDIRECT($I$12)</formula1>
      <formula2>0</formula2>
    </dataValidation>
    <dataValidation type="list" allowBlank="1" showInputMessage="1" showErrorMessage="1" sqref="J13" xr:uid="{00000000-0002-0000-0100-000014000000}">
      <formula1>INDIRECT($I$13)</formula1>
      <formula2>0</formula2>
    </dataValidation>
    <dataValidation type="list" allowBlank="1" showInputMessage="1" showErrorMessage="1" sqref="F5:H5" xr:uid="{00000000-0002-0000-0100-000015000000}">
      <formula1>Program</formula1>
      <formula2>0</formula2>
    </dataValidation>
    <dataValidation type="list" allowBlank="1" showInputMessage="1" showErrorMessage="1" sqref="C9:C10" xr:uid="{00000000-0002-0000-0100-000016000000}">
      <formula1>$Z$11:$Z$19</formula1>
      <formula2>0</formula2>
    </dataValidation>
    <dataValidation type="list" allowBlank="1" showInputMessage="1" showErrorMessage="1" sqref="A8:A13" xr:uid="{00000000-0002-0000-0100-000017000000}">
      <formula1>$W$13:$W$15</formula1>
    </dataValidation>
  </dataValidations>
  <pageMargins left="0.69930555555555496" right="0.69930555555555496"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18000000}">
          <x14:formula1>
            <xm:f>Scorecard!$K$117:$K$124</xm:f>
          </x14:formula1>
          <x14:formula2>
            <xm:f>0</xm:f>
          </x14:formula2>
          <xm:sqref>C8 C11:C13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31"/>
  <sheetViews>
    <sheetView topLeftCell="B1048576" zoomScale="93" zoomScaleNormal="93" workbookViewId="0">
      <selection activeCell="B10" sqref="A1:XFD1048576"/>
    </sheetView>
  </sheetViews>
  <sheetFormatPr defaultRowHeight="15" zeroHeight="1"/>
  <cols>
    <col min="1" max="2" width="15.42578125" style="29" customWidth="1"/>
    <col min="3" max="3" width="35.7109375" style="29" customWidth="1"/>
    <col min="4" max="4" width="25.28515625" style="29" customWidth="1"/>
    <col min="5" max="7" width="15.42578125" style="29" customWidth="1"/>
    <col min="8" max="8" width="9.140625" style="30" customWidth="1"/>
    <col min="9" max="9" width="34.42578125" style="29" customWidth="1"/>
    <col min="10" max="10" width="11.5703125" style="30" customWidth="1"/>
    <col min="11" max="11" width="14" style="30" customWidth="1"/>
    <col min="12" max="17" width="9.85546875" style="30" customWidth="1"/>
    <col min="18" max="18" width="14.28515625" style="30" customWidth="1"/>
    <col min="19" max="19" width="9.28515625" style="30" customWidth="1"/>
    <col min="20" max="20" width="39.85546875" style="29" customWidth="1"/>
    <col min="21" max="21" width="10.7109375" style="29" customWidth="1"/>
    <col min="22" max="1025" width="9.140625" style="29" customWidth="1"/>
  </cols>
  <sheetData>
    <row r="1" spans="1:31" ht="17.25" hidden="1" customHeight="1">
      <c r="O1" s="31"/>
      <c r="P1" s="31"/>
      <c r="Q1" s="31"/>
      <c r="R1" s="31"/>
    </row>
    <row r="2" spans="1:31" hidden="1"/>
    <row r="3" spans="1:31" s="30" customFormat="1" ht="17.25" hidden="1" customHeight="1">
      <c r="A3" s="29"/>
      <c r="B3" s="29"/>
      <c r="C3" s="29"/>
      <c r="D3" s="29"/>
      <c r="E3" s="29"/>
      <c r="F3" s="29"/>
      <c r="G3" s="29"/>
      <c r="I3" s="29"/>
    </row>
    <row r="4" spans="1:31" s="30" customFormat="1" ht="17.25" hidden="1" customHeight="1">
      <c r="A4" s="29"/>
      <c r="B4" s="29"/>
      <c r="C4" s="32" t="s">
        <v>53</v>
      </c>
      <c r="D4" s="32" t="s">
        <v>54</v>
      </c>
      <c r="E4" s="32" t="s">
        <v>55</v>
      </c>
      <c r="F4" s="29"/>
      <c r="G4" s="29"/>
      <c r="H4" s="33" t="s">
        <v>56</v>
      </c>
      <c r="I4" s="34" t="s">
        <v>57</v>
      </c>
      <c r="J4" s="33" t="s">
        <v>58</v>
      </c>
      <c r="K4" s="33" t="s">
        <v>59</v>
      </c>
      <c r="L4" s="33" t="s">
        <v>60</v>
      </c>
      <c r="M4" s="33" t="s">
        <v>61</v>
      </c>
      <c r="N4" s="33" t="s">
        <v>62</v>
      </c>
    </row>
    <row r="5" spans="1:31" s="30" customFormat="1" ht="17.25" hidden="1" customHeight="1">
      <c r="A5" s="29"/>
      <c r="B5" s="29"/>
      <c r="C5" s="32" t="s">
        <v>63</v>
      </c>
      <c r="D5" s="35">
        <f>'Customer Details'!F5</f>
        <v>0</v>
      </c>
      <c r="E5" s="32"/>
      <c r="F5" s="29"/>
      <c r="G5" s="29"/>
      <c r="H5" s="36"/>
      <c r="I5" s="37"/>
      <c r="J5" s="38"/>
      <c r="K5" s="38"/>
      <c r="L5" s="38"/>
      <c r="M5" s="38"/>
      <c r="N5" s="38"/>
    </row>
    <row r="6" spans="1:31" s="30" customFormat="1" ht="17.25" hidden="1" customHeight="1">
      <c r="A6" s="29"/>
      <c r="B6" s="29"/>
      <c r="C6" s="39"/>
      <c r="D6" s="40"/>
      <c r="E6" s="41"/>
      <c r="F6" s="29"/>
      <c r="G6" s="29"/>
      <c r="H6" s="42" t="s">
        <v>64</v>
      </c>
      <c r="I6" s="43" t="s">
        <v>65</v>
      </c>
    </row>
    <row r="7" spans="1:31" ht="17.25" hidden="1" customHeight="1">
      <c r="C7" s="44" t="s">
        <v>66</v>
      </c>
      <c r="D7" s="45" t="e">
        <f>'Fin-1'!D105</f>
        <v>#DIV/0!</v>
      </c>
      <c r="E7" s="46" t="e">
        <f>IF(D30="Partnership",VLOOKUP(D7,$P$13:$R$17,3)*$N$12,IF(D30="Proprietorship",VLOOKUP(D7,$P$13:$R$17,3)*$N$12,VLOOKUP(D7,$J$13:$M$17,4)*$N$12))</f>
        <v>#DIV/0!</v>
      </c>
      <c r="H7" s="876">
        <v>1</v>
      </c>
      <c r="I7" s="877" t="s">
        <v>67</v>
      </c>
      <c r="J7" s="869"/>
      <c r="K7" s="869"/>
      <c r="L7" s="48"/>
      <c r="M7" s="47">
        <f>N7</f>
        <v>0</v>
      </c>
      <c r="N7" s="864">
        <v>0</v>
      </c>
      <c r="O7" s="49"/>
      <c r="P7" s="31"/>
      <c r="Q7" s="50"/>
      <c r="R7" s="51"/>
      <c r="S7" s="31"/>
    </row>
    <row r="8" spans="1:31" s="29" customFormat="1" ht="17.25" hidden="1" customHeight="1">
      <c r="C8" s="44" t="s">
        <v>68</v>
      </c>
      <c r="D8" s="52" t="e">
        <f>'Fin-1'!D111</f>
        <v>#DIV/0!</v>
      </c>
      <c r="E8" s="53" t="e">
        <f>VLOOKUP(D8,$J$19:$M$23,4)*$N$18</f>
        <v>#DIV/0!</v>
      </c>
      <c r="H8" s="876"/>
      <c r="I8" s="877"/>
      <c r="J8" s="54">
        <v>-1000</v>
      </c>
      <c r="K8" s="55">
        <v>1</v>
      </c>
      <c r="L8" s="55" t="str">
        <f>IF(J8="","&lt;"&amp;K8,J8&amp;"-"&amp;K8)</f>
        <v>-1000-1</v>
      </c>
      <c r="M8" s="56">
        <v>0</v>
      </c>
      <c r="N8" s="864"/>
      <c r="S8" s="30"/>
    </row>
    <row r="9" spans="1:31" ht="17.25" hidden="1" customHeight="1">
      <c r="A9" s="29" t="s">
        <v>69</v>
      </c>
      <c r="C9" s="44" t="s">
        <v>70</v>
      </c>
      <c r="D9" s="57" t="e">
        <f>'Fin-1'!D107</f>
        <v>#DIV/0!</v>
      </c>
      <c r="E9" s="46" t="e">
        <f>VLOOKUP(D9,$J$25:$M$28,4)*$N$24</f>
        <v>#DIV/0!</v>
      </c>
      <c r="H9" s="876"/>
      <c r="I9" s="877"/>
      <c r="J9" s="58">
        <v>1</v>
      </c>
      <c r="K9" s="47">
        <v>1.1000000000000001</v>
      </c>
      <c r="L9" s="55" t="str">
        <f>IF(J9="","&lt;"&amp;K9,J9&amp;"-"&amp;K9)</f>
        <v>1-1.1</v>
      </c>
      <c r="M9" s="59">
        <v>4</v>
      </c>
      <c r="N9" s="864"/>
      <c r="Q9" s="51"/>
      <c r="R9" s="51"/>
      <c r="W9" s="60"/>
      <c r="X9" s="60"/>
    </row>
    <row r="10" spans="1:31" ht="17.25" hidden="1" customHeight="1">
      <c r="A10" s="61"/>
      <c r="B10" s="61"/>
      <c r="C10" s="62" t="s">
        <v>71</v>
      </c>
      <c r="D10" s="63" t="e">
        <f>('Fin-1'!D103-'Fin-1'!C103)/'Fin-1'!C103</f>
        <v>#DIV/0!</v>
      </c>
      <c r="E10" s="53" t="e">
        <f>VLOOKUP(D10,$J$30:$M$33,4)*$N$29</f>
        <v>#DIV/0!</v>
      </c>
      <c r="F10" s="61"/>
      <c r="G10" s="61"/>
      <c r="H10" s="876"/>
      <c r="I10" s="877"/>
      <c r="J10" s="58">
        <v>1.1000000000000001</v>
      </c>
      <c r="K10" s="47">
        <v>1.25</v>
      </c>
      <c r="L10" s="55" t="str">
        <f>IF(J10="","&lt;"&amp;K10,J10&amp;"-"&amp;K10)</f>
        <v>1.1-1.25</v>
      </c>
      <c r="M10" s="59">
        <v>6</v>
      </c>
      <c r="N10" s="864"/>
      <c r="Q10" s="51"/>
      <c r="R10" s="51"/>
      <c r="T10" s="39" t="s">
        <v>72</v>
      </c>
      <c r="U10" s="64">
        <v>0.89</v>
      </c>
      <c r="AC10" s="65"/>
      <c r="AD10" s="65"/>
      <c r="AE10" s="65"/>
    </row>
    <row r="11" spans="1:31" ht="17.25" hidden="1" customHeight="1">
      <c r="C11" s="62" t="s">
        <v>73</v>
      </c>
      <c r="D11" s="66" t="e">
        <f>('Fin-1'!D102-'Fin-1'!C102)/'Fin-1'!C102</f>
        <v>#DIV/0!</v>
      </c>
      <c r="E11" s="46" t="e">
        <f>VLOOKUP(D11,$J$35:$M$38,4)*$N$34</f>
        <v>#DIV/0!</v>
      </c>
      <c r="H11" s="876"/>
      <c r="I11" s="877"/>
      <c r="J11" s="58">
        <v>1.25</v>
      </c>
      <c r="K11" s="47"/>
      <c r="L11" s="55" t="str">
        <f>IF(K11="","&gt;"&amp;J11,IF(J11="","&lt;"&amp;K11,J11&amp;"-"&amp;K11))</f>
        <v>&gt;1.25</v>
      </c>
      <c r="M11" s="59">
        <v>10</v>
      </c>
      <c r="N11" s="864"/>
      <c r="Q11" s="51"/>
      <c r="R11" s="51"/>
      <c r="T11" s="44" t="s">
        <v>74</v>
      </c>
      <c r="U11" s="67">
        <v>1.63</v>
      </c>
      <c r="AC11" s="65"/>
      <c r="AD11" s="65"/>
      <c r="AE11" s="65"/>
    </row>
    <row r="12" spans="1:31" ht="17.25" hidden="1" customHeight="1">
      <c r="C12" s="62" t="s">
        <v>75</v>
      </c>
      <c r="D12" s="63" t="e">
        <f>'Fin-1'!D100</f>
        <v>#DIV/0!</v>
      </c>
      <c r="E12" s="53" t="e">
        <f>VLOOKUP(D12,$J$40:$M$43,4)*$N$39</f>
        <v>#DIV/0!</v>
      </c>
      <c r="H12" s="878">
        <v>2</v>
      </c>
      <c r="I12" s="874" t="s">
        <v>66</v>
      </c>
      <c r="J12" s="869"/>
      <c r="K12" s="869"/>
      <c r="L12" s="68"/>
      <c r="M12" s="47">
        <f>N12</f>
        <v>20</v>
      </c>
      <c r="N12" s="864">
        <v>20</v>
      </c>
      <c r="O12" s="49"/>
      <c r="P12" s="875" t="s">
        <v>76</v>
      </c>
      <c r="Q12" s="875"/>
      <c r="R12" s="875"/>
      <c r="S12" s="31"/>
      <c r="T12" s="44" t="s">
        <v>68</v>
      </c>
      <c r="U12" s="69">
        <v>254.26223659580299</v>
      </c>
      <c r="AC12" s="65"/>
      <c r="AD12" s="65"/>
      <c r="AE12" s="65"/>
    </row>
    <row r="13" spans="1:31" ht="17.25" hidden="1" customHeight="1">
      <c r="C13" s="70" t="s">
        <v>77</v>
      </c>
      <c r="D13" s="71" t="e">
        <f>E13</f>
        <v>#DIV/0!</v>
      </c>
      <c r="E13" s="72" t="e">
        <f>SUM(E6:E12)/10</f>
        <v>#DIV/0!</v>
      </c>
      <c r="H13" s="878"/>
      <c r="I13" s="874"/>
      <c r="J13" s="73">
        <v>-1000</v>
      </c>
      <c r="K13" s="74">
        <v>0</v>
      </c>
      <c r="L13" s="68"/>
      <c r="M13" s="47">
        <v>0</v>
      </c>
      <c r="N13" s="864"/>
      <c r="O13" s="49"/>
      <c r="P13" s="74">
        <v>-1000</v>
      </c>
      <c r="Q13" s="74">
        <v>0</v>
      </c>
      <c r="R13" s="47">
        <v>0</v>
      </c>
      <c r="S13" s="31"/>
      <c r="T13" s="44"/>
      <c r="U13" s="69"/>
      <c r="AC13" s="65"/>
      <c r="AD13" s="65"/>
      <c r="AE13" s="65"/>
    </row>
    <row r="14" spans="1:31" ht="17.25" hidden="1" customHeight="1">
      <c r="C14" s="75" t="s">
        <v>78</v>
      </c>
      <c r="D14" s="66">
        <f>Banking!H10</f>
        <v>0</v>
      </c>
      <c r="E14" s="46">
        <f>VLOOKUP(D14,$J$47:$M$50,4)*$N$46</f>
        <v>250</v>
      </c>
      <c r="H14" s="878"/>
      <c r="I14" s="874"/>
      <c r="J14" s="73">
        <v>1E-4</v>
      </c>
      <c r="K14" s="74">
        <v>2</v>
      </c>
      <c r="L14" s="55" t="str">
        <f>IF(J14="","&lt;"&amp;K14,J14&amp;"-"&amp;K14)</f>
        <v>0.0001-2</v>
      </c>
      <c r="M14" s="68">
        <v>10</v>
      </c>
      <c r="N14" s="864"/>
      <c r="O14" s="29"/>
      <c r="P14" s="74">
        <v>1E-4</v>
      </c>
      <c r="Q14" s="74">
        <v>2</v>
      </c>
      <c r="R14" s="68">
        <v>10</v>
      </c>
      <c r="T14" s="44" t="s">
        <v>70</v>
      </c>
      <c r="U14" s="76">
        <v>1.7675219849081101</v>
      </c>
      <c r="AC14" s="65"/>
      <c r="AD14" s="65"/>
      <c r="AE14" s="65"/>
    </row>
    <row r="15" spans="1:31" ht="17.25" hidden="1" customHeight="1">
      <c r="A15" s="29" t="s">
        <v>79</v>
      </c>
      <c r="C15" s="75" t="s">
        <v>80</v>
      </c>
      <c r="D15" s="63" t="e">
        <f>Banking!S9</f>
        <v>#DIV/0!</v>
      </c>
      <c r="E15" s="53" t="e">
        <f>VLOOKUP(D15,$J$52:$M$55,4)*N51</f>
        <v>#DIV/0!</v>
      </c>
      <c r="H15" s="878"/>
      <c r="I15" s="874"/>
      <c r="J15" s="77">
        <v>2.0099999999999998</v>
      </c>
      <c r="K15" s="47">
        <v>3</v>
      </c>
      <c r="L15" s="55" t="str">
        <f>IF(J15="","&lt;"&amp;K15,J15&amp;"-"&amp;K15)</f>
        <v>2.01-3</v>
      </c>
      <c r="M15" s="68">
        <v>8</v>
      </c>
      <c r="N15" s="864"/>
      <c r="P15" s="47">
        <v>2.0099999999999998</v>
      </c>
      <c r="Q15" s="47">
        <v>4</v>
      </c>
      <c r="R15" s="68">
        <v>8</v>
      </c>
      <c r="T15" s="62" t="s">
        <v>71</v>
      </c>
      <c r="U15" s="78">
        <v>0.186831458937574</v>
      </c>
      <c r="AC15" s="65"/>
      <c r="AD15" s="65"/>
      <c r="AE15" s="65"/>
    </row>
    <row r="16" spans="1:31" ht="17.25" hidden="1" customHeight="1">
      <c r="A16" s="79"/>
      <c r="B16" s="79"/>
      <c r="C16" s="75" t="s">
        <v>81</v>
      </c>
      <c r="D16" s="66" t="e">
        <f>Banking!M9</f>
        <v>#DIV/0!</v>
      </c>
      <c r="E16" s="46" t="e">
        <f>VLOOKUP(D16,$J$57:$M$60,4)*$N$56</f>
        <v>#DIV/0!</v>
      </c>
      <c r="F16" s="79"/>
      <c r="G16" s="79"/>
      <c r="H16" s="878"/>
      <c r="I16" s="874"/>
      <c r="J16" s="77">
        <v>3.01</v>
      </c>
      <c r="K16" s="47">
        <v>5</v>
      </c>
      <c r="L16" s="55" t="str">
        <f>IF(J16="","&lt;"&amp;K16,J16&amp;"-"&amp;K16)</f>
        <v>3.01-5</v>
      </c>
      <c r="M16" s="68">
        <v>4</v>
      </c>
      <c r="N16" s="864"/>
      <c r="P16" s="47">
        <v>4.01</v>
      </c>
      <c r="Q16" s="47">
        <v>7</v>
      </c>
      <c r="R16" s="68">
        <v>4</v>
      </c>
      <c r="T16" s="62" t="s">
        <v>73</v>
      </c>
      <c r="U16" s="80">
        <v>0.24751219197462301</v>
      </c>
      <c r="AC16" s="65"/>
      <c r="AD16" s="65"/>
      <c r="AE16" s="65"/>
    </row>
    <row r="17" spans="1:31" ht="17.25" hidden="1" customHeight="1">
      <c r="A17" s="79"/>
      <c r="B17" s="79"/>
      <c r="C17" s="75" t="s">
        <v>82</v>
      </c>
      <c r="D17" s="81">
        <f>Banking!K10</f>
        <v>0</v>
      </c>
      <c r="E17" s="53">
        <f>VLOOKUP(D17,$J$62:$M$66,4)*$N$61</f>
        <v>250</v>
      </c>
      <c r="F17" s="79"/>
      <c r="G17" s="79"/>
      <c r="H17" s="878"/>
      <c r="I17" s="874"/>
      <c r="J17" s="77">
        <v>5.01</v>
      </c>
      <c r="K17" s="47"/>
      <c r="L17" s="55" t="str">
        <f>IF(K17="","&gt;"&amp;J17,IF(J17="","&lt;"&amp;K17,J17&amp;"-"&amp;K17))</f>
        <v>&gt;5.01</v>
      </c>
      <c r="M17" s="68">
        <v>0</v>
      </c>
      <c r="N17" s="864"/>
      <c r="P17" s="47">
        <v>7.01</v>
      </c>
      <c r="Q17" s="47"/>
      <c r="R17" s="68">
        <v>0</v>
      </c>
      <c r="T17" s="62" t="s">
        <v>75</v>
      </c>
      <c r="U17" s="82">
        <v>0.220854260107127</v>
      </c>
      <c r="AC17" s="65"/>
      <c r="AD17" s="65"/>
      <c r="AE17" s="65"/>
    </row>
    <row r="18" spans="1:31" ht="17.25" hidden="1" customHeight="1">
      <c r="A18" s="79"/>
      <c r="B18" s="79"/>
      <c r="C18" s="83" t="s">
        <v>83</v>
      </c>
      <c r="D18" s="84" t="e">
        <f>E18</f>
        <v>#DIV/0!</v>
      </c>
      <c r="E18" s="85" t="e">
        <f>SUM(E14:E17)/10</f>
        <v>#DIV/0!</v>
      </c>
      <c r="F18" s="79"/>
      <c r="G18" s="79"/>
      <c r="H18" s="864">
        <v>3</v>
      </c>
      <c r="I18" s="874" t="s">
        <v>84</v>
      </c>
      <c r="J18" s="869"/>
      <c r="K18" s="869"/>
      <c r="L18" s="68"/>
      <c r="M18" s="30">
        <f>N18</f>
        <v>20</v>
      </c>
      <c r="N18" s="864">
        <v>20</v>
      </c>
      <c r="O18" s="49"/>
      <c r="Q18" s="51"/>
      <c r="R18" s="51"/>
      <c r="T18" s="75" t="s">
        <v>78</v>
      </c>
      <c r="U18" s="80">
        <v>1.01</v>
      </c>
      <c r="AC18" s="65"/>
      <c r="AD18" s="65"/>
      <c r="AE18" s="65"/>
    </row>
    <row r="19" spans="1:31" s="29" customFormat="1" ht="17.25" hidden="1" customHeight="1">
      <c r="A19" s="79" t="s">
        <v>85</v>
      </c>
      <c r="B19" s="79"/>
      <c r="C19" s="86" t="s">
        <v>86</v>
      </c>
      <c r="D19" s="87">
        <f>'Customer Details'!E8</f>
        <v>0</v>
      </c>
      <c r="E19" s="46" t="e">
        <f>VLOOKUP(D19,$J$70:$M$74,4)*$N$69</f>
        <v>#N/A</v>
      </c>
      <c r="F19" s="79"/>
      <c r="G19" s="79"/>
      <c r="H19" s="864"/>
      <c r="I19" s="874"/>
      <c r="J19" s="88">
        <v>-100000</v>
      </c>
      <c r="K19" s="55">
        <v>60</v>
      </c>
      <c r="L19" s="55" t="str">
        <f>IF(J19="","&lt;"&amp;K19,J19&amp;"-"&amp;K19)</f>
        <v>-100000-60</v>
      </c>
      <c r="M19" s="68">
        <v>10</v>
      </c>
      <c r="N19" s="864"/>
      <c r="S19" s="30"/>
      <c r="T19" s="75" t="s">
        <v>80</v>
      </c>
      <c r="U19" s="82">
        <v>1.65072669888725</v>
      </c>
      <c r="AC19" s="65"/>
      <c r="AD19" s="65"/>
      <c r="AE19" s="65"/>
    </row>
    <row r="20" spans="1:31" ht="17.25" hidden="1" customHeight="1">
      <c r="A20" s="79" t="s">
        <v>87</v>
      </c>
      <c r="B20" s="79"/>
      <c r="C20" s="86" t="s">
        <v>88</v>
      </c>
      <c r="D20" s="89">
        <f>'Existing Loans'!G1</f>
        <v>0</v>
      </c>
      <c r="E20" s="53">
        <f>VLOOKUP(D20,$J$76:$M$79,4)*$N$75</f>
        <v>100</v>
      </c>
      <c r="F20" s="79"/>
      <c r="G20" s="79"/>
      <c r="H20" s="864"/>
      <c r="I20" s="874"/>
      <c r="J20" s="30">
        <v>60</v>
      </c>
      <c r="K20" s="47">
        <v>90</v>
      </c>
      <c r="L20" s="55" t="str">
        <f>IF(J20="","&lt;"&amp;K20,J20&amp;"-"&amp;K20)</f>
        <v>60-90</v>
      </c>
      <c r="M20" s="30">
        <v>8</v>
      </c>
      <c r="N20" s="864"/>
      <c r="Q20" s="51"/>
      <c r="R20" s="51"/>
      <c r="T20" s="75" t="s">
        <v>81</v>
      </c>
      <c r="U20" s="80">
        <v>5.1786639047125805E-4</v>
      </c>
      <c r="AC20" s="65"/>
      <c r="AD20" s="65"/>
      <c r="AE20" s="65"/>
    </row>
    <row r="21" spans="1:31" ht="17.25" hidden="1" customHeight="1">
      <c r="A21" s="79" t="s">
        <v>89</v>
      </c>
      <c r="B21" s="79"/>
      <c r="C21" s="86" t="s">
        <v>90</v>
      </c>
      <c r="D21" s="87">
        <f>IF(AND('Customer Details'!G15&lt;650,'Customer Details'!G18="Yes"),650,'Customer Details'!G15)</f>
        <v>0</v>
      </c>
      <c r="E21" s="46">
        <f>VLOOKUP(D21,$J$81:$M$84,4)*$N$80</f>
        <v>0</v>
      </c>
      <c r="F21" s="79"/>
      <c r="G21" s="79"/>
      <c r="H21" s="864"/>
      <c r="I21" s="874"/>
      <c r="J21" s="47">
        <v>90</v>
      </c>
      <c r="K21" s="47">
        <v>120</v>
      </c>
      <c r="L21" s="55" t="str">
        <f>IF(J21="","&lt;"&amp;K21,J21&amp;"-"&amp;K21)</f>
        <v>90-120</v>
      </c>
      <c r="M21" s="68">
        <v>6</v>
      </c>
      <c r="N21" s="864"/>
      <c r="Q21" s="51"/>
      <c r="R21" s="51"/>
      <c r="T21" s="75" t="s">
        <v>82</v>
      </c>
      <c r="U21" s="90">
        <v>0</v>
      </c>
      <c r="AB21" s="91"/>
      <c r="AC21" s="65"/>
      <c r="AD21" s="65"/>
      <c r="AE21" s="65"/>
    </row>
    <row r="22" spans="1:31" ht="17.25" hidden="1" customHeight="1">
      <c r="A22" s="79"/>
      <c r="B22" s="79"/>
      <c r="C22" s="86" t="s">
        <v>91</v>
      </c>
      <c r="D22" s="89">
        <f>'Existing Loans'!L1</f>
        <v>0</v>
      </c>
      <c r="E22" s="53">
        <f>VLOOKUP(D22,$J$86:$M$89,4)*$N$85</f>
        <v>300</v>
      </c>
      <c r="F22" s="79"/>
      <c r="G22" s="79"/>
      <c r="H22" s="864"/>
      <c r="I22" s="874"/>
      <c r="J22" s="47">
        <v>120</v>
      </c>
      <c r="K22" s="47">
        <v>180</v>
      </c>
      <c r="L22" s="55" t="str">
        <f>IF(J22="","&lt;"&amp;K22,J22&amp;"-"&amp;K22)</f>
        <v>120-180</v>
      </c>
      <c r="M22" s="68">
        <v>4</v>
      </c>
      <c r="N22" s="864"/>
      <c r="Q22" s="51"/>
      <c r="R22" s="51"/>
      <c r="T22" s="86" t="s">
        <v>86</v>
      </c>
      <c r="U22" s="90">
        <v>3</v>
      </c>
      <c r="AB22" s="91"/>
      <c r="AC22" s="65"/>
      <c r="AD22" s="65"/>
      <c r="AE22" s="65"/>
    </row>
    <row r="23" spans="1:31" ht="17.25" hidden="1" customHeight="1">
      <c r="A23" s="79"/>
      <c r="B23" s="79"/>
      <c r="C23" s="92" t="s">
        <v>92</v>
      </c>
      <c r="D23" s="93" t="e">
        <f>E23</f>
        <v>#N/A</v>
      </c>
      <c r="E23" s="94" t="e">
        <f>SUM(E19:E22)/10</f>
        <v>#N/A</v>
      </c>
      <c r="F23" s="79"/>
      <c r="G23" s="79"/>
      <c r="H23" s="864"/>
      <c r="I23" s="874"/>
      <c r="J23" s="47">
        <v>180</v>
      </c>
      <c r="K23" s="47"/>
      <c r="L23" s="55" t="str">
        <f>IF(K23="","&gt;"&amp;J23,IF(J23="","&lt;"&amp;K23,J23&amp;"-"&amp;K23))</f>
        <v>&gt;180</v>
      </c>
      <c r="M23" s="68">
        <v>0</v>
      </c>
      <c r="N23" s="864"/>
      <c r="Q23" s="51"/>
      <c r="R23" s="51"/>
      <c r="T23" s="86" t="s">
        <v>88</v>
      </c>
      <c r="U23" s="95">
        <v>19</v>
      </c>
      <c r="AB23" s="91"/>
      <c r="AC23" s="65"/>
      <c r="AD23" s="65"/>
      <c r="AE23" s="65"/>
    </row>
    <row r="24" spans="1:31" ht="17.25" hidden="1" customHeight="1">
      <c r="A24" s="79"/>
      <c r="B24" s="79"/>
      <c r="C24" s="96" t="s">
        <v>93</v>
      </c>
      <c r="D24" s="45">
        <f>'Customer Details'!B15</f>
        <v>0</v>
      </c>
      <c r="E24" s="46" t="e">
        <f>VLOOKUP(D24,$J$93:$M$94,4)*$N$92</f>
        <v>#N/A</v>
      </c>
      <c r="F24" s="79"/>
      <c r="G24" s="79"/>
      <c r="H24" s="864">
        <v>4</v>
      </c>
      <c r="I24" s="874" t="s">
        <v>94</v>
      </c>
      <c r="J24" s="869"/>
      <c r="K24" s="869"/>
      <c r="L24" s="68"/>
      <c r="M24" s="30">
        <f>N24</f>
        <v>20</v>
      </c>
      <c r="N24" s="864">
        <v>20</v>
      </c>
      <c r="O24" s="49"/>
      <c r="Q24" s="51"/>
      <c r="R24" s="51"/>
      <c r="T24" s="86" t="s">
        <v>90</v>
      </c>
      <c r="U24" s="90">
        <v>660</v>
      </c>
      <c r="AB24" s="91"/>
      <c r="AC24" s="65"/>
      <c r="AD24" s="65"/>
      <c r="AE24" s="65"/>
    </row>
    <row r="25" spans="1:31" s="29" customFormat="1" ht="17.25" hidden="1" customHeight="1">
      <c r="A25" s="79" t="s">
        <v>85</v>
      </c>
      <c r="B25" s="79"/>
      <c r="C25" s="96" t="s">
        <v>95</v>
      </c>
      <c r="D25" s="52">
        <f>'Customer Details'!B16</f>
        <v>0</v>
      </c>
      <c r="E25" s="53" t="e">
        <f>VLOOKUP(D25,$J$96:$M$98,4)*$N$95</f>
        <v>#N/A</v>
      </c>
      <c r="F25" s="79"/>
      <c r="G25" s="79"/>
      <c r="H25" s="864"/>
      <c r="I25" s="874"/>
      <c r="J25" s="88">
        <v>-100000</v>
      </c>
      <c r="K25" s="55">
        <v>1</v>
      </c>
      <c r="L25" s="55" t="str">
        <f>IF(J25="","&lt;"&amp;K25,J25&amp;"-"&amp;K25)</f>
        <v>-100000-1</v>
      </c>
      <c r="M25" s="68">
        <v>0</v>
      </c>
      <c r="N25" s="864"/>
      <c r="S25" s="30"/>
      <c r="T25" s="86" t="s">
        <v>91</v>
      </c>
      <c r="U25" s="67">
        <v>3</v>
      </c>
      <c r="AB25" s="91"/>
      <c r="AC25" s="65"/>
      <c r="AD25" s="65"/>
      <c r="AE25" s="65"/>
    </row>
    <row r="26" spans="1:31" ht="17.25" hidden="1" customHeight="1">
      <c r="A26" s="29" t="s">
        <v>96</v>
      </c>
      <c r="C26" s="96" t="s">
        <v>97</v>
      </c>
      <c r="D26" s="87">
        <f>'Customer Details'!D16</f>
        <v>0</v>
      </c>
      <c r="E26" s="46">
        <f>VLOOKUP(D26,$J$100:$M$103,4)*$N$99</f>
        <v>40</v>
      </c>
      <c r="H26" s="864"/>
      <c r="I26" s="874"/>
      <c r="J26" s="47">
        <v>1</v>
      </c>
      <c r="K26" s="47">
        <v>1.5</v>
      </c>
      <c r="L26" s="55" t="str">
        <f>IF(J26="","&lt;"&amp;K26,J26&amp;"-"&amp;K26)</f>
        <v>1-1.5</v>
      </c>
      <c r="M26" s="68">
        <v>4</v>
      </c>
      <c r="N26" s="864"/>
      <c r="Q26" s="51"/>
      <c r="R26" s="51"/>
      <c r="T26" s="96" t="s">
        <v>93</v>
      </c>
      <c r="U26" s="97" t="s">
        <v>48</v>
      </c>
      <c r="AB26" s="91"/>
      <c r="AC26" s="65"/>
      <c r="AD26" s="65"/>
      <c r="AE26" s="65"/>
    </row>
    <row r="27" spans="1:31" ht="17.25" hidden="1" customHeight="1">
      <c r="A27" s="79" t="s">
        <v>89</v>
      </c>
      <c r="B27" s="79"/>
      <c r="C27" s="96" t="s">
        <v>98</v>
      </c>
      <c r="D27" s="89">
        <f>'Customer Details'!D15</f>
        <v>0</v>
      </c>
      <c r="E27" s="53">
        <f>VLOOKUP(D27,$J$105:$M$108,4)*$N$104</f>
        <v>40</v>
      </c>
      <c r="F27" s="79"/>
      <c r="G27" s="79"/>
      <c r="H27" s="864"/>
      <c r="I27" s="874"/>
      <c r="J27" s="47">
        <v>1.5</v>
      </c>
      <c r="K27" s="47">
        <v>2</v>
      </c>
      <c r="L27" s="55" t="str">
        <f>IF(J27="","&lt;"&amp;K27,J27&amp;"-"&amp;K27)</f>
        <v>1.5-2</v>
      </c>
      <c r="M27" s="68">
        <v>6</v>
      </c>
      <c r="N27" s="864"/>
      <c r="Q27" s="51"/>
      <c r="R27" s="51"/>
      <c r="T27" s="96" t="s">
        <v>95</v>
      </c>
      <c r="U27" s="67" t="s">
        <v>48</v>
      </c>
      <c r="AB27" s="91"/>
      <c r="AC27" s="65"/>
      <c r="AD27" s="65"/>
      <c r="AE27" s="65"/>
    </row>
    <row r="28" spans="1:31" ht="17.25" hidden="1" customHeight="1">
      <c r="C28" s="96" t="s">
        <v>99</v>
      </c>
      <c r="D28" s="87">
        <f ca="1">'Customer Details'!G8</f>
        <v>0</v>
      </c>
      <c r="E28" s="46">
        <f ca="1">VLOOKUP(D28,$J$110:$M$114,4)*$N$109</f>
        <v>0</v>
      </c>
      <c r="H28" s="864"/>
      <c r="I28" s="874"/>
      <c r="J28" s="47">
        <v>2</v>
      </c>
      <c r="K28" s="47"/>
      <c r="L28" s="55" t="str">
        <f>IF(K28="","&gt;"&amp;J28,IF(J28="","&lt;"&amp;K28,J28&amp;"-"&amp;K28))</f>
        <v>&gt;2</v>
      </c>
      <c r="M28" s="68">
        <v>10</v>
      </c>
      <c r="N28" s="864"/>
      <c r="Q28" s="51"/>
      <c r="R28" s="51"/>
      <c r="T28" s="96" t="s">
        <v>97</v>
      </c>
      <c r="U28" s="98">
        <v>10</v>
      </c>
      <c r="AB28" s="91"/>
      <c r="AC28" s="65"/>
      <c r="AD28" s="65"/>
      <c r="AE28" s="65"/>
    </row>
    <row r="29" spans="1:31" ht="17.25" hidden="1" customHeight="1">
      <c r="C29" s="96" t="s">
        <v>100</v>
      </c>
      <c r="D29" s="89" t="str">
        <f>'Customer Details'!G17</f>
        <v>No</v>
      </c>
      <c r="E29" s="53">
        <f>VLOOKUP(D29,$K$115:$M$116,3,0)*$N$115</f>
        <v>100</v>
      </c>
      <c r="H29" s="864">
        <v>5</v>
      </c>
      <c r="I29" s="874" t="s">
        <v>71</v>
      </c>
      <c r="J29" s="99"/>
      <c r="K29" s="99"/>
      <c r="L29" s="68"/>
      <c r="M29" s="30">
        <f>N29</f>
        <v>20</v>
      </c>
      <c r="N29" s="864">
        <v>20</v>
      </c>
      <c r="O29" s="100"/>
      <c r="Q29" s="51"/>
      <c r="R29" s="51"/>
      <c r="T29" s="96" t="s">
        <v>98</v>
      </c>
      <c r="U29" s="67">
        <v>20</v>
      </c>
      <c r="AB29" s="91"/>
      <c r="AC29" s="65"/>
      <c r="AD29" s="65"/>
      <c r="AE29" s="65"/>
    </row>
    <row r="30" spans="1:31" s="29" customFormat="1" ht="17.25" hidden="1" customHeight="1">
      <c r="C30" s="96" t="s">
        <v>101</v>
      </c>
      <c r="D30" s="101">
        <f>'Customer Details'!C8</f>
        <v>0</v>
      </c>
      <c r="E30" s="46" t="e">
        <f>VLOOKUP(D30,$K$117:$M$124,3)*$N$117</f>
        <v>#N/A</v>
      </c>
      <c r="H30" s="864"/>
      <c r="I30" s="874"/>
      <c r="J30" s="88">
        <v>-100000</v>
      </c>
      <c r="K30" s="102">
        <v>0</v>
      </c>
      <c r="L30" s="55" t="str">
        <f>IF(J30="","&lt;"&amp;K30,J30&amp;"-"&amp;K30)</f>
        <v>-100000-0</v>
      </c>
      <c r="M30" s="68">
        <v>0</v>
      </c>
      <c r="N30" s="864"/>
      <c r="S30" s="30"/>
      <c r="T30" s="96" t="s">
        <v>99</v>
      </c>
      <c r="U30" s="98">
        <v>20</v>
      </c>
      <c r="AB30" s="91"/>
      <c r="AC30" s="65"/>
      <c r="AD30" s="65"/>
      <c r="AE30" s="65"/>
    </row>
    <row r="31" spans="1:31" ht="17.25" hidden="1" customHeight="1">
      <c r="A31" s="29" t="s">
        <v>102</v>
      </c>
      <c r="C31" s="103" t="s">
        <v>103</v>
      </c>
      <c r="D31" s="104" t="e">
        <f>E31</f>
        <v>#N/A</v>
      </c>
      <c r="E31" s="105" t="e">
        <f>SUM(E24:E30)/10</f>
        <v>#N/A</v>
      </c>
      <c r="H31" s="864"/>
      <c r="I31" s="874"/>
      <c r="J31" s="102">
        <v>0</v>
      </c>
      <c r="K31" s="99">
        <v>0.1</v>
      </c>
      <c r="L31" s="55" t="str">
        <f>IF(J31="","&lt;"&amp;K31,J31&amp;"-"&amp;K31)</f>
        <v>0-0.1</v>
      </c>
      <c r="M31" s="68">
        <v>4</v>
      </c>
      <c r="N31" s="864"/>
      <c r="Q31" s="51"/>
      <c r="R31" s="51"/>
      <c r="T31" s="106" t="s">
        <v>100</v>
      </c>
      <c r="U31" s="107" t="s">
        <v>104</v>
      </c>
      <c r="AB31" s="91"/>
      <c r="AC31" s="65"/>
      <c r="AD31" s="65"/>
      <c r="AE31" s="65"/>
    </row>
    <row r="32" spans="1:31" ht="17.25" hidden="1" customHeight="1">
      <c r="A32" s="29" t="s">
        <v>105</v>
      </c>
      <c r="C32" s="108" t="s">
        <v>106</v>
      </c>
      <c r="D32" s="109"/>
      <c r="E32" s="110" t="e">
        <f>(E13*$J$127+E18*$J$128+E23*$J$129+E31*$J$130)</f>
        <v>#DIV/0!</v>
      </c>
      <c r="H32" s="864"/>
      <c r="I32" s="874"/>
      <c r="J32" s="99">
        <v>0.1</v>
      </c>
      <c r="K32" s="99">
        <v>0.2</v>
      </c>
      <c r="L32" s="55" t="str">
        <f>IF(J32="","&lt;"&amp;K32,J32&amp;"-"&amp;K32)</f>
        <v>0.1-0.2</v>
      </c>
      <c r="M32" s="68">
        <v>8</v>
      </c>
      <c r="N32" s="864"/>
      <c r="Q32" s="51"/>
      <c r="R32" s="51"/>
      <c r="T32" s="111" t="s">
        <v>61</v>
      </c>
      <c r="U32" s="112">
        <f>K131</f>
        <v>0</v>
      </c>
      <c r="AB32" s="91"/>
      <c r="AC32" s="65"/>
      <c r="AD32" s="65"/>
      <c r="AE32" s="65"/>
    </row>
    <row r="33" spans="1:31" ht="17.25" hidden="1" customHeight="1">
      <c r="H33" s="864"/>
      <c r="I33" s="874"/>
      <c r="J33" s="99">
        <v>0.2</v>
      </c>
      <c r="K33" s="47"/>
      <c r="L33" s="55" t="str">
        <f>IF(K33="","&gt;"&amp;J33,IF(J33="","&lt;"&amp;K33,J33&amp;"-"&amp;K33))</f>
        <v>&gt;0.2</v>
      </c>
      <c r="M33" s="68">
        <v>10</v>
      </c>
      <c r="N33" s="864"/>
      <c r="Q33" s="51"/>
      <c r="R33" s="51"/>
      <c r="AB33" s="91"/>
      <c r="AC33" s="65"/>
      <c r="AD33" s="65"/>
      <c r="AE33" s="65"/>
    </row>
    <row r="34" spans="1:31" ht="17.25" hidden="1" customHeight="1">
      <c r="C34" s="113"/>
      <c r="D34" s="114"/>
      <c r="H34" s="864">
        <v>6</v>
      </c>
      <c r="I34" s="874" t="s">
        <v>73</v>
      </c>
      <c r="J34" s="871"/>
      <c r="K34" s="871"/>
      <c r="L34" s="115"/>
      <c r="M34" s="116">
        <f>N34</f>
        <v>0</v>
      </c>
      <c r="N34" s="864">
        <v>0</v>
      </c>
      <c r="O34" s="100"/>
      <c r="Q34" s="51"/>
      <c r="R34" s="51"/>
      <c r="AB34" s="91"/>
      <c r="AC34" s="65"/>
      <c r="AD34" s="65"/>
      <c r="AE34" s="65"/>
    </row>
    <row r="35" spans="1:31" s="29" customFormat="1" ht="17.25" hidden="1" customHeight="1">
      <c r="C35" s="117" t="s">
        <v>107</v>
      </c>
      <c r="D35" s="118">
        <f>'Customer Details'!F3</f>
        <v>0</v>
      </c>
      <c r="H35" s="864"/>
      <c r="I35" s="874"/>
      <c r="J35" s="88">
        <v>-100000</v>
      </c>
      <c r="K35" s="102">
        <v>0</v>
      </c>
      <c r="L35" s="55" t="str">
        <f>IF(J35="","&lt;"&amp;K35,J35&amp;"-"&amp;K35)</f>
        <v>-100000-0</v>
      </c>
      <c r="M35" s="68">
        <v>0</v>
      </c>
      <c r="N35" s="864"/>
      <c r="S35" s="30"/>
      <c r="AB35" s="91"/>
      <c r="AC35" s="65"/>
      <c r="AD35" s="65"/>
      <c r="AE35" s="65"/>
    </row>
    <row r="36" spans="1:31" ht="17.25" hidden="1" customHeight="1">
      <c r="A36" s="29" t="s">
        <v>108</v>
      </c>
      <c r="C36" s="119" t="s">
        <v>109</v>
      </c>
      <c r="D36" s="120">
        <f>'Customer Details'!L4</f>
        <v>24</v>
      </c>
      <c r="H36" s="864"/>
      <c r="I36" s="874"/>
      <c r="J36" s="102">
        <v>0</v>
      </c>
      <c r="K36" s="99">
        <v>0.1</v>
      </c>
      <c r="L36" s="55" t="str">
        <f>IF(J36="","&lt;"&amp;K36,J36&amp;"-"&amp;K36)</f>
        <v>0-0.1</v>
      </c>
      <c r="M36" s="68">
        <v>4</v>
      </c>
      <c r="N36" s="864"/>
      <c r="Q36" s="51"/>
      <c r="R36" s="51"/>
    </row>
    <row r="37" spans="1:31" ht="17.25" hidden="1" customHeight="1">
      <c r="A37" s="29" t="s">
        <v>110</v>
      </c>
      <c r="C37" s="121" t="s">
        <v>111</v>
      </c>
      <c r="D37" s="122">
        <f>'Customer Details'!L3</f>
        <v>0.19500000000000001</v>
      </c>
      <c r="E37" s="79"/>
      <c r="H37" s="864"/>
      <c r="I37" s="874"/>
      <c r="J37" s="99">
        <v>0.1</v>
      </c>
      <c r="K37" s="99">
        <v>0.2</v>
      </c>
      <c r="L37" s="55" t="str">
        <f>IF(J37="","&lt;"&amp;K37,J37&amp;"-"&amp;K37)</f>
        <v>0.1-0.2</v>
      </c>
      <c r="M37" s="68">
        <v>8</v>
      </c>
      <c r="N37" s="864"/>
      <c r="Q37" s="51"/>
      <c r="R37" s="51"/>
    </row>
    <row r="38" spans="1:31" ht="17.25" hidden="1" customHeight="1">
      <c r="A38" s="79"/>
      <c r="B38" s="79"/>
      <c r="C38" s="79"/>
      <c r="D38" s="79"/>
      <c r="E38" s="79"/>
      <c r="F38" s="79"/>
      <c r="G38" s="79"/>
      <c r="H38" s="864"/>
      <c r="I38" s="874"/>
      <c r="J38" s="99">
        <v>0.2</v>
      </c>
      <c r="K38" s="47"/>
      <c r="L38" s="55" t="str">
        <f>IF(K38="","&gt;"&amp;J38,IF(J38="","&lt;"&amp;K38,J38&amp;"-"&amp;K38))</f>
        <v>&gt;0.2</v>
      </c>
      <c r="M38" s="68">
        <v>10</v>
      </c>
      <c r="N38" s="864"/>
      <c r="Q38" s="51"/>
      <c r="R38" s="51"/>
    </row>
    <row r="39" spans="1:31" ht="17.25" hidden="1" customHeight="1">
      <c r="A39" s="79"/>
      <c r="B39" s="79"/>
      <c r="F39" s="79"/>
      <c r="G39" s="79"/>
      <c r="H39" s="864">
        <v>7</v>
      </c>
      <c r="I39" s="874" t="s">
        <v>112</v>
      </c>
      <c r="J39" s="123"/>
      <c r="K39" s="124"/>
      <c r="L39" s="115"/>
      <c r="M39" s="68">
        <f>N39</f>
        <v>20</v>
      </c>
      <c r="N39" s="864">
        <v>20</v>
      </c>
      <c r="O39" s="100"/>
      <c r="Q39" s="51"/>
      <c r="R39" s="51"/>
    </row>
    <row r="40" spans="1:31" ht="17.25" hidden="1" customHeight="1">
      <c r="C40" s="117" t="s">
        <v>113</v>
      </c>
      <c r="D40" s="125">
        <f>DSCR!C33</f>
        <v>0</v>
      </c>
      <c r="E40" s="126"/>
      <c r="H40" s="864"/>
      <c r="I40" s="874"/>
      <c r="J40" s="88">
        <v>-100000</v>
      </c>
      <c r="K40" s="102">
        <v>0</v>
      </c>
      <c r="L40" s="55" t="str">
        <f>IF(J40="","&lt;"&amp;K40,J40&amp;"-"&amp;K40)</f>
        <v>-100000-0</v>
      </c>
      <c r="M40" s="68">
        <v>0</v>
      </c>
      <c r="N40" s="864"/>
    </row>
    <row r="41" spans="1:31" s="30" customFormat="1" ht="17.25" hidden="1" customHeight="1">
      <c r="A41" s="29" t="s">
        <v>114</v>
      </c>
      <c r="B41" s="29"/>
      <c r="C41" s="119" t="s">
        <v>115</v>
      </c>
      <c r="D41" s="46">
        <f>IF(AND('Customer Details'!F5="Industry Margin Programme",VAT!B16&gt;0),DSCR!C31,IF(AND('Customer Details'!F5="Normal Income Programme",VAT!B16&gt;0),DSCR!C30,IF(AND('Customer Details'!F5="Normal Income Programme",VAT!B16&lt;=0),DSCR!D30,DSCR!D31)))</f>
        <v>0</v>
      </c>
      <c r="E41" s="126"/>
      <c r="F41" s="29"/>
      <c r="G41" s="29"/>
      <c r="H41" s="864"/>
      <c r="I41" s="874"/>
      <c r="J41" s="102">
        <v>0</v>
      </c>
      <c r="K41" s="99">
        <v>0.1</v>
      </c>
      <c r="L41" s="55" t="str">
        <f>IF(J41="","&lt;"&amp;K41,J41&amp;"-"&amp;K41)</f>
        <v>0-0.1</v>
      </c>
      <c r="M41" s="68">
        <v>4</v>
      </c>
      <c r="N41" s="864"/>
      <c r="Q41" s="51"/>
      <c r="R41" s="51"/>
      <c r="T41" s="29"/>
    </row>
    <row r="42" spans="1:31" s="30" customFormat="1" ht="17.25" hidden="1" customHeight="1">
      <c r="A42" s="29"/>
      <c r="B42" s="29"/>
      <c r="C42" s="127" t="s">
        <v>116</v>
      </c>
      <c r="D42" s="95" t="e">
        <f>IF(D5="Normal Income Programme",VLOOKUP(E32,$C$56:$E$58,3),VLOOKUP(E32,$C$50:$E$52,3))</f>
        <v>#DIV/0!</v>
      </c>
      <c r="E42" s="128"/>
      <c r="F42" s="29"/>
      <c r="G42" s="29"/>
      <c r="H42" s="864"/>
      <c r="I42" s="874"/>
      <c r="J42" s="99">
        <v>0.1</v>
      </c>
      <c r="K42" s="99">
        <v>0.2</v>
      </c>
      <c r="L42" s="55" t="str">
        <f>IF(J42="","&lt;"&amp;K42,J42&amp;"-"&amp;K42)</f>
        <v>0.1-0.2</v>
      </c>
      <c r="M42" s="68">
        <v>8</v>
      </c>
      <c r="N42" s="864"/>
      <c r="Q42" s="51"/>
      <c r="R42" s="51"/>
      <c r="T42" s="29"/>
    </row>
    <row r="43" spans="1:31" s="30" customFormat="1" ht="17.25" hidden="1" customHeight="1">
      <c r="A43" s="29"/>
      <c r="B43" s="29"/>
      <c r="C43" s="127" t="s">
        <v>117</v>
      </c>
      <c r="D43" s="129" t="e">
        <f>(D41/D42)-D40</f>
        <v>#DIV/0!</v>
      </c>
      <c r="E43" s="130"/>
      <c r="F43" s="29"/>
      <c r="G43" s="29"/>
      <c r="H43" s="864"/>
      <c r="I43" s="874"/>
      <c r="J43" s="99">
        <v>0.2</v>
      </c>
      <c r="K43" s="47"/>
      <c r="L43" s="55" t="str">
        <f>IF(K43="","&gt;"&amp;J43,IF(J43="","&lt;"&amp;K43,J43&amp;"-"&amp;K43))</f>
        <v>&gt;0.2</v>
      </c>
      <c r="M43" s="68">
        <v>10</v>
      </c>
      <c r="N43" s="864"/>
      <c r="Q43" s="51"/>
      <c r="R43" s="51"/>
      <c r="T43" s="29"/>
    </row>
    <row r="44" spans="1:31" s="30" customFormat="1" ht="17.25" hidden="1" customHeight="1">
      <c r="A44" s="131"/>
      <c r="B44" s="131"/>
      <c r="C44" s="132" t="s">
        <v>118</v>
      </c>
      <c r="D44" s="53" t="e">
        <f>IF(AND(MIN(IF(D43&gt;0,-PV(D37/12,D36,D43/12,0),0),D35,50)&gt;=8.5,MIN(IF(D43&gt;0,-PV(D37/12,D36,D43/12,0),0),D35,50)&lt;10),10,MIN(IF(D43&gt;0,-PV(D37/12,D36,D43/12,0),0),D35,50))</f>
        <v>#DIV/0!</v>
      </c>
      <c r="E44" s="126"/>
      <c r="F44" s="131"/>
      <c r="G44" s="131"/>
      <c r="H44" s="133"/>
      <c r="I44" s="134" t="s">
        <v>119</v>
      </c>
      <c r="J44" s="135"/>
      <c r="K44" s="135"/>
      <c r="L44" s="135"/>
      <c r="M44" s="135"/>
      <c r="N44" s="136">
        <f>SUM(N7:N43)</f>
        <v>100</v>
      </c>
      <c r="Q44" s="51"/>
      <c r="R44" s="51"/>
      <c r="T44" s="29"/>
    </row>
    <row r="45" spans="1:31" s="30" customFormat="1" ht="32.25" hidden="1" customHeight="1">
      <c r="A45" s="131"/>
      <c r="B45" s="131"/>
      <c r="C45" s="137" t="s">
        <v>120</v>
      </c>
      <c r="D45" s="138" t="e">
        <f>D44-D35</f>
        <v>#DIV/0!</v>
      </c>
      <c r="E45" s="126"/>
      <c r="F45" s="131"/>
      <c r="G45" s="131"/>
      <c r="H45" s="139" t="s">
        <v>121</v>
      </c>
      <c r="I45" s="140" t="s">
        <v>122</v>
      </c>
      <c r="T45" s="29"/>
    </row>
    <row r="46" spans="1:31" s="30" customFormat="1" ht="17.25" hidden="1" customHeight="1">
      <c r="A46" s="131"/>
      <c r="B46" s="131"/>
      <c r="E46" s="126"/>
      <c r="F46" s="131"/>
      <c r="G46" s="131"/>
      <c r="H46" s="864">
        <v>1</v>
      </c>
      <c r="I46" s="870" t="s">
        <v>123</v>
      </c>
      <c r="J46" s="869"/>
      <c r="K46" s="869"/>
      <c r="L46" s="68"/>
      <c r="M46" s="47">
        <f>N46</f>
        <v>25</v>
      </c>
      <c r="N46" s="864">
        <v>25</v>
      </c>
      <c r="O46" s="100"/>
      <c r="Q46" s="51"/>
      <c r="R46" s="51"/>
      <c r="T46" s="29"/>
    </row>
    <row r="47" spans="1:31" s="30" customFormat="1" ht="17.25" hidden="1" customHeight="1">
      <c r="A47" s="29" t="s">
        <v>124</v>
      </c>
      <c r="B47" s="29"/>
      <c r="C47" s="29"/>
      <c r="D47" s="29"/>
      <c r="E47" s="29"/>
      <c r="F47" s="29"/>
      <c r="G47" s="29"/>
      <c r="H47" s="864"/>
      <c r="I47" s="870"/>
      <c r="J47" s="88">
        <v>-100000</v>
      </c>
      <c r="K47" s="102">
        <v>0.9</v>
      </c>
      <c r="L47" s="55" t="str">
        <f>IF(J47="","&lt;"&amp;K47,J47&amp;"-"&amp;K47)</f>
        <v>-100000-0.9</v>
      </c>
      <c r="M47" s="68">
        <v>10</v>
      </c>
      <c r="N47" s="864"/>
      <c r="O47" s="29"/>
      <c r="P47" s="29"/>
      <c r="Q47" s="29"/>
      <c r="R47" s="29"/>
      <c r="T47" s="29"/>
    </row>
    <row r="48" spans="1:31" s="30" customFormat="1" ht="17.25" hidden="1" customHeight="1">
      <c r="A48" s="29" t="s">
        <v>125</v>
      </c>
      <c r="B48" s="29"/>
      <c r="C48" s="29"/>
      <c r="D48" s="29"/>
      <c r="E48" s="29"/>
      <c r="F48" s="29"/>
      <c r="G48" s="29"/>
      <c r="H48" s="864"/>
      <c r="I48" s="870"/>
      <c r="J48" s="102">
        <v>0.9</v>
      </c>
      <c r="K48" s="99">
        <v>1</v>
      </c>
      <c r="L48" s="55" t="str">
        <f>IF(J48="","&lt;"&amp;K48,J48&amp;"-"&amp;K48)</f>
        <v>0.9-1</v>
      </c>
      <c r="M48" s="68">
        <v>8</v>
      </c>
      <c r="N48" s="864"/>
      <c r="O48" s="31"/>
      <c r="Q48" s="51"/>
      <c r="R48" s="51"/>
      <c r="T48" s="29"/>
    </row>
    <row r="49" spans="1:31" s="30" customFormat="1" ht="17.25" hidden="1" customHeight="1">
      <c r="A49" s="29" t="s">
        <v>126</v>
      </c>
      <c r="B49" s="29"/>
      <c r="C49" s="873" t="s">
        <v>127</v>
      </c>
      <c r="D49" s="873"/>
      <c r="E49" s="873"/>
      <c r="F49" s="29"/>
      <c r="G49" s="29"/>
      <c r="H49" s="864"/>
      <c r="I49" s="870"/>
      <c r="J49" s="99">
        <v>1</v>
      </c>
      <c r="K49" s="99">
        <v>1.1000000000000001</v>
      </c>
      <c r="L49" s="55" t="str">
        <f>IF(J49="","&lt;"&amp;K49,J49&amp;"-"&amp;K49)</f>
        <v>1-1.1</v>
      </c>
      <c r="M49" s="68">
        <v>4</v>
      </c>
      <c r="N49" s="864"/>
      <c r="Q49" s="51"/>
      <c r="R49" s="51"/>
      <c r="T49" s="29"/>
    </row>
    <row r="50" spans="1:31" s="30" customFormat="1" ht="17.25" hidden="1" customHeight="1">
      <c r="A50" s="29"/>
      <c r="B50" s="29"/>
      <c r="C50" s="141">
        <v>0</v>
      </c>
      <c r="D50" s="142">
        <v>70</v>
      </c>
      <c r="E50" s="143">
        <v>1.2</v>
      </c>
      <c r="F50" s="29"/>
      <c r="G50" s="29"/>
      <c r="H50" s="864"/>
      <c r="I50" s="870"/>
      <c r="J50" s="99">
        <v>1.1000000000000001</v>
      </c>
      <c r="K50" s="47"/>
      <c r="L50" s="55" t="str">
        <f>IF(K50="","&gt;"&amp;J50,IF(J50="","&lt;"&amp;K50,J50&amp;"-"&amp;K50))</f>
        <v>&gt;1.1</v>
      </c>
      <c r="M50" s="68">
        <v>0</v>
      </c>
      <c r="N50" s="864"/>
      <c r="Q50" s="51"/>
      <c r="R50" s="51"/>
      <c r="T50" s="29"/>
      <c r="U50" s="29"/>
      <c r="V50" s="29"/>
      <c r="W50" s="29"/>
      <c r="X50" s="29"/>
      <c r="Y50" s="29"/>
      <c r="Z50" s="29"/>
      <c r="AA50" s="29"/>
      <c r="AB50" s="29"/>
      <c r="AC50" s="29"/>
      <c r="AD50" s="29"/>
      <c r="AE50" s="29"/>
    </row>
    <row r="51" spans="1:31" s="30" customFormat="1" ht="17.25" hidden="1" customHeight="1">
      <c r="A51" s="79"/>
      <c r="B51" s="79"/>
      <c r="C51" s="142">
        <v>70</v>
      </c>
      <c r="D51" s="142">
        <v>75</v>
      </c>
      <c r="E51" s="143">
        <v>1.1499999999999999</v>
      </c>
      <c r="F51" s="79"/>
      <c r="G51" s="79"/>
      <c r="H51" s="864">
        <v>2</v>
      </c>
      <c r="I51" s="870" t="s">
        <v>80</v>
      </c>
      <c r="J51" s="871"/>
      <c r="K51" s="871"/>
      <c r="L51" s="115"/>
      <c r="M51" s="68">
        <f>N51</f>
        <v>25</v>
      </c>
      <c r="N51" s="864">
        <v>25</v>
      </c>
      <c r="O51" s="100"/>
      <c r="Q51" s="51"/>
      <c r="R51" s="51"/>
      <c r="T51" s="29"/>
      <c r="U51" s="29"/>
    </row>
    <row r="52" spans="1:31" s="30" customFormat="1" ht="17.25" hidden="1" customHeight="1">
      <c r="A52" s="79" t="s">
        <v>128</v>
      </c>
      <c r="B52" s="79"/>
      <c r="C52" s="142">
        <v>75</v>
      </c>
      <c r="D52" s="142"/>
      <c r="E52" s="143">
        <v>1.1000000000000001</v>
      </c>
      <c r="F52" s="79"/>
      <c r="G52" s="79"/>
      <c r="H52" s="864"/>
      <c r="I52" s="870"/>
      <c r="J52" s="88">
        <v>-100000</v>
      </c>
      <c r="K52" s="102">
        <v>0.7</v>
      </c>
      <c r="L52" s="55" t="str">
        <f>IF(J52="","&lt;"&amp;K52,J52&amp;"-"&amp;K52)</f>
        <v>-100000-0.7</v>
      </c>
      <c r="M52" s="68">
        <v>0</v>
      </c>
      <c r="N52" s="864"/>
      <c r="O52" s="29"/>
      <c r="P52" s="29"/>
      <c r="Q52" s="29"/>
      <c r="R52" s="29"/>
      <c r="T52" s="29"/>
      <c r="U52" s="29"/>
    </row>
    <row r="53" spans="1:31" s="30" customFormat="1" ht="17.25" hidden="1" customHeight="1">
      <c r="A53" s="79"/>
      <c r="B53" s="79"/>
      <c r="C53" s="128"/>
      <c r="D53" s="128"/>
      <c r="E53" s="128"/>
      <c r="F53" s="79"/>
      <c r="G53" s="79"/>
      <c r="H53" s="864"/>
      <c r="I53" s="870"/>
      <c r="J53" s="102">
        <v>0.7</v>
      </c>
      <c r="K53" s="99">
        <v>0.8</v>
      </c>
      <c r="L53" s="55" t="str">
        <f>IF(J53="","&lt;"&amp;K53,J53&amp;"-"&amp;K53)</f>
        <v>0.7-0.8</v>
      </c>
      <c r="M53" s="68">
        <v>4</v>
      </c>
      <c r="N53" s="864"/>
      <c r="Q53" s="51"/>
      <c r="R53" s="51"/>
      <c r="T53" s="29"/>
      <c r="U53" s="29"/>
    </row>
    <row r="54" spans="1:31" s="30" customFormat="1" ht="17.25" hidden="1" customHeight="1">
      <c r="A54" s="79"/>
      <c r="B54" s="79"/>
      <c r="C54" s="128"/>
      <c r="D54" s="128"/>
      <c r="E54" s="128"/>
      <c r="F54" s="79"/>
      <c r="G54" s="79"/>
      <c r="H54" s="864"/>
      <c r="I54" s="870"/>
      <c r="J54" s="99">
        <v>0.8</v>
      </c>
      <c r="K54" s="99">
        <v>0.95</v>
      </c>
      <c r="L54" s="55" t="str">
        <f>IF(J54="","&lt;"&amp;K54,J54&amp;"-"&amp;K54)</f>
        <v>0.8-0.95</v>
      </c>
      <c r="M54" s="68">
        <v>6</v>
      </c>
      <c r="N54" s="864"/>
      <c r="Q54" s="51"/>
      <c r="R54" s="51"/>
      <c r="T54" s="29"/>
      <c r="U54" s="29"/>
    </row>
    <row r="55" spans="1:31" s="30" customFormat="1" ht="17.25" hidden="1" customHeight="1">
      <c r="A55" s="29"/>
      <c r="B55" s="29"/>
      <c r="C55" s="873" t="s">
        <v>129</v>
      </c>
      <c r="D55" s="873"/>
      <c r="E55" s="873"/>
      <c r="F55" s="29"/>
      <c r="G55" s="29"/>
      <c r="H55" s="864"/>
      <c r="I55" s="870"/>
      <c r="J55" s="99">
        <v>0.95</v>
      </c>
      <c r="K55" s="47"/>
      <c r="L55" s="55" t="str">
        <f>IF(K55="","&gt;"&amp;J55,IF(J55="","&lt;"&amp;K55,J55&amp;"-"&amp;K55))</f>
        <v>&gt;0.95</v>
      </c>
      <c r="M55" s="68">
        <v>10</v>
      </c>
      <c r="N55" s="864"/>
      <c r="Q55" s="51"/>
      <c r="R55" s="51"/>
      <c r="T55" s="29"/>
      <c r="U55" s="29"/>
    </row>
    <row r="56" spans="1:31" ht="17.25" hidden="1" customHeight="1">
      <c r="C56" s="141">
        <v>0</v>
      </c>
      <c r="D56" s="142">
        <v>70</v>
      </c>
      <c r="E56" s="143">
        <v>1.1000000000000001</v>
      </c>
      <c r="H56" s="864">
        <v>3</v>
      </c>
      <c r="I56" s="870" t="s">
        <v>81</v>
      </c>
      <c r="J56" s="871"/>
      <c r="K56" s="871"/>
      <c r="L56" s="102"/>
      <c r="M56" s="68">
        <f>N56</f>
        <v>25</v>
      </c>
      <c r="N56" s="864">
        <v>25</v>
      </c>
      <c r="O56" s="100"/>
      <c r="Q56" s="51"/>
      <c r="R56" s="51"/>
    </row>
    <row r="57" spans="1:31" s="29" customFormat="1" ht="17.25" hidden="1" customHeight="1">
      <c r="C57" s="142">
        <v>70</v>
      </c>
      <c r="D57" s="142">
        <v>75</v>
      </c>
      <c r="E57" s="143">
        <v>1.05</v>
      </c>
      <c r="H57" s="864"/>
      <c r="I57" s="870"/>
      <c r="J57" s="88">
        <v>-100000</v>
      </c>
      <c r="K57" s="102">
        <v>0.01</v>
      </c>
      <c r="L57" s="55" t="str">
        <f>IF(J57="","&lt;"&amp;K57,J57&amp;"-"&amp;K57)</f>
        <v>-100000-0.01</v>
      </c>
      <c r="M57" s="68">
        <v>10</v>
      </c>
      <c r="N57" s="864"/>
      <c r="S57" s="30"/>
    </row>
    <row r="58" spans="1:31" ht="17.25" hidden="1" customHeight="1">
      <c r="A58" s="29" t="s">
        <v>130</v>
      </c>
      <c r="C58" s="142">
        <v>75</v>
      </c>
      <c r="D58" s="142"/>
      <c r="E58" s="143">
        <v>1</v>
      </c>
      <c r="H58" s="864"/>
      <c r="I58" s="870"/>
      <c r="J58" s="102">
        <v>0.01</v>
      </c>
      <c r="K58" s="99">
        <v>0.02</v>
      </c>
      <c r="L58" s="55" t="str">
        <f>IF(J58="","&lt;"&amp;K58,J58&amp;"-"&amp;K58)</f>
        <v>0.01-0.02</v>
      </c>
      <c r="M58" s="68">
        <v>8</v>
      </c>
      <c r="N58" s="864"/>
      <c r="Q58" s="51"/>
      <c r="R58" s="51"/>
    </row>
    <row r="59" spans="1:31" ht="17.25" hidden="1" customHeight="1">
      <c r="A59" s="29" t="s">
        <v>131</v>
      </c>
      <c r="H59" s="864"/>
      <c r="I59" s="870"/>
      <c r="J59" s="99">
        <v>0.02</v>
      </c>
      <c r="K59" s="99">
        <v>0.03</v>
      </c>
      <c r="L59" s="55" t="str">
        <f>IF(J59="","&lt;"&amp;K59,J59&amp;"-"&amp;K59)</f>
        <v>0.02-0.03</v>
      </c>
      <c r="M59" s="68">
        <v>4</v>
      </c>
      <c r="N59" s="864"/>
      <c r="Q59" s="51"/>
      <c r="R59" s="51"/>
    </row>
    <row r="60" spans="1:31" ht="17.25" hidden="1" customHeight="1">
      <c r="H60" s="864"/>
      <c r="I60" s="870"/>
      <c r="J60" s="99">
        <v>0.03</v>
      </c>
      <c r="K60" s="47"/>
      <c r="L60" s="55" t="str">
        <f>IF(K60="","&gt;"&amp;J60,IF(J60="","&lt;"&amp;K60,J60&amp;"-"&amp;K60))</f>
        <v>&gt;0.03</v>
      </c>
      <c r="M60" s="68">
        <v>0</v>
      </c>
      <c r="N60" s="864"/>
      <c r="Q60" s="51"/>
      <c r="R60" s="51"/>
    </row>
    <row r="61" spans="1:31" ht="17.25" hidden="1" customHeight="1">
      <c r="H61" s="864">
        <v>4</v>
      </c>
      <c r="I61" s="872" t="s">
        <v>82</v>
      </c>
      <c r="J61" s="871"/>
      <c r="K61" s="871"/>
      <c r="L61" s="55"/>
      <c r="M61" s="68">
        <f>N61</f>
        <v>25</v>
      </c>
      <c r="N61" s="864">
        <v>25</v>
      </c>
      <c r="Q61" s="51"/>
      <c r="R61" s="51"/>
    </row>
    <row r="62" spans="1:31" ht="17.25" hidden="1" customHeight="1">
      <c r="H62" s="864"/>
      <c r="I62" s="872"/>
      <c r="J62" s="116">
        <v>0</v>
      </c>
      <c r="K62" s="116">
        <v>1</v>
      </c>
      <c r="L62" s="55" t="str">
        <f>IF(J62="","&lt;"&amp;K62,J62&amp;"-"&amp;K62)</f>
        <v>0-1</v>
      </c>
      <c r="M62" s="68">
        <v>10</v>
      </c>
      <c r="N62" s="864"/>
      <c r="O62" s="31"/>
      <c r="P62" s="31"/>
      <c r="Q62" s="51"/>
      <c r="R62" s="51"/>
    </row>
    <row r="63" spans="1:31" ht="17.25" hidden="1" customHeight="1">
      <c r="H63" s="864"/>
      <c r="I63" s="872"/>
      <c r="J63" s="116">
        <v>1</v>
      </c>
      <c r="K63" s="116">
        <v>2</v>
      </c>
      <c r="L63" s="55" t="str">
        <f>IF(J63="","&lt;"&amp;K63,J63&amp;"-"&amp;K63)</f>
        <v>1-2</v>
      </c>
      <c r="M63" s="68">
        <v>8</v>
      </c>
      <c r="N63" s="864"/>
      <c r="Q63" s="51"/>
      <c r="R63" s="51"/>
    </row>
    <row r="64" spans="1:31" ht="17.25" hidden="1" customHeight="1">
      <c r="H64" s="864"/>
      <c r="I64" s="872"/>
      <c r="J64" s="116">
        <v>2</v>
      </c>
      <c r="K64" s="116">
        <v>3</v>
      </c>
      <c r="L64" s="55" t="str">
        <f>IF(J64="","&lt;"&amp;K64,J64&amp;"-"&amp;K64)</f>
        <v>2-3</v>
      </c>
      <c r="M64" s="68">
        <v>6</v>
      </c>
      <c r="N64" s="864"/>
      <c r="Q64" s="51"/>
      <c r="R64" s="51"/>
    </row>
    <row r="65" spans="1:22" ht="17.25" hidden="1" customHeight="1">
      <c r="H65" s="864"/>
      <c r="I65" s="872"/>
      <c r="J65" s="116">
        <v>3</v>
      </c>
      <c r="K65" s="116">
        <v>4</v>
      </c>
      <c r="L65" s="55" t="str">
        <f>IF(J65="","&lt;"&amp;K65,J65&amp;"-"&amp;K65)</f>
        <v>3-4</v>
      </c>
      <c r="M65" s="68">
        <v>4</v>
      </c>
      <c r="N65" s="864"/>
      <c r="Q65" s="51"/>
      <c r="R65" s="51"/>
    </row>
    <row r="66" spans="1:22" ht="17.25" hidden="1" customHeight="1">
      <c r="H66" s="864"/>
      <c r="I66" s="872"/>
      <c r="J66" s="116">
        <v>4</v>
      </c>
      <c r="K66" s="116"/>
      <c r="L66" s="55" t="str">
        <f>IF(J66="","&lt;"&amp;K66,J66&amp;"-"&amp;K66)</f>
        <v>4-</v>
      </c>
      <c r="M66" s="68">
        <v>0</v>
      </c>
      <c r="N66" s="864"/>
      <c r="Q66" s="51"/>
      <c r="R66" s="51"/>
    </row>
    <row r="67" spans="1:22" ht="17.25" hidden="1" customHeight="1">
      <c r="H67" s="144"/>
      <c r="I67" s="145" t="s">
        <v>132</v>
      </c>
      <c r="N67" s="146">
        <f>SUM(N46:N66)</f>
        <v>100</v>
      </c>
    </row>
    <row r="68" spans="1:22" ht="17.25" hidden="1" customHeight="1">
      <c r="H68" s="147" t="s">
        <v>133</v>
      </c>
      <c r="I68" s="140" t="s">
        <v>134</v>
      </c>
    </row>
    <row r="69" spans="1:22" ht="17.25" hidden="1" customHeight="1">
      <c r="H69" s="864">
        <v>1</v>
      </c>
      <c r="I69" s="868" t="s">
        <v>86</v>
      </c>
      <c r="J69" s="869"/>
      <c r="K69" s="869"/>
      <c r="L69" s="148"/>
      <c r="M69" s="47">
        <f>N69</f>
        <v>30</v>
      </c>
      <c r="N69" s="864">
        <v>30</v>
      </c>
    </row>
    <row r="70" spans="1:22" ht="17.25" hidden="1" customHeight="1">
      <c r="H70" s="864"/>
      <c r="I70" s="868"/>
      <c r="J70" s="88" t="s">
        <v>135</v>
      </c>
      <c r="K70" s="47">
        <v>0</v>
      </c>
      <c r="L70" s="848">
        <v>0</v>
      </c>
      <c r="M70" s="47">
        <v>6</v>
      </c>
      <c r="N70" s="864"/>
      <c r="O70" s="31"/>
      <c r="T70" s="29" t="s">
        <v>136</v>
      </c>
    </row>
    <row r="71" spans="1:22" s="29" customFormat="1" ht="17.25" hidden="1" customHeight="1">
      <c r="H71" s="864"/>
      <c r="I71" s="868"/>
      <c r="J71" s="55">
        <v>1</v>
      </c>
      <c r="K71" s="55">
        <v>2</v>
      </c>
      <c r="L71" s="55" t="str">
        <f>IF(J71="","&lt;"&amp;K71,J71&amp;"-"&amp;K71)</f>
        <v>1-2</v>
      </c>
      <c r="M71" s="47">
        <v>10</v>
      </c>
      <c r="N71" s="864"/>
      <c r="S71" s="30"/>
    </row>
    <row r="72" spans="1:22" ht="17.25" hidden="1" customHeight="1">
      <c r="H72" s="864"/>
      <c r="I72" s="868"/>
      <c r="J72" s="47">
        <v>3</v>
      </c>
      <c r="K72" s="47">
        <v>5</v>
      </c>
      <c r="L72" s="55" t="str">
        <f>IF(J72="","&lt;"&amp;K72,J72&amp;"-"&amp;K72)</f>
        <v>3-5</v>
      </c>
      <c r="M72" s="47">
        <v>8</v>
      </c>
      <c r="N72" s="864"/>
      <c r="O72" s="31"/>
    </row>
    <row r="73" spans="1:22" ht="17.25" hidden="1" customHeight="1">
      <c r="H73" s="864"/>
      <c r="I73" s="868"/>
      <c r="J73" s="47">
        <v>5</v>
      </c>
      <c r="K73" s="47">
        <v>7</v>
      </c>
      <c r="L73" s="55" t="str">
        <f>IF(J73="","&lt;"&amp;K73,J73&amp;"-"&amp;K73)</f>
        <v>5-7</v>
      </c>
      <c r="M73" s="47">
        <v>6</v>
      </c>
      <c r="N73" s="864"/>
    </row>
    <row r="74" spans="1:22" ht="17.25" hidden="1" customHeight="1">
      <c r="H74" s="864"/>
      <c r="I74" s="868"/>
      <c r="J74" s="47">
        <v>7</v>
      </c>
      <c r="K74" s="47"/>
      <c r="L74" s="55" t="str">
        <f>IF(K74="","&gt;"&amp;J74,IF(J74="","&lt;"&amp;K74,J74&amp;"-"&amp;K74))</f>
        <v>&gt;7</v>
      </c>
      <c r="M74" s="47">
        <v>0</v>
      </c>
      <c r="N74" s="864"/>
      <c r="O74" s="135"/>
    </row>
    <row r="75" spans="1:22" ht="17.25" hidden="1" customHeight="1">
      <c r="H75" s="864">
        <v>2</v>
      </c>
      <c r="I75" s="868" t="s">
        <v>137</v>
      </c>
      <c r="J75" s="869"/>
      <c r="K75" s="869"/>
      <c r="L75" s="149"/>
      <c r="M75" s="47">
        <f>N75</f>
        <v>10</v>
      </c>
      <c r="N75" s="864">
        <v>10</v>
      </c>
      <c r="O75" s="135"/>
    </row>
    <row r="76" spans="1:22" s="29" customFormat="1" ht="17.25" hidden="1" customHeight="1">
      <c r="H76" s="864"/>
      <c r="I76" s="868"/>
      <c r="J76" s="55">
        <v>0</v>
      </c>
      <c r="K76" s="55">
        <v>2</v>
      </c>
      <c r="L76" s="55" t="str">
        <f>IF(J76="","&lt;"&amp;K76,J76&amp;"-"&amp;K76)</f>
        <v>0-2</v>
      </c>
      <c r="M76" s="47">
        <v>10</v>
      </c>
      <c r="N76" s="864"/>
      <c r="S76" s="30"/>
    </row>
    <row r="77" spans="1:22" ht="17.25" hidden="1" customHeight="1">
      <c r="A77" s="29" t="s">
        <v>138</v>
      </c>
      <c r="H77" s="864"/>
      <c r="I77" s="868"/>
      <c r="J77" s="47">
        <v>2</v>
      </c>
      <c r="K77" s="47">
        <v>5</v>
      </c>
      <c r="L77" s="55" t="str">
        <f>IF(J77="","&lt;"&amp;K77,J77&amp;"-"&amp;K77)</f>
        <v>2-5</v>
      </c>
      <c r="M77" s="47">
        <v>6</v>
      </c>
      <c r="N77" s="864"/>
    </row>
    <row r="78" spans="1:22" ht="17.25" hidden="1" customHeight="1">
      <c r="H78" s="864"/>
      <c r="I78" s="868"/>
      <c r="J78" s="47">
        <v>5</v>
      </c>
      <c r="K78" s="47">
        <v>9</v>
      </c>
      <c r="L78" s="55" t="str">
        <f>IF(J78="","&lt;"&amp;K78,J78&amp;"-"&amp;K78)</f>
        <v>5-9</v>
      </c>
      <c r="M78" s="47">
        <v>4</v>
      </c>
      <c r="N78" s="864"/>
    </row>
    <row r="79" spans="1:22" s="30" customFormat="1" ht="17.25" hidden="1" customHeight="1">
      <c r="A79" s="29"/>
      <c r="B79" s="29"/>
      <c r="C79" s="29"/>
      <c r="D79" s="29"/>
      <c r="E79" s="29"/>
      <c r="F79" s="29"/>
      <c r="G79" s="29"/>
      <c r="H79" s="864"/>
      <c r="I79" s="868"/>
      <c r="J79" s="47">
        <v>10</v>
      </c>
      <c r="K79" s="47"/>
      <c r="L79" s="55" t="str">
        <f>IF(K79="","&gt;"&amp;J79,IF(J79="","&lt;"&amp;K79,J79&amp;"-"&amp;K79))</f>
        <v>&gt;10</v>
      </c>
      <c r="M79" s="47">
        <v>0</v>
      </c>
      <c r="N79" s="864"/>
      <c r="T79" s="29"/>
      <c r="U79" s="29"/>
      <c r="V79" s="29"/>
    </row>
    <row r="80" spans="1:22" s="30" customFormat="1" ht="17.25" hidden="1" customHeight="1">
      <c r="A80" s="29"/>
      <c r="B80" s="29"/>
      <c r="C80" s="29"/>
      <c r="D80" s="29"/>
      <c r="E80" s="29"/>
      <c r="F80" s="29"/>
      <c r="G80" s="29"/>
      <c r="H80" s="864">
        <v>3</v>
      </c>
      <c r="I80" s="868" t="s">
        <v>90</v>
      </c>
      <c r="J80" s="56"/>
      <c r="K80" s="58"/>
      <c r="L80" s="149"/>
      <c r="M80" s="47">
        <f>N80</f>
        <v>30</v>
      </c>
      <c r="N80" s="864">
        <v>30</v>
      </c>
      <c r="O80" s="31"/>
      <c r="T80" s="29"/>
      <c r="U80" s="29"/>
      <c r="V80" s="29"/>
    </row>
    <row r="81" spans="1:31" s="30" customFormat="1" ht="17.25" hidden="1" customHeight="1">
      <c r="A81" s="29"/>
      <c r="B81" s="29"/>
      <c r="C81" s="29"/>
      <c r="D81" s="29"/>
      <c r="E81" s="29"/>
      <c r="F81" s="29"/>
      <c r="G81" s="29"/>
      <c r="H81" s="864"/>
      <c r="I81" s="868"/>
      <c r="J81" s="55">
        <v>0</v>
      </c>
      <c r="K81" s="55">
        <v>650</v>
      </c>
      <c r="L81" s="55" t="str">
        <f>IF(J81="","&lt;"&amp;K81,J81&amp;"-"&amp;K81)</f>
        <v>0-650</v>
      </c>
      <c r="M81" s="47">
        <v>0</v>
      </c>
      <c r="N81" s="864"/>
      <c r="O81" s="29"/>
      <c r="P81" s="29"/>
      <c r="Q81" s="29"/>
      <c r="R81" s="29"/>
      <c r="T81" s="29"/>
      <c r="U81" s="29"/>
      <c r="V81" s="29"/>
    </row>
    <row r="82" spans="1:31" s="30" customFormat="1" ht="17.25" hidden="1" customHeight="1">
      <c r="A82" s="29" t="s">
        <v>139</v>
      </c>
      <c r="B82" s="29"/>
      <c r="C82" s="29"/>
      <c r="D82" s="29"/>
      <c r="E82" s="29"/>
      <c r="F82" s="29"/>
      <c r="G82" s="29"/>
      <c r="H82" s="864"/>
      <c r="I82" s="868"/>
      <c r="J82" s="47">
        <v>650</v>
      </c>
      <c r="K82" s="47">
        <v>700</v>
      </c>
      <c r="L82" s="55" t="str">
        <f>IF(J82="","&lt;"&amp;K82,J82&amp;"-"&amp;K82)</f>
        <v>650-700</v>
      </c>
      <c r="M82" s="47">
        <v>6</v>
      </c>
      <c r="N82" s="864"/>
      <c r="O82" s="31"/>
      <c r="T82" s="29"/>
      <c r="U82" s="29"/>
      <c r="V82" s="29"/>
      <c r="W82" s="29"/>
      <c r="X82" s="29"/>
      <c r="Y82" s="29"/>
      <c r="Z82" s="29"/>
      <c r="AA82" s="29"/>
      <c r="AB82" s="29"/>
      <c r="AC82" s="29"/>
      <c r="AD82" s="29"/>
      <c r="AE82" s="29"/>
    </row>
    <row r="83" spans="1:31" s="30" customFormat="1" ht="17.25" hidden="1" customHeight="1">
      <c r="A83" s="29"/>
      <c r="B83" s="29"/>
      <c r="C83" s="29"/>
      <c r="D83" s="29"/>
      <c r="E83" s="29"/>
      <c r="F83" s="29"/>
      <c r="G83" s="29"/>
      <c r="H83" s="864"/>
      <c r="I83" s="868"/>
      <c r="J83" s="47">
        <v>700</v>
      </c>
      <c r="K83" s="47">
        <v>750</v>
      </c>
      <c r="L83" s="55" t="str">
        <f>IF(J83="","&lt;"&amp;K83,J83&amp;"-"&amp;K83)</f>
        <v>700-750</v>
      </c>
      <c r="M83" s="47">
        <v>8</v>
      </c>
      <c r="N83" s="864"/>
      <c r="O83" s="31"/>
      <c r="T83" s="29"/>
      <c r="U83" s="29"/>
      <c r="V83" s="29"/>
      <c r="W83" s="29"/>
      <c r="X83" s="29"/>
      <c r="Y83" s="29"/>
      <c r="Z83" s="29"/>
      <c r="AA83" s="29"/>
      <c r="AB83" s="29"/>
      <c r="AC83" s="29"/>
      <c r="AD83" s="29"/>
      <c r="AE83" s="29"/>
    </row>
    <row r="84" spans="1:31" s="30" customFormat="1" ht="17.25" hidden="1" customHeight="1">
      <c r="A84" s="29"/>
      <c r="B84" s="29"/>
      <c r="C84" s="29"/>
      <c r="D84" s="29"/>
      <c r="E84" s="29"/>
      <c r="F84" s="29"/>
      <c r="G84" s="29"/>
      <c r="H84" s="864"/>
      <c r="I84" s="868"/>
      <c r="J84" s="30">
        <v>750</v>
      </c>
      <c r="K84" s="47"/>
      <c r="L84" s="55" t="s">
        <v>140</v>
      </c>
      <c r="M84" s="47">
        <v>10</v>
      </c>
      <c r="N84" s="864"/>
      <c r="T84" s="29"/>
      <c r="U84" s="29"/>
      <c r="V84" s="29"/>
      <c r="W84" s="29"/>
      <c r="X84" s="29"/>
      <c r="Y84" s="29"/>
      <c r="Z84" s="29"/>
      <c r="AA84" s="29"/>
      <c r="AB84" s="29"/>
      <c r="AC84" s="29"/>
      <c r="AD84" s="29"/>
      <c r="AE84" s="29"/>
    </row>
    <row r="85" spans="1:31" s="30" customFormat="1" ht="17.25" hidden="1" customHeight="1">
      <c r="A85" s="29"/>
      <c r="B85" s="29"/>
      <c r="C85" s="29"/>
      <c r="D85" s="29"/>
      <c r="E85" s="29"/>
      <c r="F85" s="29"/>
      <c r="G85" s="29"/>
      <c r="H85" s="864">
        <v>4</v>
      </c>
      <c r="I85" s="868" t="s">
        <v>91</v>
      </c>
      <c r="J85" s="56"/>
      <c r="K85" s="58"/>
      <c r="L85" s="149"/>
      <c r="M85" s="47">
        <f>N85</f>
        <v>30</v>
      </c>
      <c r="N85" s="864">
        <v>30</v>
      </c>
    </row>
    <row r="86" spans="1:31" s="30" customFormat="1" ht="17.25" hidden="1" customHeight="1">
      <c r="A86" s="29"/>
      <c r="B86" s="29"/>
      <c r="C86" s="29"/>
      <c r="D86" s="29"/>
      <c r="E86" s="29"/>
      <c r="F86" s="29"/>
      <c r="G86" s="29"/>
      <c r="H86" s="864"/>
      <c r="I86" s="868"/>
      <c r="J86" s="55">
        <v>0</v>
      </c>
      <c r="K86" s="55">
        <v>2</v>
      </c>
      <c r="L86" s="55" t="str">
        <f>IF(J86="","&lt;"&amp;K86,J86&amp;"-"&amp;K86)</f>
        <v>0-2</v>
      </c>
      <c r="M86" s="47">
        <v>10</v>
      </c>
      <c r="N86" s="864"/>
      <c r="O86" s="29"/>
      <c r="P86" s="29"/>
      <c r="Q86" s="29"/>
      <c r="R86" s="29"/>
    </row>
    <row r="87" spans="1:31" s="30" customFormat="1" ht="17.25" hidden="1" customHeight="1">
      <c r="A87" s="29" t="s">
        <v>141</v>
      </c>
      <c r="B87" s="29"/>
      <c r="C87" s="29"/>
      <c r="D87" s="29"/>
      <c r="E87" s="29"/>
      <c r="F87" s="29"/>
      <c r="G87" s="29"/>
      <c r="H87" s="864"/>
      <c r="I87" s="868"/>
      <c r="J87" s="47">
        <v>2</v>
      </c>
      <c r="K87" s="47">
        <v>4</v>
      </c>
      <c r="L87" s="55" t="str">
        <f>IF(J87="","&lt;"&amp;K87,J87&amp;"-"&amp;K87)</f>
        <v>2-4</v>
      </c>
      <c r="M87" s="47">
        <v>6</v>
      </c>
      <c r="N87" s="864"/>
    </row>
    <row r="88" spans="1:31" s="30" customFormat="1" ht="17.25" hidden="1" customHeight="1">
      <c r="A88" s="29"/>
      <c r="B88" s="29"/>
      <c r="C88" s="29"/>
      <c r="D88" s="29"/>
      <c r="E88" s="29"/>
      <c r="F88" s="29"/>
      <c r="G88" s="29"/>
      <c r="H88" s="864"/>
      <c r="I88" s="868"/>
      <c r="J88" s="47">
        <v>4</v>
      </c>
      <c r="K88" s="47">
        <v>6</v>
      </c>
      <c r="L88" s="55" t="str">
        <f>IF(J88="","&lt;"&amp;K88,J88&amp;"-"&amp;K88)</f>
        <v>4-6</v>
      </c>
      <c r="M88" s="47">
        <v>4</v>
      </c>
      <c r="N88" s="864"/>
    </row>
    <row r="89" spans="1:31" s="30" customFormat="1" ht="17.25" hidden="1" customHeight="1">
      <c r="A89" s="29"/>
      <c r="B89" s="29"/>
      <c r="F89" s="29"/>
      <c r="G89" s="29"/>
      <c r="H89" s="864"/>
      <c r="I89" s="868"/>
      <c r="J89" s="47">
        <v>6.01</v>
      </c>
      <c r="K89" s="47"/>
      <c r="L89" s="55" t="str">
        <f>IF(K89="","&gt;"&amp;J89,IF(J89="","&lt;"&amp;K89,J89&amp;"-"&amp;K89))</f>
        <v>&gt;6.01</v>
      </c>
      <c r="M89" s="47">
        <v>0</v>
      </c>
      <c r="N89" s="864"/>
    </row>
    <row r="90" spans="1:31" s="30" customFormat="1" ht="17.25" hidden="1" customHeight="1">
      <c r="H90" s="144"/>
      <c r="I90" s="134" t="s">
        <v>142</v>
      </c>
      <c r="N90" s="146">
        <f>SUM(N69:N89)</f>
        <v>100</v>
      </c>
      <c r="T90" s="29"/>
      <c r="U90" s="29"/>
      <c r="V90" s="29"/>
      <c r="W90" s="29"/>
      <c r="X90" s="29"/>
      <c r="Y90" s="29"/>
      <c r="Z90" s="29"/>
      <c r="AA90" s="29"/>
      <c r="AB90" s="29"/>
      <c r="AC90" s="29"/>
      <c r="AD90" s="29"/>
      <c r="AE90" s="29"/>
    </row>
    <row r="91" spans="1:31" s="30" customFormat="1" ht="17.25" hidden="1" customHeight="1">
      <c r="H91" s="147" t="s">
        <v>143</v>
      </c>
      <c r="I91" s="43" t="s">
        <v>144</v>
      </c>
      <c r="T91" s="29"/>
      <c r="U91" s="29"/>
      <c r="V91" s="29"/>
      <c r="W91" s="29"/>
      <c r="X91" s="29"/>
      <c r="Y91" s="29"/>
      <c r="Z91" s="29"/>
      <c r="AA91" s="29"/>
      <c r="AB91" s="29"/>
      <c r="AC91" s="29"/>
      <c r="AD91" s="29"/>
      <c r="AE91" s="29"/>
    </row>
    <row r="92" spans="1:31" s="30" customFormat="1" ht="17.25" hidden="1" customHeight="1">
      <c r="H92" s="864">
        <v>1</v>
      </c>
      <c r="I92" s="865" t="s">
        <v>93</v>
      </c>
      <c r="J92" s="47"/>
      <c r="K92" s="47"/>
      <c r="L92" s="47"/>
      <c r="M92" s="116">
        <f>N92</f>
        <v>15</v>
      </c>
      <c r="N92" s="864">
        <v>15</v>
      </c>
      <c r="O92" s="49"/>
      <c r="P92" s="31"/>
      <c r="T92" s="29"/>
      <c r="U92" s="29"/>
      <c r="V92" s="29"/>
      <c r="W92" s="29"/>
      <c r="X92" s="29"/>
      <c r="Y92" s="29"/>
      <c r="Z92" s="29"/>
      <c r="AA92" s="29"/>
      <c r="AB92" s="29"/>
      <c r="AC92" s="29"/>
      <c r="AD92" s="29"/>
      <c r="AE92" s="29"/>
    </row>
    <row r="93" spans="1:31" s="30" customFormat="1" ht="17.25" hidden="1" customHeight="1">
      <c r="H93" s="864"/>
      <c r="I93" s="865"/>
      <c r="J93" s="55" t="s">
        <v>104</v>
      </c>
      <c r="K93" s="55" t="s">
        <v>145</v>
      </c>
      <c r="L93" s="55" t="str">
        <f>K93</f>
        <v>Rented</v>
      </c>
      <c r="M93" s="47">
        <v>0</v>
      </c>
      <c r="N93" s="864"/>
      <c r="O93" s="29"/>
      <c r="P93" s="29"/>
      <c r="Q93" s="29"/>
      <c r="R93" s="29"/>
    </row>
    <row r="94" spans="1:31" s="30" customFormat="1" ht="17.25" hidden="1" customHeight="1">
      <c r="H94" s="864"/>
      <c r="I94" s="865"/>
      <c r="J94" s="47" t="s">
        <v>48</v>
      </c>
      <c r="K94" s="47" t="s">
        <v>146</v>
      </c>
      <c r="L94" s="55" t="str">
        <f>K94</f>
        <v>Owned</v>
      </c>
      <c r="M94" s="47">
        <v>10</v>
      </c>
      <c r="N94" s="864"/>
      <c r="O94" s="31"/>
      <c r="P94" s="31"/>
    </row>
    <row r="95" spans="1:31" ht="17.25" hidden="1" customHeight="1">
      <c r="A95" s="30"/>
      <c r="B95" s="30"/>
      <c r="C95" s="30"/>
      <c r="D95" s="30"/>
      <c r="E95" s="30"/>
      <c r="F95" s="30"/>
      <c r="G95" s="30"/>
      <c r="H95" s="866">
        <v>2</v>
      </c>
      <c r="I95" s="865" t="s">
        <v>147</v>
      </c>
      <c r="J95" s="56"/>
      <c r="K95" s="150"/>
      <c r="L95" s="58"/>
      <c r="M95" s="116">
        <f>N95</f>
        <v>15</v>
      </c>
      <c r="N95" s="864">
        <v>15</v>
      </c>
      <c r="O95" s="31"/>
      <c r="P95" s="31"/>
      <c r="S95" s="31"/>
    </row>
    <row r="96" spans="1:31" s="29" customFormat="1" ht="17.25" hidden="1" customHeight="1">
      <c r="A96" s="30"/>
      <c r="B96" s="30"/>
      <c r="C96" s="30"/>
      <c r="D96" s="30"/>
      <c r="E96" s="30"/>
      <c r="F96" s="30"/>
      <c r="G96" s="30"/>
      <c r="H96" s="866"/>
      <c r="I96" s="865"/>
      <c r="J96" s="55" t="s">
        <v>104</v>
      </c>
      <c r="K96" s="55" t="s">
        <v>145</v>
      </c>
      <c r="L96" s="55" t="str">
        <f>K96</f>
        <v>Rented</v>
      </c>
      <c r="M96" s="47">
        <v>0</v>
      </c>
      <c r="N96" s="864"/>
    </row>
    <row r="97" spans="1:19" ht="17.25" hidden="1" customHeight="1">
      <c r="A97" s="30"/>
      <c r="B97" s="30"/>
      <c r="C97" s="30"/>
      <c r="D97" s="30"/>
      <c r="E97" s="30"/>
      <c r="F97" s="30"/>
      <c r="G97" s="30"/>
      <c r="H97" s="866"/>
      <c r="I97" s="865"/>
      <c r="J97" s="47"/>
      <c r="K97" s="47" t="s">
        <v>148</v>
      </c>
      <c r="L97" s="55" t="str">
        <f>K97</f>
        <v>Pagri</v>
      </c>
      <c r="M97" s="47">
        <v>6</v>
      </c>
      <c r="N97" s="864"/>
      <c r="O97" s="31"/>
      <c r="P97" s="31"/>
    </row>
    <row r="98" spans="1:19" ht="17.25" hidden="1" customHeight="1">
      <c r="A98" s="30"/>
      <c r="B98" s="30"/>
      <c r="C98" s="30"/>
      <c r="D98" s="30"/>
      <c r="E98" s="30"/>
      <c r="F98" s="30"/>
      <c r="G98" s="30"/>
      <c r="H98" s="866"/>
      <c r="I98" s="865"/>
      <c r="J98" s="47" t="s">
        <v>48</v>
      </c>
      <c r="K98" s="47" t="s">
        <v>146</v>
      </c>
      <c r="L98" s="55" t="str">
        <f>K98</f>
        <v>Owned</v>
      </c>
      <c r="M98" s="47">
        <v>10</v>
      </c>
      <c r="N98" s="864"/>
      <c r="O98" s="31"/>
      <c r="P98" s="31"/>
    </row>
    <row r="99" spans="1:19" ht="17.25" hidden="1" customHeight="1">
      <c r="A99" s="30"/>
      <c r="B99" s="30"/>
      <c r="C99" s="30"/>
      <c r="D99" s="30"/>
      <c r="E99" s="30"/>
      <c r="F99" s="30"/>
      <c r="G99" s="30"/>
      <c r="H99" s="864">
        <v>3</v>
      </c>
      <c r="I99" s="865" t="s">
        <v>97</v>
      </c>
      <c r="J99" s="56"/>
      <c r="K99" s="58"/>
      <c r="L99" s="149"/>
      <c r="M99" s="47">
        <f>N99</f>
        <v>10</v>
      </c>
      <c r="N99" s="864">
        <v>10</v>
      </c>
    </row>
    <row r="100" spans="1:19" s="29" customFormat="1" ht="17.25" hidden="1" customHeight="1">
      <c r="A100" s="30"/>
      <c r="B100" s="30"/>
      <c r="C100" s="30"/>
      <c r="D100" s="30"/>
      <c r="E100" s="30"/>
      <c r="F100" s="30"/>
      <c r="G100" s="30"/>
      <c r="H100" s="864"/>
      <c r="I100" s="865"/>
      <c r="J100" s="55">
        <v>0</v>
      </c>
      <c r="K100" s="55">
        <v>3</v>
      </c>
      <c r="L100" s="55" t="str">
        <f>IF(J100="","&lt;"&amp;K100,J100&amp;"-"&amp;K100)</f>
        <v>0-3</v>
      </c>
      <c r="M100" s="47">
        <v>4</v>
      </c>
      <c r="N100" s="864"/>
      <c r="S100" s="30"/>
    </row>
    <row r="101" spans="1:19" ht="17.25" hidden="1" customHeight="1">
      <c r="A101" s="30" t="s">
        <v>149</v>
      </c>
      <c r="B101" s="30"/>
      <c r="C101" s="30"/>
      <c r="D101" s="30"/>
      <c r="E101" s="30"/>
      <c r="F101" s="30"/>
      <c r="G101" s="30"/>
      <c r="H101" s="864"/>
      <c r="I101" s="865"/>
      <c r="J101" s="47">
        <v>3</v>
      </c>
      <c r="K101" s="47">
        <v>5</v>
      </c>
      <c r="L101" s="55" t="str">
        <f>IF(J101="","&lt;"&amp;K101,J101&amp;"-"&amp;K101)</f>
        <v>3-5</v>
      </c>
      <c r="M101" s="47">
        <v>6</v>
      </c>
      <c r="N101" s="864"/>
    </row>
    <row r="102" spans="1:19" ht="17.25" hidden="1" customHeight="1">
      <c r="A102" s="30" t="s">
        <v>150</v>
      </c>
      <c r="B102" s="30"/>
      <c r="C102" s="30"/>
      <c r="D102" s="30"/>
      <c r="E102" s="30"/>
      <c r="F102" s="30"/>
      <c r="G102" s="30"/>
      <c r="H102" s="864"/>
      <c r="I102" s="865"/>
      <c r="J102" s="47">
        <v>5</v>
      </c>
      <c r="K102" s="47">
        <v>7</v>
      </c>
      <c r="L102" s="55" t="str">
        <f>IF(J102="","&lt;"&amp;K102,J102&amp;"-"&amp;K102)</f>
        <v>5-7</v>
      </c>
      <c r="M102" s="47">
        <v>8</v>
      </c>
      <c r="N102" s="864"/>
    </row>
    <row r="103" spans="1:19" ht="17.25" hidden="1" customHeight="1">
      <c r="A103" s="30"/>
      <c r="B103" s="30"/>
      <c r="C103" s="30"/>
      <c r="D103" s="30"/>
      <c r="E103" s="30"/>
      <c r="F103" s="30"/>
      <c r="G103" s="30"/>
      <c r="H103" s="864"/>
      <c r="I103" s="865"/>
      <c r="J103" s="47">
        <v>7</v>
      </c>
      <c r="K103" s="47"/>
      <c r="L103" s="55" t="str">
        <f>IF(K103="","&gt;"&amp;J103,IF(J103="","&lt;"&amp;K103,J103&amp;"-"&amp;K103))</f>
        <v>&gt;7</v>
      </c>
      <c r="M103" s="47">
        <v>10</v>
      </c>
      <c r="N103" s="864"/>
    </row>
    <row r="104" spans="1:19" ht="17.25" hidden="1" customHeight="1">
      <c r="A104" s="30"/>
      <c r="B104" s="30"/>
      <c r="C104" s="30"/>
      <c r="D104" s="30"/>
      <c r="E104" s="30"/>
      <c r="F104" s="30"/>
      <c r="G104" s="30"/>
      <c r="H104" s="864">
        <v>4</v>
      </c>
      <c r="I104" s="865" t="s">
        <v>98</v>
      </c>
      <c r="J104" s="56"/>
      <c r="K104" s="58"/>
      <c r="L104" s="149"/>
      <c r="M104" s="47">
        <f>N104</f>
        <v>10</v>
      </c>
      <c r="N104" s="864">
        <v>10</v>
      </c>
    </row>
    <row r="105" spans="1:19" s="29" customFormat="1" ht="17.25" hidden="1" customHeight="1">
      <c r="A105" s="30"/>
      <c r="B105" s="30"/>
      <c r="C105" s="30"/>
      <c r="D105" s="30"/>
      <c r="E105" s="30"/>
      <c r="F105" s="30"/>
      <c r="G105" s="30"/>
      <c r="H105" s="864"/>
      <c r="I105" s="865"/>
      <c r="J105" s="55">
        <v>0</v>
      </c>
      <c r="K105" s="55">
        <v>3</v>
      </c>
      <c r="L105" s="55" t="str">
        <f>IF(J105="","&lt;"&amp;K105,J105&amp;"-"&amp;K105)</f>
        <v>0-3</v>
      </c>
      <c r="M105" s="47">
        <v>4</v>
      </c>
      <c r="N105" s="864"/>
      <c r="S105" s="30"/>
    </row>
    <row r="106" spans="1:19" ht="17.25" hidden="1" customHeight="1">
      <c r="A106" s="30"/>
      <c r="B106" s="30"/>
      <c r="C106" s="30"/>
      <c r="D106" s="30"/>
      <c r="E106" s="30"/>
      <c r="F106" s="30"/>
      <c r="G106" s="30"/>
      <c r="H106" s="864"/>
      <c r="I106" s="865"/>
      <c r="J106" s="47">
        <v>3</v>
      </c>
      <c r="K106" s="47">
        <v>5</v>
      </c>
      <c r="L106" s="55" t="str">
        <f>IF(J106="","&lt;"&amp;K106,J106&amp;"-"&amp;K106)</f>
        <v>3-5</v>
      </c>
      <c r="M106" s="47">
        <v>6</v>
      </c>
      <c r="N106" s="864"/>
    </row>
    <row r="107" spans="1:19" ht="17.25" hidden="1" customHeight="1">
      <c r="A107" s="30"/>
      <c r="B107" s="30"/>
      <c r="C107" s="30"/>
      <c r="D107" s="30"/>
      <c r="E107" s="30"/>
      <c r="F107" s="30"/>
      <c r="G107" s="30"/>
      <c r="H107" s="864"/>
      <c r="I107" s="865"/>
      <c r="J107" s="47">
        <v>5</v>
      </c>
      <c r="K107" s="47">
        <v>7</v>
      </c>
      <c r="L107" s="55" t="str">
        <f>IF(J107="","&lt;"&amp;K107,J107&amp;"-"&amp;K107)</f>
        <v>5-7</v>
      </c>
      <c r="M107" s="47">
        <v>8</v>
      </c>
      <c r="N107" s="864"/>
    </row>
    <row r="108" spans="1:19" ht="17.25" hidden="1" customHeight="1">
      <c r="A108" s="30"/>
      <c r="B108" s="30"/>
      <c r="F108" s="30"/>
      <c r="G108" s="30"/>
      <c r="H108" s="864"/>
      <c r="I108" s="865"/>
      <c r="J108" s="47">
        <v>7</v>
      </c>
      <c r="K108" s="47"/>
      <c r="L108" s="55" t="str">
        <f>IF(K108="","&gt;"&amp;J108,IF(J108="","&lt;"&amp;K108,J108&amp;"-"&amp;K108))</f>
        <v>&gt;7</v>
      </c>
      <c r="M108" s="47">
        <v>10</v>
      </c>
      <c r="N108" s="864"/>
    </row>
    <row r="109" spans="1:19" ht="17.25" hidden="1" customHeight="1">
      <c r="H109" s="864">
        <v>5</v>
      </c>
      <c r="I109" s="865" t="s">
        <v>99</v>
      </c>
      <c r="J109" s="56"/>
      <c r="K109" s="58"/>
      <c r="L109" s="149"/>
      <c r="M109" s="47">
        <f>N109</f>
        <v>20</v>
      </c>
      <c r="N109" s="864">
        <v>20</v>
      </c>
      <c r="O109" s="151"/>
      <c r="S109" s="29"/>
    </row>
    <row r="110" spans="1:19" s="29" customFormat="1" ht="17.25" hidden="1" customHeight="1">
      <c r="H110" s="864"/>
      <c r="I110" s="865"/>
      <c r="J110" s="55">
        <v>0</v>
      </c>
      <c r="K110" s="55">
        <v>3</v>
      </c>
      <c r="L110" s="55" t="str">
        <f>IF(J110="","&lt;"&amp;K110,J110&amp;"-"&amp;K110)</f>
        <v>0-3</v>
      </c>
      <c r="M110" s="47">
        <v>0</v>
      </c>
      <c r="N110" s="864"/>
    </row>
    <row r="111" spans="1:19" ht="17.25" hidden="1" customHeight="1">
      <c r="A111" s="29" t="s">
        <v>151</v>
      </c>
      <c r="H111" s="864"/>
      <c r="I111" s="865"/>
      <c r="J111" s="47">
        <v>3</v>
      </c>
      <c r="K111" s="47">
        <v>5</v>
      </c>
      <c r="L111" s="55" t="str">
        <f>IF(J111="","&lt;"&amp;K111,J111&amp;"-"&amp;K111)</f>
        <v>3-5</v>
      </c>
      <c r="M111" s="47">
        <v>4</v>
      </c>
      <c r="N111" s="864"/>
      <c r="S111" s="29"/>
    </row>
    <row r="112" spans="1:19" ht="17.25" hidden="1" customHeight="1">
      <c r="H112" s="864"/>
      <c r="I112" s="865"/>
      <c r="J112" s="47">
        <v>5</v>
      </c>
      <c r="K112" s="47">
        <v>7</v>
      </c>
      <c r="L112" s="55" t="str">
        <f>IF(J112="","&lt;"&amp;K112,J112&amp;"-"&amp;K112)</f>
        <v>5-7</v>
      </c>
      <c r="M112" s="47">
        <v>6</v>
      </c>
      <c r="N112" s="864"/>
      <c r="S112" s="29"/>
    </row>
    <row r="113" spans="8:19" ht="17.25" hidden="1" customHeight="1">
      <c r="H113" s="864"/>
      <c r="I113" s="865"/>
      <c r="J113" s="47">
        <v>7</v>
      </c>
      <c r="K113" s="47">
        <v>10</v>
      </c>
      <c r="L113" s="55" t="str">
        <f>IF(K113="","&gt;"&amp;J113,IF(J113="","&lt;"&amp;K113,J113&amp;"-"&amp;K113))</f>
        <v>7-10</v>
      </c>
      <c r="M113" s="47">
        <v>8</v>
      </c>
      <c r="N113" s="864"/>
      <c r="S113" s="29"/>
    </row>
    <row r="114" spans="8:19" ht="17.25" hidden="1" customHeight="1">
      <c r="H114" s="864"/>
      <c r="I114" s="865"/>
      <c r="J114" s="47">
        <v>10</v>
      </c>
      <c r="K114" s="47"/>
      <c r="L114" s="55" t="str">
        <f>IF(K114="","&gt;"&amp;J114,IF(J114="","&lt;"&amp;K114,J114&amp;"-"&amp;K114))</f>
        <v>&gt;10</v>
      </c>
      <c r="M114" s="47">
        <v>10</v>
      </c>
      <c r="N114" s="864"/>
      <c r="S114" s="29"/>
    </row>
    <row r="115" spans="8:19" ht="17.25" hidden="1" customHeight="1">
      <c r="H115" s="866">
        <v>7</v>
      </c>
      <c r="I115" s="867" t="s">
        <v>100</v>
      </c>
      <c r="J115" s="74"/>
      <c r="K115" s="47" t="s">
        <v>48</v>
      </c>
      <c r="L115" s="55"/>
      <c r="M115" s="47">
        <v>0</v>
      </c>
      <c r="N115" s="864">
        <v>10</v>
      </c>
      <c r="S115" s="29"/>
    </row>
    <row r="116" spans="8:19" ht="17.25" hidden="1" customHeight="1">
      <c r="H116" s="866"/>
      <c r="I116" s="867"/>
      <c r="J116" s="47"/>
      <c r="K116" s="47" t="s">
        <v>104</v>
      </c>
      <c r="L116" s="55"/>
      <c r="M116" s="47">
        <v>10</v>
      </c>
      <c r="N116" s="864"/>
      <c r="S116" s="29"/>
    </row>
    <row r="117" spans="8:19" ht="17.25" hidden="1" customHeight="1">
      <c r="H117" s="864">
        <v>9</v>
      </c>
      <c r="I117" s="865" t="s">
        <v>152</v>
      </c>
      <c r="J117" s="47"/>
      <c r="K117" s="152" t="s">
        <v>153</v>
      </c>
      <c r="L117" s="55"/>
      <c r="M117" s="47">
        <v>6</v>
      </c>
      <c r="N117" s="864">
        <v>20</v>
      </c>
      <c r="S117" s="29"/>
    </row>
    <row r="118" spans="8:19" ht="17.25" hidden="1" customHeight="1">
      <c r="H118" s="864"/>
      <c r="I118" s="865"/>
      <c r="J118" s="47"/>
      <c r="K118" s="152" t="s">
        <v>154</v>
      </c>
      <c r="L118" s="55"/>
      <c r="M118" s="47">
        <v>8</v>
      </c>
      <c r="N118" s="864"/>
      <c r="S118" s="29"/>
    </row>
    <row r="119" spans="8:19" ht="17.25" hidden="1" customHeight="1">
      <c r="H119" s="864"/>
      <c r="I119" s="865"/>
      <c r="J119" s="47"/>
      <c r="K119" s="152" t="s">
        <v>155</v>
      </c>
      <c r="L119" s="55"/>
      <c r="M119" s="47">
        <v>8</v>
      </c>
      <c r="N119" s="864"/>
      <c r="S119" s="29"/>
    </row>
    <row r="120" spans="8:19" ht="17.25" hidden="1" customHeight="1">
      <c r="H120" s="864"/>
      <c r="I120" s="865"/>
      <c r="J120" s="47"/>
      <c r="K120" s="152" t="s">
        <v>156</v>
      </c>
      <c r="L120" s="55"/>
      <c r="M120" s="47">
        <v>8</v>
      </c>
      <c r="N120" s="864"/>
      <c r="S120" s="29"/>
    </row>
    <row r="121" spans="8:19" ht="17.25" hidden="1" customHeight="1">
      <c r="H121" s="864"/>
      <c r="I121" s="865"/>
      <c r="J121" s="47"/>
      <c r="K121" s="152" t="s">
        <v>157</v>
      </c>
      <c r="L121" s="55"/>
      <c r="M121" s="47">
        <v>8</v>
      </c>
      <c r="N121" s="864"/>
      <c r="S121" s="29"/>
    </row>
    <row r="122" spans="8:19" ht="17.25" hidden="1" customHeight="1">
      <c r="H122" s="864"/>
      <c r="I122" s="865"/>
      <c r="J122" s="47"/>
      <c r="K122" s="152" t="s">
        <v>158</v>
      </c>
      <c r="L122" s="55"/>
      <c r="M122" s="47">
        <v>10</v>
      </c>
      <c r="N122" s="864"/>
      <c r="S122" s="29"/>
    </row>
    <row r="123" spans="8:19" ht="17.25" hidden="1" customHeight="1">
      <c r="H123" s="864"/>
      <c r="I123" s="865"/>
      <c r="J123" s="47"/>
      <c r="K123" s="152" t="s">
        <v>159</v>
      </c>
      <c r="L123" s="55"/>
      <c r="M123" s="47">
        <v>10</v>
      </c>
      <c r="N123" s="864"/>
      <c r="S123" s="29"/>
    </row>
    <row r="124" spans="8:19" ht="17.25" hidden="1" customHeight="1">
      <c r="H124" s="864"/>
      <c r="I124" s="865"/>
      <c r="J124" s="47"/>
      <c r="K124" s="152" t="s">
        <v>160</v>
      </c>
      <c r="L124" s="55"/>
      <c r="M124" s="47">
        <v>10</v>
      </c>
      <c r="N124" s="864"/>
      <c r="S124" s="29"/>
    </row>
    <row r="125" spans="8:19" ht="17.25" hidden="1" customHeight="1">
      <c r="H125" s="144"/>
      <c r="I125" s="134" t="s">
        <v>161</v>
      </c>
      <c r="J125" s="135"/>
      <c r="K125" s="135"/>
      <c r="L125" s="128"/>
      <c r="M125" s="135"/>
      <c r="N125" s="153">
        <f>SUM(N92:N123)</f>
        <v>100</v>
      </c>
      <c r="S125" s="29"/>
    </row>
    <row r="126" spans="8:19" ht="17.25" hidden="1" customHeight="1">
      <c r="H126" s="154" t="s">
        <v>162</v>
      </c>
      <c r="I126" s="155" t="s">
        <v>163</v>
      </c>
      <c r="J126" s="33" t="s">
        <v>62</v>
      </c>
      <c r="K126" s="33" t="s">
        <v>55</v>
      </c>
      <c r="P126" s="156"/>
      <c r="Q126" s="156"/>
      <c r="R126" s="156"/>
      <c r="S126" s="156"/>
    </row>
    <row r="127" spans="8:19" ht="17.25" hidden="1" customHeight="1">
      <c r="H127" s="47">
        <v>1</v>
      </c>
      <c r="I127" s="157" t="s">
        <v>65</v>
      </c>
      <c r="J127" s="158">
        <v>0.35</v>
      </c>
      <c r="K127" s="68">
        <f>R44</f>
        <v>0</v>
      </c>
    </row>
    <row r="128" spans="8:19" ht="17.25" hidden="1" customHeight="1">
      <c r="H128" s="47">
        <v>2</v>
      </c>
      <c r="I128" s="157" t="s">
        <v>122</v>
      </c>
      <c r="J128" s="158">
        <v>0.25</v>
      </c>
      <c r="K128" s="47">
        <f>R67</f>
        <v>0</v>
      </c>
    </row>
    <row r="129" spans="8:22" ht="17.25" hidden="1" customHeight="1">
      <c r="H129" s="47">
        <v>3</v>
      </c>
      <c r="I129" s="157" t="s">
        <v>164</v>
      </c>
      <c r="J129" s="158">
        <v>0.2</v>
      </c>
      <c r="K129" s="47">
        <f>R90</f>
        <v>0</v>
      </c>
      <c r="P129" s="159"/>
    </row>
    <row r="130" spans="8:22" ht="17.25" hidden="1" customHeight="1">
      <c r="H130" s="47">
        <v>4</v>
      </c>
      <c r="I130" s="152" t="s">
        <v>144</v>
      </c>
      <c r="J130" s="160">
        <v>0.2</v>
      </c>
      <c r="K130" s="47">
        <f>R125</f>
        <v>0</v>
      </c>
      <c r="P130" s="159"/>
    </row>
    <row r="131" spans="8:22" ht="30" hidden="1" customHeight="1">
      <c r="H131" s="161">
        <v>5</v>
      </c>
      <c r="I131" s="162" t="s">
        <v>165</v>
      </c>
      <c r="J131" s="160">
        <f>SUM(J127:J130)</f>
        <v>1</v>
      </c>
      <c r="K131" s="163">
        <f>($J$127*$K$127+$J$128*$K$128+$J$129*$K$129+($J$130*$K$130))</f>
        <v>0</v>
      </c>
      <c r="P131" s="159"/>
      <c r="V131" s="164"/>
    </row>
  </sheetData>
  <sheetProtection password="857C" sheet="1" objects="1" scenarios="1"/>
  <mergeCells count="80">
    <mergeCell ref="H7:H11"/>
    <mergeCell ref="I7:I11"/>
    <mergeCell ref="J7:K7"/>
    <mergeCell ref="N7:N11"/>
    <mergeCell ref="H12:H17"/>
    <mergeCell ref="I12:I17"/>
    <mergeCell ref="J12:K12"/>
    <mergeCell ref="N12:N17"/>
    <mergeCell ref="P12:R12"/>
    <mergeCell ref="H18:H23"/>
    <mergeCell ref="I18:I23"/>
    <mergeCell ref="J18:K18"/>
    <mergeCell ref="N18:N23"/>
    <mergeCell ref="H24:H28"/>
    <mergeCell ref="I24:I28"/>
    <mergeCell ref="J24:K24"/>
    <mergeCell ref="N24:N28"/>
    <mergeCell ref="H29:H33"/>
    <mergeCell ref="I29:I33"/>
    <mergeCell ref="N29:N33"/>
    <mergeCell ref="H34:H38"/>
    <mergeCell ref="I34:I38"/>
    <mergeCell ref="J34:K34"/>
    <mergeCell ref="N34:N38"/>
    <mergeCell ref="H39:H43"/>
    <mergeCell ref="I39:I43"/>
    <mergeCell ref="N39:N43"/>
    <mergeCell ref="H46:H50"/>
    <mergeCell ref="I46:I50"/>
    <mergeCell ref="J46:K46"/>
    <mergeCell ref="N46:N50"/>
    <mergeCell ref="C49:E49"/>
    <mergeCell ref="H51:H55"/>
    <mergeCell ref="I51:I55"/>
    <mergeCell ref="J51:K51"/>
    <mergeCell ref="N51:N55"/>
    <mergeCell ref="C55:E55"/>
    <mergeCell ref="H56:H60"/>
    <mergeCell ref="I56:I60"/>
    <mergeCell ref="J56:K56"/>
    <mergeCell ref="N56:N60"/>
    <mergeCell ref="H61:H66"/>
    <mergeCell ref="I61:I66"/>
    <mergeCell ref="J61:K61"/>
    <mergeCell ref="N61:N66"/>
    <mergeCell ref="H69:H74"/>
    <mergeCell ref="I69:I74"/>
    <mergeCell ref="J69:K69"/>
    <mergeCell ref="N69:N74"/>
    <mergeCell ref="H75:H79"/>
    <mergeCell ref="I75:I79"/>
    <mergeCell ref="J75:K75"/>
    <mergeCell ref="N75:N79"/>
    <mergeCell ref="H80:H84"/>
    <mergeCell ref="I80:I84"/>
    <mergeCell ref="N80:N84"/>
    <mergeCell ref="H85:H89"/>
    <mergeCell ref="I85:I89"/>
    <mergeCell ref="N85:N89"/>
    <mergeCell ref="H92:H94"/>
    <mergeCell ref="I92:I94"/>
    <mergeCell ref="N92:N94"/>
    <mergeCell ref="H95:H98"/>
    <mergeCell ref="I95:I98"/>
    <mergeCell ref="N95:N98"/>
    <mergeCell ref="H99:H103"/>
    <mergeCell ref="I99:I103"/>
    <mergeCell ref="N99:N103"/>
    <mergeCell ref="H104:H108"/>
    <mergeCell ref="I104:I108"/>
    <mergeCell ref="N104:N108"/>
    <mergeCell ref="H117:H124"/>
    <mergeCell ref="I117:I124"/>
    <mergeCell ref="N117:N124"/>
    <mergeCell ref="H109:H114"/>
    <mergeCell ref="I109:I114"/>
    <mergeCell ref="N109:N114"/>
    <mergeCell ref="H115:H116"/>
    <mergeCell ref="I115:I116"/>
    <mergeCell ref="N115:N116"/>
  </mergeCells>
  <conditionalFormatting sqref="E13 D13:D18 E17:E18">
    <cfRule type="cellIs" dxfId="83" priority="2" operator="equal">
      <formula>0</formula>
    </cfRule>
  </conditionalFormatting>
  <conditionalFormatting sqref="E32">
    <cfRule type="cellIs" dxfId="82" priority="3" operator="lessThan">
      <formula>65</formula>
    </cfRule>
    <cfRule type="cellIs" dxfId="81" priority="4" operator="greaterThanOrEqual">
      <formula>65</formula>
    </cfRule>
  </conditionalFormatting>
  <conditionalFormatting sqref="D45">
    <cfRule type="cellIs" dxfId="80" priority="5" operator="greaterThanOrEqual">
      <formula>0</formula>
    </cfRule>
    <cfRule type="expression" dxfId="79" priority="6">
      <formula>LEN(TRIM(D45))=0</formula>
    </cfRule>
    <cfRule type="cellIs" dxfId="78" priority="7" operator="equal">
      <formula>0</formula>
    </cfRule>
  </conditionalFormatting>
  <conditionalFormatting sqref="Q131:S131">
    <cfRule type="colorScale" priority="8">
      <colorScale>
        <cfvo type="min"/>
        <cfvo type="percentile" val="50"/>
        <cfvo type="max"/>
        <color rgb="FFF8696B"/>
        <color rgb="FFFFEB84"/>
        <color rgb="FF63BE7B"/>
      </colorScale>
    </cfRule>
  </conditionalFormatting>
  <conditionalFormatting sqref="U10:U31">
    <cfRule type="cellIs" dxfId="77" priority="9" operator="equal">
      <formula>"x"</formula>
    </cfRule>
    <cfRule type="containsText" dxfId="76" priority="10" operator="containsText" text="x">
      <formula>NOT(ISERROR(SEARCH("x",U10)))</formula>
    </cfRule>
  </conditionalFormatting>
  <conditionalFormatting sqref="AB10:AP35 U32 AF36:AP40 U211:AP425 V50:AP50 V75:AP76 AH51:AP74 U50:U84 V82:AP84 V77:V81 AI77:AP81 AF85:AP89 U90:AP92 W206:AP210 X156:AP205 U127:AP155 T126:T171 AG41:AP49 A55:B66 F55:G66 C59:E65 S109:S125 AF93:AP126">
    <cfRule type="containsText" dxfId="75" priority="11" operator="containsText" text="x">
      <formula>NOT(ISERROR(SEARCH("x",A55)))</formula>
    </cfRule>
  </conditionalFormatting>
  <conditionalFormatting sqref="R129:S131">
    <cfRule type="colorScale" priority="12">
      <colorScale>
        <cfvo type="min"/>
        <cfvo type="percentile" val="50"/>
        <cfvo type="max"/>
        <color rgb="FFF8696B"/>
        <color rgb="FFFFEB84"/>
        <color rgb="FF63BE7B"/>
      </colorScale>
    </cfRule>
  </conditionalFormatting>
  <pageMargins left="0.69930555555555496" right="0.69930555555555496"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04"/>
  <sheetViews>
    <sheetView showGridLines="0" zoomScale="80" zoomScaleNormal="80" workbookViewId="0">
      <selection activeCell="C16" sqref="C16:F16"/>
    </sheetView>
  </sheetViews>
  <sheetFormatPr defaultRowHeight="15"/>
  <cols>
    <col min="1" max="1" width="9.140625" style="283" customWidth="1"/>
    <col min="2" max="2" width="56.140625" style="284" customWidth="1"/>
    <col min="3" max="3" width="14.7109375" style="284" customWidth="1"/>
    <col min="4" max="4" width="23.85546875" style="284" customWidth="1"/>
    <col min="5" max="5" width="16.140625" style="284" customWidth="1"/>
    <col min="6" max="6" width="28.42578125" style="284" customWidth="1"/>
    <col min="7" max="11" width="9.140625" style="284" customWidth="1"/>
    <col min="12" max="12" width="9.140625" style="285" hidden="1" customWidth="1"/>
    <col min="13" max="239" width="9.140625" style="284" customWidth="1"/>
    <col min="240" max="240" width="46" style="284" customWidth="1"/>
    <col min="241" max="241" width="16.5703125" style="284" customWidth="1"/>
    <col min="242" max="242" width="23.85546875" style="284" customWidth="1"/>
    <col min="243" max="243" width="16.140625" style="284" customWidth="1"/>
    <col min="244" max="244" width="16.42578125" style="284" customWidth="1"/>
    <col min="245" max="495" width="9.140625" style="284" customWidth="1"/>
    <col min="496" max="496" width="46" style="284" customWidth="1"/>
    <col min="497" max="497" width="16.5703125" style="284" customWidth="1"/>
    <col min="498" max="498" width="23.85546875" style="284" customWidth="1"/>
    <col min="499" max="499" width="16.140625" style="284" customWidth="1"/>
    <col min="500" max="500" width="16.42578125" style="284" customWidth="1"/>
    <col min="501" max="751" width="9.140625" style="284" customWidth="1"/>
    <col min="752" max="752" width="46" style="284" customWidth="1"/>
    <col min="753" max="753" width="16.5703125" style="284" customWidth="1"/>
    <col min="754" max="754" width="23.85546875" style="284" customWidth="1"/>
    <col min="755" max="755" width="16.140625" style="284" customWidth="1"/>
    <col min="756" max="756" width="16.42578125" style="284" customWidth="1"/>
    <col min="757" max="1007" width="9.140625" style="284" customWidth="1"/>
    <col min="1008" max="1008" width="46" style="284" customWidth="1"/>
    <col min="1009" max="1009" width="16.5703125" style="284" customWidth="1"/>
    <col min="1010" max="1010" width="23.85546875" style="284" customWidth="1"/>
    <col min="1011" max="1011" width="16.140625" style="284" customWidth="1"/>
    <col min="1012" max="1012" width="16.42578125" style="284" customWidth="1"/>
    <col min="1013" max="1025" width="9.140625" style="284" customWidth="1"/>
  </cols>
  <sheetData>
    <row r="1" spans="1:6" ht="15" customHeight="1">
      <c r="A1" s="286" t="s">
        <v>312</v>
      </c>
      <c r="B1" s="909" t="s">
        <v>313</v>
      </c>
      <c r="C1" s="909"/>
      <c r="D1" s="909"/>
      <c r="E1" s="909"/>
      <c r="F1" s="909"/>
    </row>
    <row r="2" spans="1:6">
      <c r="A2" s="287">
        <v>1</v>
      </c>
      <c r="B2" s="288" t="s">
        <v>314</v>
      </c>
      <c r="C2" s="904">
        <f>'Customer Details'!B8</f>
        <v>0</v>
      </c>
      <c r="D2" s="904"/>
      <c r="E2" s="904"/>
      <c r="F2" s="904"/>
    </row>
    <row r="3" spans="1:6">
      <c r="A3" s="287">
        <v>2</v>
      </c>
      <c r="B3" s="288" t="s">
        <v>315</v>
      </c>
      <c r="C3" s="904" t="str">
        <f>'Customer Details'!B9&amp;", "&amp;'Customer Details'!B10&amp;", "&amp;'Customer Details'!B11&amp;", "&amp;'Customer Details'!B12&amp;", "&amp;'Customer Details'!B13</f>
        <v xml:space="preserve">, , , , </v>
      </c>
      <c r="D3" s="904"/>
      <c r="E3" s="904"/>
      <c r="F3" s="904"/>
    </row>
    <row r="4" spans="1:6">
      <c r="A4" s="287">
        <v>3</v>
      </c>
      <c r="B4" s="288" t="s">
        <v>316</v>
      </c>
      <c r="C4" s="904">
        <f>'Customer Details'!F4</f>
        <v>0</v>
      </c>
      <c r="D4" s="904"/>
      <c r="E4" s="904"/>
      <c r="F4" s="904"/>
    </row>
    <row r="5" spans="1:6">
      <c r="A5" s="287">
        <v>4</v>
      </c>
      <c r="B5" s="288" t="s">
        <v>317</v>
      </c>
      <c r="C5" s="904">
        <f>'Customer Details'!F5</f>
        <v>0</v>
      </c>
      <c r="D5" s="904"/>
      <c r="E5" s="904"/>
      <c r="F5" s="904"/>
    </row>
    <row r="6" spans="1:6">
      <c r="A6" s="287">
        <v>5</v>
      </c>
      <c r="B6" s="288" t="s">
        <v>318</v>
      </c>
      <c r="C6" s="901">
        <f>'Customer Details'!F3</f>
        <v>0</v>
      </c>
      <c r="D6" s="901"/>
      <c r="E6" s="901"/>
      <c r="F6" s="901"/>
    </row>
    <row r="7" spans="1:6">
      <c r="A7" s="287">
        <v>6</v>
      </c>
      <c r="B7" s="289" t="s">
        <v>319</v>
      </c>
      <c r="C7" s="907" t="s">
        <v>104</v>
      </c>
      <c r="D7" s="907"/>
      <c r="E7" s="907"/>
      <c r="F7" s="907"/>
    </row>
    <row r="8" spans="1:6">
      <c r="A8" s="287">
        <v>7</v>
      </c>
      <c r="B8" s="289" t="s">
        <v>320</v>
      </c>
      <c r="C8" s="902">
        <v>0</v>
      </c>
      <c r="D8" s="902"/>
      <c r="E8" s="902"/>
      <c r="F8" s="902"/>
    </row>
    <row r="9" spans="1:6">
      <c r="A9" s="287">
        <v>8</v>
      </c>
      <c r="B9" s="289" t="s">
        <v>321</v>
      </c>
      <c r="C9" s="901">
        <f>IF(C7="Yes within Group",C6+C8,IF(C7="Yes to the same customer",C6-C8,C6))</f>
        <v>0</v>
      </c>
      <c r="D9" s="901"/>
      <c r="E9" s="901"/>
      <c r="F9" s="901"/>
    </row>
    <row r="10" spans="1:6">
      <c r="A10" s="287">
        <v>9</v>
      </c>
      <c r="B10" s="288" t="s">
        <v>322</v>
      </c>
      <c r="C10" s="908">
        <f>'Customer Details'!L5</f>
        <v>0</v>
      </c>
      <c r="D10" s="908"/>
      <c r="E10" s="908"/>
      <c r="F10" s="908"/>
    </row>
    <row r="11" spans="1:6">
      <c r="A11" s="287">
        <v>10</v>
      </c>
      <c r="B11" s="288" t="s">
        <v>323</v>
      </c>
      <c r="C11" s="904">
        <f>'Customer Details'!L4</f>
        <v>24</v>
      </c>
      <c r="D11" s="904"/>
      <c r="E11" s="904"/>
      <c r="F11" s="904"/>
    </row>
    <row r="12" spans="1:6">
      <c r="A12" s="287">
        <v>11</v>
      </c>
      <c r="B12" s="288" t="s">
        <v>111</v>
      </c>
      <c r="C12" s="905">
        <f>'Customer Details'!L3</f>
        <v>0.19500000000000001</v>
      </c>
      <c r="D12" s="905"/>
      <c r="E12" s="905"/>
      <c r="F12" s="905"/>
    </row>
    <row r="13" spans="1:6">
      <c r="A13" s="287">
        <v>12</v>
      </c>
      <c r="B13" s="288" t="s">
        <v>324</v>
      </c>
      <c r="C13" s="906" t="e">
        <f>IF('Customer Details'!F5="GST Program","Not Applicable",IF('Customer Details'!F5="Banking Programme","Not Applicable",Scorecard!E32))</f>
        <v>#DIV/0!</v>
      </c>
      <c r="D13" s="906"/>
      <c r="E13" s="906"/>
      <c r="F13" s="906"/>
    </row>
    <row r="14" spans="1:6">
      <c r="A14" s="287">
        <v>13</v>
      </c>
      <c r="B14" s="288" t="s">
        <v>325</v>
      </c>
      <c r="C14" s="906" t="e">
        <f>IF(C13&lt;65,0,Scorecard!D44)</f>
        <v>#DIV/0!</v>
      </c>
      <c r="D14" s="906"/>
      <c r="E14" s="906"/>
      <c r="F14" s="906"/>
    </row>
    <row r="15" spans="1:6">
      <c r="A15" s="287">
        <v>14</v>
      </c>
      <c r="B15" s="288" t="s">
        <v>326</v>
      </c>
      <c r="C15" s="904" t="str">
        <f>'Customer Details'!E9&amp;", "&amp;'Customer Details'!E10&amp;", "&amp;'Customer Details'!E11&amp;", "&amp;'Customer Details'!E12&amp;", "&amp;'Customer Details'!E13</f>
        <v xml:space="preserve">, , , , </v>
      </c>
      <c r="D15" s="904"/>
      <c r="E15" s="904"/>
      <c r="F15" s="904"/>
    </row>
    <row r="16" spans="1:6">
      <c r="A16" s="287">
        <v>15</v>
      </c>
      <c r="B16" s="288" t="s">
        <v>327</v>
      </c>
      <c r="C16" s="901">
        <f>'Customer Details'!C6</f>
        <v>0</v>
      </c>
      <c r="D16" s="901"/>
      <c r="E16" s="901"/>
      <c r="F16" s="901"/>
    </row>
    <row r="17" spans="1:12">
      <c r="A17" s="287">
        <v>16</v>
      </c>
      <c r="B17" s="288" t="s">
        <v>328</v>
      </c>
      <c r="C17" s="902"/>
      <c r="D17" s="902"/>
      <c r="E17" s="902"/>
      <c r="F17" s="902"/>
    </row>
    <row r="19" spans="1:12">
      <c r="A19" s="903" t="s">
        <v>329</v>
      </c>
      <c r="B19" s="903"/>
      <c r="C19" s="903"/>
      <c r="D19" s="291"/>
      <c r="E19" s="291"/>
      <c r="F19" s="291"/>
    </row>
    <row r="20" spans="1:12">
      <c r="A20" s="292" t="s">
        <v>312</v>
      </c>
      <c r="B20" s="293" t="s">
        <v>330</v>
      </c>
      <c r="C20" s="293" t="s">
        <v>331</v>
      </c>
      <c r="D20" s="900" t="s">
        <v>332</v>
      </c>
      <c r="E20" s="900"/>
      <c r="F20" s="900"/>
    </row>
    <row r="21" spans="1:12">
      <c r="A21" s="294">
        <v>1</v>
      </c>
      <c r="B21" s="295" t="s">
        <v>333</v>
      </c>
      <c r="C21" s="296" t="s">
        <v>135</v>
      </c>
      <c r="D21" s="879" t="s">
        <v>2311</v>
      </c>
      <c r="E21" s="879"/>
      <c r="F21" s="879"/>
      <c r="L21" s="849" t="s">
        <v>334</v>
      </c>
    </row>
    <row r="22" spans="1:12">
      <c r="A22" s="294">
        <v>2</v>
      </c>
      <c r="B22" s="295" t="s">
        <v>335</v>
      </c>
      <c r="C22" s="296" t="s">
        <v>334</v>
      </c>
      <c r="D22" s="898" t="s">
        <v>2307</v>
      </c>
      <c r="E22" s="898"/>
      <c r="F22" s="898"/>
      <c r="L22" s="849" t="s">
        <v>336</v>
      </c>
    </row>
    <row r="23" spans="1:12">
      <c r="A23" s="294">
        <v>3</v>
      </c>
      <c r="B23" s="295" t="s">
        <v>337</v>
      </c>
      <c r="C23" s="296" t="s">
        <v>135</v>
      </c>
      <c r="D23" s="898" t="s">
        <v>2308</v>
      </c>
      <c r="E23" s="898"/>
      <c r="F23" s="898"/>
      <c r="L23" s="849" t="s">
        <v>338</v>
      </c>
    </row>
    <row r="24" spans="1:12">
      <c r="A24" s="294">
        <v>4</v>
      </c>
      <c r="B24" s="295" t="s">
        <v>339</v>
      </c>
      <c r="C24" s="296" t="s">
        <v>135</v>
      </c>
      <c r="D24" s="898" t="s">
        <v>2309</v>
      </c>
      <c r="E24" s="898"/>
      <c r="F24" s="898"/>
      <c r="L24" s="849" t="s">
        <v>340</v>
      </c>
    </row>
    <row r="25" spans="1:12">
      <c r="A25" s="294">
        <v>5</v>
      </c>
      <c r="B25" s="295" t="s">
        <v>341</v>
      </c>
      <c r="C25" s="296" t="s">
        <v>334</v>
      </c>
      <c r="D25" s="899"/>
      <c r="E25" s="899"/>
      <c r="F25" s="899"/>
      <c r="L25" s="849" t="s">
        <v>135</v>
      </c>
    </row>
    <row r="26" spans="1:12">
      <c r="A26" s="294">
        <v>6</v>
      </c>
      <c r="B26" s="295" t="s">
        <v>342</v>
      </c>
      <c r="C26" s="296" t="s">
        <v>334</v>
      </c>
      <c r="D26" s="898"/>
      <c r="E26" s="898"/>
      <c r="F26" s="898"/>
      <c r="L26" s="849"/>
    </row>
    <row r="27" spans="1:12">
      <c r="A27" s="294">
        <v>7</v>
      </c>
      <c r="B27" s="295" t="s">
        <v>343</v>
      </c>
      <c r="C27" s="296" t="s">
        <v>336</v>
      </c>
      <c r="D27" s="899" t="s">
        <v>2310</v>
      </c>
      <c r="E27" s="899"/>
      <c r="F27" s="899"/>
      <c r="L27" s="849" t="s">
        <v>344</v>
      </c>
    </row>
    <row r="28" spans="1:12">
      <c r="A28" s="294">
        <v>8</v>
      </c>
      <c r="B28" s="295" t="s">
        <v>345</v>
      </c>
      <c r="C28" s="296" t="s">
        <v>334</v>
      </c>
      <c r="D28" s="898"/>
      <c r="E28" s="898"/>
      <c r="F28" s="898"/>
      <c r="L28" s="849" t="s">
        <v>346</v>
      </c>
    </row>
    <row r="29" spans="1:12">
      <c r="A29" s="294">
        <v>9</v>
      </c>
      <c r="B29" s="295" t="s">
        <v>347</v>
      </c>
      <c r="C29" s="296" t="s">
        <v>135</v>
      </c>
      <c r="D29" s="898"/>
      <c r="E29" s="898"/>
      <c r="F29" s="898"/>
      <c r="L29" s="849" t="s">
        <v>348</v>
      </c>
    </row>
    <row r="30" spans="1:12">
      <c r="A30" s="294">
        <v>10</v>
      </c>
      <c r="B30" s="295" t="s">
        <v>349</v>
      </c>
      <c r="C30" s="296" t="s">
        <v>135</v>
      </c>
      <c r="D30" s="898"/>
      <c r="E30" s="898"/>
      <c r="F30" s="898"/>
    </row>
    <row r="31" spans="1:12">
      <c r="A31" s="294">
        <v>11</v>
      </c>
      <c r="B31" s="295" t="s">
        <v>350</v>
      </c>
      <c r="C31" s="296" t="s">
        <v>334</v>
      </c>
      <c r="D31" s="899"/>
      <c r="E31" s="899"/>
      <c r="F31" s="899"/>
    </row>
    <row r="32" spans="1:12">
      <c r="A32" s="294">
        <v>12</v>
      </c>
      <c r="B32" s="295" t="s">
        <v>351</v>
      </c>
      <c r="C32" s="296" t="s">
        <v>334</v>
      </c>
      <c r="D32" s="898" t="s">
        <v>2316</v>
      </c>
      <c r="E32" s="898"/>
      <c r="F32" s="898"/>
    </row>
    <row r="33" spans="1:12">
      <c r="A33" s="294">
        <v>13</v>
      </c>
      <c r="B33" s="295" t="s">
        <v>352</v>
      </c>
      <c r="C33" s="296" t="s">
        <v>334</v>
      </c>
      <c r="D33" s="898" t="s">
        <v>2317</v>
      </c>
      <c r="E33" s="898"/>
      <c r="F33" s="898"/>
    </row>
    <row r="34" spans="1:12">
      <c r="A34" s="294">
        <v>14</v>
      </c>
      <c r="B34" s="295" t="s">
        <v>353</v>
      </c>
      <c r="C34" s="297" t="s">
        <v>354</v>
      </c>
      <c r="D34" s="298"/>
      <c r="E34" s="299"/>
      <c r="F34" s="300"/>
    </row>
    <row r="35" spans="1:12" s="304" customFormat="1">
      <c r="A35" s="301">
        <v>15</v>
      </c>
      <c r="B35" s="302" t="s">
        <v>355</v>
      </c>
      <c r="C35" s="303" t="s">
        <v>344</v>
      </c>
      <c r="D35" s="899"/>
      <c r="E35" s="899"/>
      <c r="F35" s="899"/>
      <c r="L35" s="305"/>
    </row>
    <row r="36" spans="1:12" s="304" customFormat="1">
      <c r="A36" s="306"/>
      <c r="B36" s="307"/>
      <c r="C36" s="308"/>
      <c r="D36" s="309"/>
      <c r="E36" s="309"/>
      <c r="F36" s="309"/>
      <c r="L36" s="305"/>
    </row>
    <row r="37" spans="1:12">
      <c r="A37" s="310" t="s">
        <v>356</v>
      </c>
      <c r="B37" s="310"/>
      <c r="C37" s="311"/>
      <c r="D37" s="311"/>
      <c r="E37" s="311"/>
      <c r="F37" s="311"/>
    </row>
    <row r="38" spans="1:12" s="304" customFormat="1">
      <c r="A38" s="292" t="s">
        <v>312</v>
      </c>
      <c r="B38" s="293" t="s">
        <v>330</v>
      </c>
      <c r="C38" s="293" t="s">
        <v>331</v>
      </c>
      <c r="D38" s="900" t="s">
        <v>332</v>
      </c>
      <c r="E38" s="900"/>
      <c r="F38" s="900"/>
      <c r="L38" s="305"/>
    </row>
    <row r="39" spans="1:12" s="304" customFormat="1" ht="15" customHeight="1">
      <c r="A39" s="294">
        <v>1</v>
      </c>
      <c r="B39" s="295" t="s">
        <v>357</v>
      </c>
      <c r="C39" s="312" t="s">
        <v>2294</v>
      </c>
      <c r="D39" s="880" t="s">
        <v>358</v>
      </c>
      <c r="E39" s="880"/>
      <c r="F39" s="880"/>
      <c r="L39" s="305"/>
    </row>
    <row r="40" spans="1:12" s="304" customFormat="1">
      <c r="A40" s="294">
        <v>2</v>
      </c>
      <c r="B40" s="295" t="s">
        <v>359</v>
      </c>
      <c r="C40" s="313" t="s">
        <v>48</v>
      </c>
      <c r="D40" s="898" t="s">
        <v>2295</v>
      </c>
      <c r="E40" s="898"/>
      <c r="F40" s="898"/>
      <c r="L40" s="305"/>
    </row>
    <row r="41" spans="1:12" s="304" customFormat="1">
      <c r="A41" s="294">
        <v>3</v>
      </c>
      <c r="B41" s="295" t="s">
        <v>360</v>
      </c>
      <c r="C41" s="313" t="s">
        <v>104</v>
      </c>
      <c r="D41" s="898" t="s">
        <v>2296</v>
      </c>
      <c r="E41" s="898"/>
      <c r="F41" s="898"/>
      <c r="L41" s="305"/>
    </row>
    <row r="42" spans="1:12" s="304" customFormat="1">
      <c r="A42" s="294">
        <v>4</v>
      </c>
      <c r="B42" s="295" t="s">
        <v>361</v>
      </c>
      <c r="C42" s="313" t="s">
        <v>104</v>
      </c>
      <c r="D42" s="898"/>
      <c r="E42" s="898"/>
      <c r="F42" s="898"/>
      <c r="L42" s="305"/>
    </row>
    <row r="43" spans="1:12" s="304" customFormat="1">
      <c r="A43" s="294">
        <v>5</v>
      </c>
      <c r="B43" s="295" t="s">
        <v>362</v>
      </c>
      <c r="C43" s="313" t="s">
        <v>104</v>
      </c>
      <c r="D43" s="898"/>
      <c r="E43" s="898"/>
      <c r="F43" s="898"/>
      <c r="L43" s="305"/>
    </row>
    <row r="44" spans="1:12" s="304" customFormat="1">
      <c r="A44" s="294">
        <v>6</v>
      </c>
      <c r="B44" s="295" t="s">
        <v>363</v>
      </c>
      <c r="C44" s="898"/>
      <c r="D44" s="898"/>
      <c r="E44" s="898"/>
      <c r="F44" s="898"/>
      <c r="L44" s="305"/>
    </row>
    <row r="45" spans="1:12" s="304" customFormat="1">
      <c r="A45" s="306"/>
      <c r="B45" s="307"/>
      <c r="C45" s="308"/>
      <c r="D45" s="309"/>
      <c r="E45" s="309"/>
      <c r="F45" s="309"/>
      <c r="L45" s="305"/>
    </row>
    <row r="46" spans="1:12">
      <c r="A46" s="310" t="s">
        <v>364</v>
      </c>
      <c r="B46" s="310"/>
      <c r="C46" s="311"/>
      <c r="D46" s="311"/>
      <c r="E46" s="311"/>
      <c r="F46" s="311"/>
    </row>
    <row r="47" spans="1:12" ht="45" customHeight="1">
      <c r="A47" s="314" t="s">
        <v>312</v>
      </c>
      <c r="B47" s="315" t="s">
        <v>365</v>
      </c>
      <c r="C47" s="897" t="s">
        <v>366</v>
      </c>
      <c r="D47" s="897"/>
      <c r="E47" s="897"/>
      <c r="F47" s="897"/>
    </row>
    <row r="48" spans="1:12" ht="111.75" customHeight="1">
      <c r="A48" s="316">
        <v>1</v>
      </c>
      <c r="B48" s="317" t="s">
        <v>367</v>
      </c>
      <c r="C48" s="888" t="s">
        <v>2297</v>
      </c>
      <c r="D48" s="888"/>
      <c r="E48" s="888"/>
      <c r="F48" s="888"/>
    </row>
    <row r="49" spans="1:12" ht="170.25" customHeight="1">
      <c r="A49" s="316">
        <v>2</v>
      </c>
      <c r="B49" s="317" t="s">
        <v>368</v>
      </c>
      <c r="C49" s="888" t="s">
        <v>2312</v>
      </c>
      <c r="D49" s="888"/>
      <c r="E49" s="888"/>
      <c r="F49" s="888"/>
    </row>
    <row r="50" spans="1:12" ht="56.25" customHeight="1">
      <c r="A50" s="316">
        <v>3</v>
      </c>
      <c r="B50" s="317" t="s">
        <v>99</v>
      </c>
      <c r="C50" s="888" t="s">
        <v>2298</v>
      </c>
      <c r="D50" s="888"/>
      <c r="E50" s="888"/>
      <c r="F50" s="888"/>
    </row>
    <row r="51" spans="1:12" ht="276.75" customHeight="1">
      <c r="A51" s="316">
        <v>4</v>
      </c>
      <c r="B51" s="317" t="s">
        <v>369</v>
      </c>
      <c r="C51" s="888" t="s">
        <v>2299</v>
      </c>
      <c r="D51" s="888"/>
      <c r="E51" s="888"/>
      <c r="F51" s="888"/>
    </row>
    <row r="52" spans="1:12" ht="169.5" customHeight="1">
      <c r="A52" s="890">
        <v>5</v>
      </c>
      <c r="B52" s="891" t="s">
        <v>370</v>
      </c>
      <c r="C52" s="896" t="str">
        <f>IFERROR(("Top line for the Business is Changed from Rs "&amp;TRUNC('Fin-1'!C11,2)&amp;" Lacs in FY 18 to Rs "&amp;TRUNC('Fin-1'!D11,2)&amp;" Lacs in FY 19 with Annualised Sales of Rs "&amp;TRUNC(VAT!B16,2)&amp;" Lacs in FY 20
EBIDTA for the Business is Changed from Rs "&amp;TRUNC('Fin-1'!C26,2)&amp;" Lacs in FY 18 to Rs "&amp;TRUNC('Fin-1'!D26,2)&amp;" Lacs in FY 19
Debt/Equity is of "&amp;TRUNC('Fin-1'!D105,2)&amp;" with Interest Coverage is of "&amp;TRUNC('Fin-1'!D107,2)&amp;"
Debtors is of "&amp;TRUNC('Fin-1'!D108,0)&amp;" Days with NWC cycle at "&amp;TRUNC('Fin-1'!D111,0)&amp;" Days.
DSCR is of "&amp;TRUNC(IF(DSCR!C39&gt;1,DSCR!C39,DSCR!C40),2)&amp;" under "&amp;'Customer Details'!F5),"")</f>
        <v/>
      </c>
      <c r="D52" s="896"/>
      <c r="E52" s="896"/>
      <c r="F52" s="896"/>
    </row>
    <row r="53" spans="1:12" ht="26.25" customHeight="1">
      <c r="A53" s="890"/>
      <c r="B53" s="891"/>
      <c r="C53" s="895" t="s">
        <v>371</v>
      </c>
      <c r="D53" s="895"/>
      <c r="E53" s="895"/>
      <c r="F53" s="895"/>
    </row>
    <row r="54" spans="1:12" ht="58.5" customHeight="1">
      <c r="A54" s="316">
        <v>6</v>
      </c>
      <c r="B54" s="317" t="s">
        <v>372</v>
      </c>
      <c r="C54" s="888" t="s">
        <v>2300</v>
      </c>
      <c r="D54" s="888"/>
      <c r="E54" s="888"/>
      <c r="F54" s="888"/>
    </row>
    <row r="55" spans="1:12" ht="108" customHeight="1">
      <c r="A55" s="890">
        <v>7</v>
      </c>
      <c r="B55" s="891" t="s">
        <v>373</v>
      </c>
      <c r="C55" s="892" t="str">
        <f ca="1">IFERROR(("Customer has maintained "&amp;COUNTIF(Banking!J23:N88,"CC/OD Account")&amp;" CC/OD Account with Overall limit of Rs "&amp;SUMIF(Banking!J23:JN89,"CC/OD Account",Banking!M23:M75)&amp;" Lacs and has "&amp;COUNTIF(Banking!J23:M88,"Current Account ")&amp;" Current Account(s).
Avg Peak CC/OD utilisation is at "&amp;TRUNC(Banking!H10*100,2)&amp;"% for past 6 Months. Inward Bounces is at "&amp;TRUNC(Banking!M9*100,2)&amp;"% with Outward Bounces of "&amp;TRUNC(Banking!N9*100,2)&amp;"%.
BTO is of "&amp;TRUNC(Banking!S9*100)&amp;"%"),"")</f>
        <v/>
      </c>
      <c r="D55" s="893"/>
      <c r="E55" s="893"/>
      <c r="F55" s="894"/>
    </row>
    <row r="56" spans="1:12" ht="26.25" customHeight="1">
      <c r="A56" s="890"/>
      <c r="B56" s="891"/>
      <c r="C56" s="895" t="s">
        <v>374</v>
      </c>
      <c r="D56" s="895"/>
      <c r="E56" s="895"/>
      <c r="F56" s="895"/>
    </row>
    <row r="57" spans="1:12" ht="126" customHeight="1">
      <c r="A57" s="890">
        <v>8</v>
      </c>
      <c r="B57" s="891" t="s">
        <v>375</v>
      </c>
      <c r="C57" s="892" t="str">
        <f ca="1">IFERROR(("Customer has maintained "&amp;COUNTIF(Banking!J23:M88,"CC/OD Account")&amp;" CC/OD Account with Overall limit of Rs "&amp;SUMIF(Banking!J23:M89,"CC/OD Account",Banking!M23:M89)&amp;" Lacs
Customer has "&amp;COUNTIF('Existing Loans'!X4:X135,C2&amp;"Unsecured")&amp;" Unsecured Loans with total Sanctioned Amount of Rs "&amp;SUMIF('Existing Loans'!X4:X135,C2&amp;"Unsecured",'Existing Loans'!G4:G135)&amp;" Lacs and has "&amp;COUNTIF('Existing Loans'!X4:X135,C2&amp;"Secured")&amp;" Secured Loans with total Sanctioned Amount of Rs "&amp;SUMIF('Existing Loans'!X4:X135,C2&amp;"Secured",'Existing Loans'!G4:G135)&amp;" Lacs
Avg MOB for Active Loans is "&amp;TRUNC(AVERAGEIF('Existing Loans'!B4:B135,C2,'Existing Loans'!M4:M135),2)&amp;" Months and No of Bounces found in Last 6 Months is  "&amp;COUNTIF('Existing Loans'!Q4:V135,"Bounce")&amp;"
All Other Loan are either in name of Group Company or in Name of Partner/Director "),"")</f>
        <v/>
      </c>
      <c r="D57" s="893"/>
      <c r="E57" s="893"/>
      <c r="F57" s="894"/>
    </row>
    <row r="58" spans="1:12" ht="27" customHeight="1">
      <c r="A58" s="890"/>
      <c r="B58" s="891"/>
      <c r="C58" s="895" t="s">
        <v>376</v>
      </c>
      <c r="D58" s="895"/>
      <c r="E58" s="895"/>
      <c r="F58" s="895"/>
    </row>
    <row r="59" spans="1:12" s="318" customFormat="1" ht="72" customHeight="1">
      <c r="A59" s="316">
        <v>9</v>
      </c>
      <c r="B59" s="317" t="s">
        <v>377</v>
      </c>
      <c r="C59" s="888"/>
      <c r="D59" s="888"/>
      <c r="E59" s="888"/>
      <c r="F59" s="888"/>
      <c r="L59" s="319"/>
    </row>
    <row r="60" spans="1:12" s="318" customFormat="1">
      <c r="A60" s="887" t="s">
        <v>378</v>
      </c>
      <c r="B60" s="887"/>
      <c r="C60" s="320"/>
      <c r="D60" s="320"/>
      <c r="E60" s="320"/>
      <c r="F60" s="320"/>
      <c r="L60" s="319"/>
    </row>
    <row r="61" spans="1:12" s="318" customFormat="1">
      <c r="A61" s="321" t="s">
        <v>312</v>
      </c>
      <c r="B61" s="889" t="s">
        <v>379</v>
      </c>
      <c r="C61" s="889"/>
      <c r="D61" s="889"/>
      <c r="E61" s="889"/>
      <c r="F61" s="889"/>
      <c r="L61" s="319"/>
    </row>
    <row r="62" spans="1:12" s="318" customFormat="1" ht="25.5" customHeight="1">
      <c r="A62" s="294">
        <v>1</v>
      </c>
      <c r="B62" s="885" t="s">
        <v>2301</v>
      </c>
      <c r="C62" s="885"/>
      <c r="D62" s="885"/>
      <c r="E62" s="885"/>
      <c r="F62" s="885"/>
      <c r="L62" s="319"/>
    </row>
    <row r="63" spans="1:12" s="318" customFormat="1" ht="30" customHeight="1">
      <c r="A63" s="294">
        <v>2</v>
      </c>
      <c r="B63" s="885" t="s">
        <v>2302</v>
      </c>
      <c r="C63" s="885"/>
      <c r="D63" s="885"/>
      <c r="E63" s="885"/>
      <c r="F63" s="885"/>
      <c r="L63" s="319"/>
    </row>
    <row r="64" spans="1:12" s="318" customFormat="1" ht="32.25" customHeight="1">
      <c r="A64" s="294">
        <v>3</v>
      </c>
      <c r="B64" s="885" t="s">
        <v>2303</v>
      </c>
      <c r="C64" s="885"/>
      <c r="D64" s="885"/>
      <c r="E64" s="885"/>
      <c r="F64" s="885"/>
      <c r="L64" s="319"/>
    </row>
    <row r="65" spans="1:12" s="318" customFormat="1" ht="33.75" customHeight="1">
      <c r="A65" s="294">
        <v>4</v>
      </c>
      <c r="B65" s="885" t="s">
        <v>2304</v>
      </c>
      <c r="C65" s="885"/>
      <c r="D65" s="885"/>
      <c r="E65" s="885"/>
      <c r="F65" s="885"/>
      <c r="L65" s="319"/>
    </row>
    <row r="66" spans="1:12" s="318" customFormat="1" ht="28.5" customHeight="1">
      <c r="A66" s="294">
        <v>5</v>
      </c>
      <c r="B66" s="885"/>
      <c r="C66" s="885"/>
      <c r="D66" s="885"/>
      <c r="E66" s="885"/>
      <c r="F66" s="885"/>
      <c r="L66" s="319"/>
    </row>
    <row r="67" spans="1:12" s="318" customFormat="1" ht="30.75" customHeight="1">
      <c r="A67" s="294">
        <v>6</v>
      </c>
      <c r="B67" s="886"/>
      <c r="C67" s="886"/>
      <c r="D67" s="886"/>
      <c r="E67" s="886"/>
      <c r="F67" s="886"/>
      <c r="L67" s="319"/>
    </row>
    <row r="68" spans="1:12" s="318" customFormat="1">
      <c r="A68" s="887" t="s">
        <v>380</v>
      </c>
      <c r="B68" s="887"/>
      <c r="C68" s="320"/>
      <c r="D68" s="320"/>
      <c r="E68" s="320"/>
      <c r="F68" s="320"/>
      <c r="L68" s="319"/>
    </row>
    <row r="69" spans="1:12" s="318" customFormat="1" ht="15" customHeight="1">
      <c r="A69" s="321" t="s">
        <v>312</v>
      </c>
      <c r="B69" s="322" t="s">
        <v>381</v>
      </c>
      <c r="C69" s="884" t="s">
        <v>382</v>
      </c>
      <c r="D69" s="884"/>
      <c r="E69" s="884"/>
      <c r="F69" s="884"/>
      <c r="L69" s="319"/>
    </row>
    <row r="70" spans="1:12" s="318" customFormat="1" ht="51.75" customHeight="1">
      <c r="A70" s="294">
        <v>1</v>
      </c>
      <c r="B70" s="312"/>
      <c r="C70" s="880"/>
      <c r="D70" s="880"/>
      <c r="E70" s="880"/>
      <c r="F70" s="880"/>
      <c r="L70" s="319"/>
    </row>
    <row r="71" spans="1:12" s="318" customFormat="1" ht="39.75" customHeight="1">
      <c r="A71" s="294">
        <v>2</v>
      </c>
      <c r="B71" s="313"/>
      <c r="C71" s="879"/>
      <c r="D71" s="879"/>
      <c r="E71" s="879"/>
      <c r="F71" s="879"/>
      <c r="L71" s="319"/>
    </row>
    <row r="72" spans="1:12" s="318" customFormat="1" ht="39.75" customHeight="1">
      <c r="A72" s="294">
        <v>3</v>
      </c>
      <c r="B72" s="323"/>
      <c r="C72" s="879"/>
      <c r="D72" s="879"/>
      <c r="E72" s="879"/>
      <c r="F72" s="879"/>
      <c r="L72" s="319"/>
    </row>
    <row r="73" spans="1:12" s="318" customFormat="1" ht="39.75" customHeight="1">
      <c r="A73" s="294">
        <v>4</v>
      </c>
      <c r="B73" s="313"/>
      <c r="C73" s="879"/>
      <c r="D73" s="879"/>
      <c r="E73" s="879"/>
      <c r="F73" s="879"/>
      <c r="L73" s="319"/>
    </row>
    <row r="74" spans="1:12" s="318" customFormat="1">
      <c r="A74" s="283"/>
      <c r="B74" s="324"/>
      <c r="C74" s="881" t="str">
        <f>IFERROR(VLOOKUP(B74,'Deviation Sheet'!B1:C29,3,0),"")</f>
        <v/>
      </c>
      <c r="D74" s="881"/>
      <c r="E74" s="881"/>
      <c r="F74" s="881"/>
      <c r="L74" s="319"/>
    </row>
    <row r="75" spans="1:12" s="318" customFormat="1">
      <c r="A75" s="882" t="s">
        <v>383</v>
      </c>
      <c r="B75" s="882"/>
      <c r="C75" s="325"/>
      <c r="D75" s="311"/>
      <c r="E75" s="311"/>
      <c r="F75" s="311"/>
      <c r="L75" s="319"/>
    </row>
    <row r="76" spans="1:12" s="318" customFormat="1" ht="15" customHeight="1">
      <c r="A76" s="321" t="s">
        <v>312</v>
      </c>
      <c r="B76" s="322" t="s">
        <v>384</v>
      </c>
      <c r="C76" s="314" t="s">
        <v>385</v>
      </c>
      <c r="D76" s="326" t="s">
        <v>386</v>
      </c>
      <c r="E76" s="883" t="s">
        <v>387</v>
      </c>
      <c r="F76" s="883"/>
      <c r="L76" s="319"/>
    </row>
    <row r="77" spans="1:12" s="318" customFormat="1" ht="125.25" customHeight="1">
      <c r="A77" s="294">
        <v>1</v>
      </c>
      <c r="B77" s="327" t="s">
        <v>389</v>
      </c>
      <c r="C77" s="328" t="str">
        <f>VLOOKUP(B77,'Deviation Sheet'!$C$2:$D$29,2,0)</f>
        <v>ZCM</v>
      </c>
      <c r="D77" s="329" t="str">
        <f>VLOOKUP(B77,'Deviation Sheet'!$C$2:$E$29,3,0)</f>
        <v>Yes</v>
      </c>
      <c r="E77" s="880" t="s">
        <v>2306</v>
      </c>
      <c r="F77" s="880"/>
      <c r="L77" s="319"/>
    </row>
    <row r="78" spans="1:12" s="318" customFormat="1" ht="95.25" customHeight="1">
      <c r="A78" s="294">
        <v>2</v>
      </c>
      <c r="B78" s="327" t="s">
        <v>20</v>
      </c>
      <c r="C78" s="328" t="str">
        <f>VLOOKUP(B78,'Deviation Sheet'!$C$2:$D$29,2,0)</f>
        <v>NCM</v>
      </c>
      <c r="D78" s="329" t="str">
        <f>VLOOKUP(B78,'Deviation Sheet'!$C$2:$E$29,3,0)</f>
        <v>Yes</v>
      </c>
      <c r="E78" s="880" t="s">
        <v>2305</v>
      </c>
      <c r="F78" s="880"/>
      <c r="L78" s="319"/>
    </row>
    <row r="79" spans="1:12" s="318" customFormat="1" ht="39.75" customHeight="1">
      <c r="A79" s="294">
        <v>3</v>
      </c>
      <c r="B79" s="327"/>
      <c r="C79" s="328" t="e">
        <f>VLOOKUP(B79,'Deviation Sheet'!$C$2:$D$29,2,0)</f>
        <v>#N/A</v>
      </c>
      <c r="D79" s="329" t="e">
        <f>VLOOKUP(B79,'Deviation Sheet'!$C$2:$E$29,3,0)</f>
        <v>#N/A</v>
      </c>
      <c r="E79" s="879"/>
      <c r="F79" s="879"/>
      <c r="L79" s="319"/>
    </row>
    <row r="80" spans="1:12" s="318" customFormat="1" ht="39.75" customHeight="1">
      <c r="A80" s="294">
        <v>4</v>
      </c>
      <c r="B80" s="327"/>
      <c r="C80" s="328" t="e">
        <f>VLOOKUP(B80,'Deviation Sheet'!$C$2:$D$29,2,0)</f>
        <v>#N/A</v>
      </c>
      <c r="D80" s="329" t="e">
        <f>VLOOKUP(B80,'Deviation Sheet'!$C$2:$E$29,3,0)</f>
        <v>#N/A</v>
      </c>
      <c r="E80" s="879"/>
      <c r="F80" s="879"/>
      <c r="L80" s="319"/>
    </row>
    <row r="81" spans="1:12" s="318" customFormat="1" ht="39.75" customHeight="1">
      <c r="A81" s="294">
        <v>5</v>
      </c>
      <c r="B81" s="327"/>
      <c r="C81" s="328" t="e">
        <f>VLOOKUP(B81,'Deviation Sheet'!$C$2:$D$29,2,0)</f>
        <v>#N/A</v>
      </c>
      <c r="D81" s="329" t="e">
        <f>VLOOKUP(B81,'Deviation Sheet'!$C$2:$E$29,3,0)</f>
        <v>#N/A</v>
      </c>
      <c r="E81" s="879"/>
      <c r="F81" s="879"/>
      <c r="L81" s="319"/>
    </row>
    <row r="82" spans="1:12" s="318" customFormat="1" ht="39.75" customHeight="1">
      <c r="A82" s="294">
        <v>6</v>
      </c>
      <c r="B82" s="327"/>
      <c r="C82" s="328" t="e">
        <f>VLOOKUP(B82,'Deviation Sheet'!$C$2:$D$29,2,0)</f>
        <v>#N/A</v>
      </c>
      <c r="D82" s="329" t="e">
        <f>VLOOKUP(B82,'Deviation Sheet'!$C$2:$E$29,3,0)</f>
        <v>#N/A</v>
      </c>
      <c r="E82" s="879"/>
      <c r="F82" s="879"/>
      <c r="L82" s="319"/>
    </row>
    <row r="83" spans="1:12" s="318" customFormat="1" ht="39.75" customHeight="1">
      <c r="A83" s="294">
        <v>7</v>
      </c>
      <c r="B83" s="327"/>
      <c r="C83" s="328" t="e">
        <f>VLOOKUP(B83,'Deviation Sheet'!$C$2:$D$29,2,0)</f>
        <v>#N/A</v>
      </c>
      <c r="D83" s="329" t="e">
        <f>VLOOKUP(B83,'Deviation Sheet'!$C$2:$E$29,3,0)</f>
        <v>#N/A</v>
      </c>
      <c r="E83" s="879"/>
      <c r="F83" s="879"/>
      <c r="L83" s="319"/>
    </row>
    <row r="84" spans="1:12" s="318" customFormat="1" ht="39.75" customHeight="1">
      <c r="A84" s="294">
        <v>8</v>
      </c>
      <c r="B84" s="327"/>
      <c r="C84" s="328" t="e">
        <f>VLOOKUP(B84,'Deviation Sheet'!$C$2:$D$29,2,0)</f>
        <v>#N/A</v>
      </c>
      <c r="D84" s="329" t="e">
        <f>VLOOKUP(B84,'Deviation Sheet'!$C$2:$E$29,3,0)</f>
        <v>#N/A</v>
      </c>
      <c r="E84" s="879"/>
      <c r="F84" s="879"/>
      <c r="L84" s="319"/>
    </row>
    <row r="85" spans="1:12" s="318" customFormat="1" ht="39.75" customHeight="1">
      <c r="A85" s="294">
        <v>9</v>
      </c>
      <c r="B85" s="327"/>
      <c r="C85" s="328" t="e">
        <f>VLOOKUP(B85,'Deviation Sheet'!$C$2:$D$29,2,0)</f>
        <v>#N/A</v>
      </c>
      <c r="D85" s="329" t="e">
        <f>VLOOKUP(B85,'Deviation Sheet'!$C$2:$E$29,3,0)</f>
        <v>#N/A</v>
      </c>
      <c r="E85" s="879"/>
      <c r="F85" s="879"/>
      <c r="L85" s="319"/>
    </row>
    <row r="86" spans="1:12" s="318" customFormat="1" ht="39.75" customHeight="1">
      <c r="A86" s="294">
        <v>10</v>
      </c>
      <c r="B86" s="327"/>
      <c r="C86" s="328" t="e">
        <f>VLOOKUP(B86,'Deviation Sheet'!$C$2:$D$29,2,0)</f>
        <v>#N/A</v>
      </c>
      <c r="D86" s="329" t="e">
        <f>VLOOKUP(B86,'Deviation Sheet'!$C$2:$E$29,3,0)</f>
        <v>#N/A</v>
      </c>
      <c r="E86" s="879"/>
      <c r="F86" s="879"/>
      <c r="L86" s="319"/>
    </row>
    <row r="87" spans="1:12" s="318" customFormat="1" ht="39.75" customHeight="1">
      <c r="A87" s="294">
        <v>11</v>
      </c>
      <c r="B87" s="327"/>
      <c r="C87" s="328" t="e">
        <f>VLOOKUP(B87,'Deviation Sheet'!$C$2:$D$29,2,0)</f>
        <v>#N/A</v>
      </c>
      <c r="D87" s="329" t="e">
        <f>VLOOKUP(B87,'Deviation Sheet'!$C$2:$E$29,3,0)</f>
        <v>#N/A</v>
      </c>
      <c r="E87" s="879"/>
      <c r="F87" s="879"/>
      <c r="L87" s="319"/>
    </row>
    <row r="88" spans="1:12" s="318" customFormat="1" ht="6" customHeight="1">
      <c r="A88" s="309"/>
      <c r="B88" s="330"/>
      <c r="C88" s="330"/>
      <c r="D88" s="331"/>
      <c r="E88" s="332"/>
      <c r="F88" s="332"/>
      <c r="L88" s="319"/>
    </row>
    <row r="89" spans="1:12" s="338" customFormat="1" ht="18.75">
      <c r="A89" s="333"/>
      <c r="B89" s="334" t="s">
        <v>51</v>
      </c>
      <c r="C89" s="335"/>
      <c r="D89" s="336">
        <f>COUNTIF(D77:D87,"Yes")</f>
        <v>2</v>
      </c>
      <c r="E89" s="337"/>
      <c r="F89" s="337"/>
      <c r="L89" s="319"/>
    </row>
    <row r="90" spans="1:12" s="338" customFormat="1" ht="15.75">
      <c r="A90" s="333"/>
      <c r="B90" s="339"/>
      <c r="C90" s="340"/>
      <c r="D90" s="341"/>
      <c r="E90" s="337"/>
      <c r="F90" s="337"/>
      <c r="L90" s="319"/>
    </row>
    <row r="91" spans="1:12" s="338" customFormat="1" ht="18.75">
      <c r="A91" s="333"/>
      <c r="B91" s="334" t="s">
        <v>391</v>
      </c>
      <c r="C91" s="335"/>
      <c r="D91" s="336" t="e">
        <f>IF(AND(C13&lt;75,'Customer Details'!C5="Mumbai"),"ZCM Approval",IF(AND(C13&lt;75,'Customer Details'!C5="Hyderabad"),"ZCM Approval","As per DOA"))</f>
        <v>#DIV/0!</v>
      </c>
      <c r="E91" s="337"/>
      <c r="F91" s="337"/>
      <c r="L91" s="319"/>
    </row>
    <row r="92" spans="1:12" s="338" customFormat="1" ht="15.75">
      <c r="A92" s="333"/>
      <c r="B92" s="339"/>
      <c r="C92" s="340"/>
      <c r="D92" s="341"/>
      <c r="E92" s="337"/>
      <c r="F92" s="337"/>
      <c r="L92" s="319"/>
    </row>
    <row r="93" spans="1:12" s="318" customFormat="1">
      <c r="A93" s="342" t="s">
        <v>392</v>
      </c>
      <c r="B93" s="311"/>
      <c r="C93" s="311"/>
      <c r="D93" s="311"/>
      <c r="E93" s="311"/>
      <c r="F93" s="311"/>
      <c r="L93" s="319"/>
    </row>
    <row r="94" spans="1:12" s="318" customFormat="1">
      <c r="A94" s="343" t="s">
        <v>312</v>
      </c>
      <c r="B94" s="344" t="s">
        <v>393</v>
      </c>
      <c r="C94" s="344"/>
      <c r="D94" s="344"/>
      <c r="E94" s="344"/>
      <c r="F94" s="344"/>
      <c r="L94" s="319"/>
    </row>
    <row r="95" spans="1:12" s="318" customFormat="1">
      <c r="A95" s="294">
        <v>1</v>
      </c>
      <c r="B95" s="880" t="s">
        <v>2313</v>
      </c>
      <c r="C95" s="880"/>
      <c r="D95" s="880"/>
      <c r="E95" s="880"/>
      <c r="F95" s="880"/>
      <c r="L95" s="319"/>
    </row>
    <row r="96" spans="1:12" s="318" customFormat="1">
      <c r="A96" s="294">
        <v>2</v>
      </c>
      <c r="B96" s="880" t="s">
        <v>2314</v>
      </c>
      <c r="C96" s="880"/>
      <c r="D96" s="880"/>
      <c r="E96" s="880"/>
      <c r="F96" s="880"/>
      <c r="L96" s="319"/>
    </row>
    <row r="97" spans="1:12" s="318" customFormat="1" ht="15" customHeight="1">
      <c r="A97" s="294">
        <v>3</v>
      </c>
      <c r="B97" s="880" t="s">
        <v>2315</v>
      </c>
      <c r="C97" s="880"/>
      <c r="D97" s="880"/>
      <c r="E97" s="880"/>
      <c r="F97" s="880"/>
      <c r="L97" s="319"/>
    </row>
    <row r="98" spans="1:12" s="318" customFormat="1" ht="15" customHeight="1">
      <c r="A98" s="294">
        <v>4</v>
      </c>
      <c r="B98" s="880"/>
      <c r="C98" s="880"/>
      <c r="D98" s="880"/>
      <c r="E98" s="880"/>
      <c r="F98" s="880"/>
      <c r="L98" s="319"/>
    </row>
    <row r="99" spans="1:12" s="318" customFormat="1">
      <c r="A99" s="294">
        <v>5</v>
      </c>
      <c r="B99" s="880"/>
      <c r="C99" s="880"/>
      <c r="D99" s="880"/>
      <c r="E99" s="880"/>
      <c r="F99" s="880"/>
      <c r="L99" s="319"/>
    </row>
    <row r="100" spans="1:12" s="318" customFormat="1">
      <c r="A100" s="294">
        <v>6</v>
      </c>
      <c r="B100" s="879"/>
      <c r="C100" s="879"/>
      <c r="D100" s="879"/>
      <c r="E100" s="879"/>
      <c r="F100" s="879"/>
      <c r="L100" s="319"/>
    </row>
    <row r="101" spans="1:12" s="318" customFormat="1">
      <c r="A101" s="294">
        <v>7</v>
      </c>
      <c r="B101" s="879"/>
      <c r="C101" s="879"/>
      <c r="D101" s="879"/>
      <c r="E101" s="879"/>
      <c r="F101" s="879"/>
      <c r="L101" s="319"/>
    </row>
    <row r="102" spans="1:12" s="318" customFormat="1">
      <c r="A102" s="294">
        <v>8</v>
      </c>
      <c r="B102" s="879"/>
      <c r="C102" s="879"/>
      <c r="D102" s="879"/>
      <c r="E102" s="879"/>
      <c r="F102" s="879"/>
      <c r="L102" s="319"/>
    </row>
    <row r="103" spans="1:12" s="318" customFormat="1">
      <c r="A103" s="294">
        <v>9</v>
      </c>
      <c r="B103" s="879"/>
      <c r="C103" s="879"/>
      <c r="D103" s="879"/>
      <c r="E103" s="879"/>
      <c r="F103" s="879"/>
      <c r="L103" s="319"/>
    </row>
    <row r="104" spans="1:12" s="318" customFormat="1">
      <c r="A104" s="294">
        <v>10</v>
      </c>
      <c r="B104" s="879"/>
      <c r="C104" s="879"/>
      <c r="D104" s="879"/>
      <c r="E104" s="879"/>
      <c r="F104" s="879"/>
      <c r="L104" s="319"/>
    </row>
  </sheetData>
  <sheetProtection password="857C" sheet="1" objects="1" scenarios="1" formatCells="0" formatColumns="0" formatRows="0"/>
  <mergeCells count="97">
    <mergeCell ref="B1:F1"/>
    <mergeCell ref="C2:F2"/>
    <mergeCell ref="C3:F3"/>
    <mergeCell ref="C4:F4"/>
    <mergeCell ref="C5:F5"/>
    <mergeCell ref="C6:F6"/>
    <mergeCell ref="C7:F7"/>
    <mergeCell ref="C8:F8"/>
    <mergeCell ref="C9:F9"/>
    <mergeCell ref="C10:F10"/>
    <mergeCell ref="C11:F11"/>
    <mergeCell ref="C12:F12"/>
    <mergeCell ref="C13:F13"/>
    <mergeCell ref="C14:F14"/>
    <mergeCell ref="C15:F15"/>
    <mergeCell ref="C16:F16"/>
    <mergeCell ref="C17:F17"/>
    <mergeCell ref="A19:C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5:F35"/>
    <mergeCell ref="D38:F38"/>
    <mergeCell ref="D39:F39"/>
    <mergeCell ref="D40:F40"/>
    <mergeCell ref="D41:F41"/>
    <mergeCell ref="D42:F42"/>
    <mergeCell ref="D43:F43"/>
    <mergeCell ref="C44:F44"/>
    <mergeCell ref="C47:F47"/>
    <mergeCell ref="C48:F48"/>
    <mergeCell ref="C49:F49"/>
    <mergeCell ref="C50:F50"/>
    <mergeCell ref="C51:F51"/>
    <mergeCell ref="A52:A53"/>
    <mergeCell ref="B52:B53"/>
    <mergeCell ref="C52:F52"/>
    <mergeCell ref="C53:F53"/>
    <mergeCell ref="C54:F54"/>
    <mergeCell ref="A55:A56"/>
    <mergeCell ref="B55:B56"/>
    <mergeCell ref="C55:F55"/>
    <mergeCell ref="C56:F56"/>
    <mergeCell ref="A57:A58"/>
    <mergeCell ref="B57:B58"/>
    <mergeCell ref="C57:F57"/>
    <mergeCell ref="C58:F58"/>
    <mergeCell ref="C59:F59"/>
    <mergeCell ref="A60:B60"/>
    <mergeCell ref="B61:F61"/>
    <mergeCell ref="B62:F62"/>
    <mergeCell ref="B63:F63"/>
    <mergeCell ref="B64:F64"/>
    <mergeCell ref="B65:F65"/>
    <mergeCell ref="B66:F66"/>
    <mergeCell ref="B67:F67"/>
    <mergeCell ref="A68:B68"/>
    <mergeCell ref="C69:F69"/>
    <mergeCell ref="C70:F70"/>
    <mergeCell ref="C71:F71"/>
    <mergeCell ref="C72:F72"/>
    <mergeCell ref="C73:F73"/>
    <mergeCell ref="C74:F74"/>
    <mergeCell ref="A75:B75"/>
    <mergeCell ref="E76:F76"/>
    <mergeCell ref="E77:F77"/>
    <mergeCell ref="E78:F78"/>
    <mergeCell ref="E79:F79"/>
    <mergeCell ref="E80:F80"/>
    <mergeCell ref="E81:F81"/>
    <mergeCell ref="E82:F82"/>
    <mergeCell ref="E83:F83"/>
    <mergeCell ref="E84:F84"/>
    <mergeCell ref="E85:F85"/>
    <mergeCell ref="E86:F86"/>
    <mergeCell ref="E87:F87"/>
    <mergeCell ref="B95:F95"/>
    <mergeCell ref="B101:F101"/>
    <mergeCell ref="B102:F102"/>
    <mergeCell ref="B103:F103"/>
    <mergeCell ref="B104:F104"/>
    <mergeCell ref="B96:F96"/>
    <mergeCell ref="B97:F97"/>
    <mergeCell ref="B98:F98"/>
    <mergeCell ref="B99:F99"/>
    <mergeCell ref="B100:F100"/>
  </mergeCells>
  <conditionalFormatting sqref="C13:F13">
    <cfRule type="cellIs" dxfId="74" priority="2" operator="greaterThanOrEqual">
      <formula>75</formula>
    </cfRule>
    <cfRule type="cellIs" dxfId="73" priority="3" operator="between">
      <formula>64.9999999</formula>
      <formula>75</formula>
    </cfRule>
    <cfRule type="cellIs" dxfId="72" priority="4" operator="lessThan">
      <formula>65</formula>
    </cfRule>
  </conditionalFormatting>
  <conditionalFormatting sqref="C9:F9">
    <cfRule type="cellIs" dxfId="71" priority="5" operator="greaterThan">
      <formula>50</formula>
    </cfRule>
    <cfRule type="cellIs" dxfId="70" priority="6" operator="greaterThan">
      <formula>51</formula>
    </cfRule>
  </conditionalFormatting>
  <dataValidations count="12">
    <dataValidation type="list" allowBlank="1" showInputMessage="1" showErrorMessage="1" sqref="C36 C45" xr:uid="{00000000-0002-0000-0300-000000000000}">
      <formula1>Medium</formula1>
      <formula2>0</formula2>
    </dataValidation>
    <dataValidation type="list" allowBlank="1" showInputMessage="1" showErrorMessage="1" sqref="IG35:IG58 SC35:SC58 ABY35:ABY58 ALU35:ALU58" xr:uid="{00000000-0002-0000-0300-000001000000}">
      <formula1>CAM!Status</formula1>
      <formula2>0</formula2>
    </dataValidation>
    <dataValidation type="list" allowBlank="1" showInputMessage="1" showErrorMessage="1" sqref="IG95:IG104 SC95:SC104 ABY95:ABY104 ALU95:ALU104" xr:uid="{00000000-0002-0000-0300-000002000000}">
      <formula1>Level</formula1>
      <formula2>0</formula2>
    </dataValidation>
    <dataValidation type="list" allowBlank="1" showInputMessage="1" showErrorMessage="1" sqref="C34" xr:uid="{00000000-0002-0000-0300-000003000000}">
      <formula1>"Applicable,Not Applicable"</formula1>
      <formula2>0</formula2>
    </dataValidation>
    <dataValidation type="list" allowBlank="1" showInputMessage="1" showErrorMessage="1" sqref="E34" xr:uid="{00000000-0002-0000-0300-000004000000}">
      <formula1>"Mfg - Micro Enterprises,Mfg - Small Enterprises,Mfg - Medium Enterprises,Services - Micro Enterprises,Services - Small Enterprises,Services - Medium Enterprises"</formula1>
      <formula2>0</formula2>
    </dataValidation>
    <dataValidation type="list" allowBlank="1" showInputMessage="1" showErrorMessage="1" sqref="C39" xr:uid="{00000000-0002-0000-0300-000005000000}">
      <formula1>"Match,No Match"</formula1>
      <formula2>0</formula2>
    </dataValidation>
    <dataValidation type="list" allowBlank="1" showInputMessage="1" showErrorMessage="1" sqref="C40:C43" xr:uid="{00000000-0002-0000-0300-000006000000}">
      <formula1>"Yes,No"</formula1>
      <formula2>0</formula2>
    </dataValidation>
    <dataValidation type="list" allowBlank="1" showInputMessage="1" showErrorMessage="1" sqref="C77:C92" xr:uid="{00000000-0002-0000-0300-000007000000}">
      <formula1>Deviation</formula1>
      <formula2>0</formula2>
    </dataValidation>
    <dataValidation type="list" allowBlank="1" showInputMessage="1" showErrorMessage="1" sqref="C7:F7" xr:uid="{00000000-0002-0000-0300-000008000000}">
      <formula1>"No,Yes within Group,Yes to the same customer"</formula1>
      <formula2>0</formula2>
    </dataValidation>
    <dataValidation type="whole" operator="greaterThan" allowBlank="1" showInputMessage="1" showErrorMessage="1" errorTitle="Max Group Exposure Limit" error="Max Group Exposure is capped to Rs 50 Lacs" promptTitle="Max Group Exposure Limit" prompt="Max Group Exposure is capped to Rs 50 Lacs" sqref="C9:F9" xr:uid="{00000000-0002-0000-0300-000009000000}">
      <formula1>51</formula1>
      <formula2>0</formula2>
    </dataValidation>
    <dataValidation type="list" allowBlank="1" showInputMessage="1" showErrorMessage="1" sqref="C21:C33" xr:uid="{00000000-0002-0000-0300-00000A000000}">
      <formula1>$L$21:$L$25</formula1>
      <formula2>0</formula2>
    </dataValidation>
    <dataValidation type="list" allowBlank="1" showInputMessage="1" showErrorMessage="1" sqref="C35" xr:uid="{00000000-0002-0000-0300-00000B000000}">
      <formula1>$L$27:$L$29</formula1>
      <formula2>0</formula2>
    </dataValidation>
  </dataValidations>
  <pageMargins left="0.69930555555555496" right="0.69930555555555496"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C000000}">
          <x14:formula1>
            <xm:f>'Deviation Sheet'!$C$2:$C$29</xm:f>
          </x14:formula1>
          <x14:formula2>
            <xm:f>0</xm:f>
          </x14:formula2>
          <xm:sqref>B77:B88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64"/>
  <sheetViews>
    <sheetView showGridLines="0" zoomScale="115" zoomScaleNormal="115" workbookViewId="0"/>
  </sheetViews>
  <sheetFormatPr defaultRowHeight="15" zeroHeight="1"/>
  <cols>
    <col min="1" max="1" width="54" style="165" customWidth="1"/>
    <col min="2" max="2" width="20.140625" style="166" customWidth="1"/>
    <col min="3" max="3" width="21" style="166" customWidth="1"/>
    <col min="4" max="4" width="20.140625" style="167" customWidth="1"/>
    <col min="5" max="5" width="9.28515625" style="168" customWidth="1"/>
    <col min="6" max="1025" width="9.140625" style="169" hidden="1" customWidth="1"/>
  </cols>
  <sheetData>
    <row r="1" spans="1:5" ht="13.5" customHeight="1">
      <c r="A1" s="170" t="s">
        <v>166</v>
      </c>
      <c r="B1" s="171">
        <f>'Customer Details'!B8</f>
        <v>0</v>
      </c>
      <c r="C1" s="171">
        <f>'Customer Details'!B9</f>
        <v>0</v>
      </c>
      <c r="D1" s="172"/>
    </row>
    <row r="2" spans="1:5" ht="15" hidden="1" customHeight="1">
      <c r="A2" s="170"/>
      <c r="B2" s="172"/>
      <c r="C2" s="172"/>
      <c r="D2" s="172"/>
    </row>
    <row r="3" spans="1:5" s="165" customFormat="1" ht="11.25">
      <c r="A3" s="910" t="s">
        <v>167</v>
      </c>
      <c r="B3" s="173">
        <f>'Customer Details'!I8</f>
        <v>0</v>
      </c>
      <c r="C3" s="173">
        <f>'Customer Details'!J8</f>
        <v>0</v>
      </c>
      <c r="D3" s="174">
        <f>'Customer Details'!K8</f>
        <v>0</v>
      </c>
      <c r="E3" s="175"/>
    </row>
    <row r="4" spans="1:5" s="165" customFormat="1" ht="11.25">
      <c r="A4" s="910"/>
      <c r="B4" s="176">
        <f>'Customer Details'!L8</f>
        <v>0</v>
      </c>
      <c r="C4" s="177">
        <f>'Customer Details'!M8</f>
        <v>0</v>
      </c>
      <c r="D4" s="178" t="s">
        <v>168</v>
      </c>
      <c r="E4" s="179">
        <f>IF(D7=42825,1,0)</f>
        <v>0</v>
      </c>
    </row>
    <row r="5" spans="1:5" s="165" customFormat="1" ht="11.25">
      <c r="A5" s="175"/>
      <c r="B5" s="180"/>
      <c r="C5" s="180"/>
      <c r="D5" s="181"/>
      <c r="E5" s="175"/>
    </row>
    <row r="6" spans="1:5">
      <c r="A6" s="182"/>
      <c r="B6" s="183" t="s">
        <v>169</v>
      </c>
      <c r="C6" s="183" t="s">
        <v>169</v>
      </c>
      <c r="D6" s="183" t="s">
        <v>170</v>
      </c>
      <c r="E6" s="184"/>
    </row>
    <row r="7" spans="1:5">
      <c r="A7" s="185" t="s">
        <v>171</v>
      </c>
      <c r="B7" s="186">
        <f>C7-365</f>
        <v>42825</v>
      </c>
      <c r="C7" s="186">
        <f>D7-365</f>
        <v>43190</v>
      </c>
      <c r="D7" s="186">
        <v>43555</v>
      </c>
      <c r="E7" s="184"/>
    </row>
    <row r="8" spans="1:5">
      <c r="A8" s="187" t="s">
        <v>172</v>
      </c>
      <c r="B8" s="188">
        <v>1.0000000000000001E-5</v>
      </c>
      <c r="C8" s="188"/>
      <c r="D8" s="188"/>
    </row>
    <row r="9" spans="1:5">
      <c r="A9" s="187" t="s">
        <v>173</v>
      </c>
      <c r="B9" s="188"/>
      <c r="C9" s="188"/>
      <c r="D9" s="188"/>
    </row>
    <row r="10" spans="1:5">
      <c r="A10" s="187" t="s">
        <v>174</v>
      </c>
      <c r="B10" s="189"/>
      <c r="C10" s="188"/>
      <c r="D10" s="188"/>
      <c r="E10" s="190"/>
    </row>
    <row r="11" spans="1:5">
      <c r="A11" s="182" t="s">
        <v>175</v>
      </c>
      <c r="B11" s="191">
        <f>SUM(B8:B10)</f>
        <v>1.0000000000000001E-5</v>
      </c>
      <c r="C11" s="191">
        <f>SUM(C8:C10)</f>
        <v>0</v>
      </c>
      <c r="D11" s="191">
        <f>SUM(D8:D10)</f>
        <v>0</v>
      </c>
    </row>
    <row r="12" spans="1:5">
      <c r="A12" s="182" t="s">
        <v>176</v>
      </c>
      <c r="B12" s="191">
        <f>B13+B14+B15-B16+B17+B18</f>
        <v>0</v>
      </c>
      <c r="C12" s="191">
        <f>C13+C14+C15-C16+C17+C18</f>
        <v>0</v>
      </c>
      <c r="D12" s="191">
        <f>D13+D14+D15-D16+D17+D18</f>
        <v>0</v>
      </c>
    </row>
    <row r="13" spans="1:5">
      <c r="A13" s="187" t="s">
        <v>177</v>
      </c>
      <c r="B13" s="188"/>
      <c r="C13" s="188"/>
      <c r="D13" s="188"/>
    </row>
    <row r="14" spans="1:5">
      <c r="A14" s="187" t="s">
        <v>178</v>
      </c>
      <c r="B14" s="188"/>
      <c r="C14" s="188"/>
      <c r="D14" s="188"/>
    </row>
    <row r="15" spans="1:5">
      <c r="A15" s="187" t="s">
        <v>179</v>
      </c>
      <c r="B15" s="188"/>
      <c r="C15" s="188"/>
      <c r="D15" s="188"/>
    </row>
    <row r="16" spans="1:5">
      <c r="A16" s="187" t="s">
        <v>180</v>
      </c>
      <c r="B16" s="188"/>
      <c r="C16" s="188"/>
      <c r="D16" s="188"/>
    </row>
    <row r="17" spans="1:4">
      <c r="A17" s="187" t="s">
        <v>181</v>
      </c>
      <c r="B17" s="188"/>
      <c r="C17" s="188"/>
      <c r="D17" s="188"/>
    </row>
    <row r="18" spans="1:4">
      <c r="A18" s="187" t="s">
        <v>182</v>
      </c>
      <c r="B18" s="188"/>
      <c r="C18" s="188"/>
      <c r="D18" s="188"/>
    </row>
    <row r="19" spans="1:4">
      <c r="A19" s="182" t="s">
        <v>183</v>
      </c>
      <c r="B19" s="191">
        <f>B11-B12</f>
        <v>1.0000000000000001E-5</v>
      </c>
      <c r="C19" s="191">
        <f>C11-C12</f>
        <v>0</v>
      </c>
      <c r="D19" s="191">
        <f>D11-D12</f>
        <v>0</v>
      </c>
    </row>
    <row r="20" spans="1:4">
      <c r="A20" s="182" t="s">
        <v>184</v>
      </c>
      <c r="B20" s="191">
        <f>B11-B12-B10</f>
        <v>1.0000000000000001E-5</v>
      </c>
      <c r="C20" s="191">
        <f>C11-C12-C10</f>
        <v>0</v>
      </c>
      <c r="D20" s="191">
        <f>D11-D12-D10</f>
        <v>0</v>
      </c>
    </row>
    <row r="21" spans="1:4">
      <c r="A21" s="187" t="s">
        <v>185</v>
      </c>
      <c r="B21" s="189"/>
      <c r="C21" s="188"/>
      <c r="D21" s="188"/>
    </row>
    <row r="22" spans="1:4">
      <c r="A22" s="187" t="s">
        <v>186</v>
      </c>
      <c r="B22" s="189"/>
      <c r="C22" s="188"/>
      <c r="D22" s="188"/>
    </row>
    <row r="23" spans="1:4">
      <c r="A23" s="187" t="s">
        <v>187</v>
      </c>
      <c r="B23" s="188"/>
      <c r="C23" s="188"/>
      <c r="D23" s="188"/>
    </row>
    <row r="24" spans="1:4">
      <c r="A24" s="187" t="s">
        <v>188</v>
      </c>
      <c r="B24" s="188"/>
      <c r="C24" s="188"/>
      <c r="D24" s="188"/>
    </row>
    <row r="25" spans="1:4">
      <c r="A25" s="187" t="s">
        <v>189</v>
      </c>
      <c r="B25" s="189"/>
      <c r="C25" s="188"/>
      <c r="D25" s="188"/>
    </row>
    <row r="26" spans="1:4">
      <c r="A26" s="187" t="s">
        <v>115</v>
      </c>
      <c r="B26" s="191">
        <f>B20-SUM(B21:B25)</f>
        <v>1.0000000000000001E-5</v>
      </c>
      <c r="C26" s="191">
        <f>C20-SUM(C21:C25)</f>
        <v>0</v>
      </c>
      <c r="D26" s="191">
        <f>D20-SUM(D21:D25)</f>
        <v>0</v>
      </c>
    </row>
    <row r="27" spans="1:4">
      <c r="A27" s="192" t="s">
        <v>190</v>
      </c>
      <c r="B27" s="191">
        <f>SUM(B28:B31)</f>
        <v>0</v>
      </c>
      <c r="C27" s="191">
        <f>SUM(C28:C31)</f>
        <v>0</v>
      </c>
      <c r="D27" s="191">
        <f>SUM(D28:D31)</f>
        <v>0</v>
      </c>
    </row>
    <row r="28" spans="1:4">
      <c r="A28" s="187" t="s">
        <v>191</v>
      </c>
      <c r="B28" s="188"/>
      <c r="C28" s="188"/>
      <c r="D28" s="188"/>
    </row>
    <row r="29" spans="1:4">
      <c r="A29" s="187" t="s">
        <v>192</v>
      </c>
      <c r="B29" s="188"/>
      <c r="C29" s="188"/>
      <c r="D29" s="188"/>
    </row>
    <row r="30" spans="1:4">
      <c r="A30" s="187" t="s">
        <v>193</v>
      </c>
      <c r="B30" s="188"/>
      <c r="C30" s="188"/>
      <c r="D30" s="188"/>
    </row>
    <row r="31" spans="1:4">
      <c r="A31" s="187" t="s">
        <v>194</v>
      </c>
      <c r="B31" s="188"/>
      <c r="C31" s="188"/>
      <c r="D31" s="188"/>
    </row>
    <row r="32" spans="1:4">
      <c r="A32" s="182" t="s">
        <v>195</v>
      </c>
      <c r="B32" s="191">
        <f>B26-B31</f>
        <v>1.0000000000000001E-5</v>
      </c>
      <c r="C32" s="191">
        <f>C26-C31</f>
        <v>0</v>
      </c>
      <c r="D32" s="191">
        <f>D26-D31</f>
        <v>0</v>
      </c>
    </row>
    <row r="33" spans="1:5">
      <c r="A33" s="182" t="s">
        <v>196</v>
      </c>
      <c r="B33" s="191">
        <f>B32-B28</f>
        <v>1.0000000000000001E-5</v>
      </c>
      <c r="C33" s="191">
        <f>C32-C28</f>
        <v>0</v>
      </c>
      <c r="D33" s="191">
        <f>D32-D28</f>
        <v>0</v>
      </c>
    </row>
    <row r="34" spans="1:5">
      <c r="A34" s="187" t="s">
        <v>197</v>
      </c>
      <c r="B34" s="188"/>
      <c r="C34" s="188"/>
      <c r="D34" s="188"/>
    </row>
    <row r="35" spans="1:5">
      <c r="A35" s="187" t="s">
        <v>198</v>
      </c>
      <c r="B35" s="188"/>
      <c r="C35" s="188"/>
      <c r="D35" s="188"/>
    </row>
    <row r="36" spans="1:5">
      <c r="A36" s="187" t="s">
        <v>199</v>
      </c>
      <c r="B36" s="189"/>
      <c r="C36" s="189"/>
      <c r="D36" s="189"/>
    </row>
    <row r="37" spans="1:5">
      <c r="A37" s="187" t="s">
        <v>200</v>
      </c>
      <c r="B37" s="188"/>
      <c r="C37" s="188"/>
      <c r="D37" s="188"/>
    </row>
    <row r="38" spans="1:5">
      <c r="A38" s="187" t="s">
        <v>201</v>
      </c>
      <c r="B38" s="188"/>
      <c r="C38" s="188"/>
      <c r="D38" s="188"/>
    </row>
    <row r="39" spans="1:5">
      <c r="A39" s="182" t="s">
        <v>202</v>
      </c>
      <c r="B39" s="191">
        <f>B26-B27-SUM(B34:B38)+B10</f>
        <v>1.0000000000000001E-5</v>
      </c>
      <c r="C39" s="191">
        <f>C26-C27-SUM(C34:C38)+C10</f>
        <v>0</v>
      </c>
      <c r="D39" s="191">
        <f>D26-D27-SUM(D34:D38)+D10</f>
        <v>0</v>
      </c>
    </row>
    <row r="40" spans="1:5">
      <c r="A40" s="182" t="s">
        <v>203</v>
      </c>
      <c r="B40" s="191">
        <f>B39-B10</f>
        <v>1.0000000000000001E-5</v>
      </c>
      <c r="C40" s="191">
        <f>C39-C10</f>
        <v>0</v>
      </c>
      <c r="D40" s="191">
        <f>D39-D10</f>
        <v>0</v>
      </c>
    </row>
    <row r="41" spans="1:5">
      <c r="A41" s="187" t="s">
        <v>204</v>
      </c>
      <c r="B41" s="188"/>
      <c r="C41" s="188"/>
      <c r="D41" s="188"/>
    </row>
    <row r="42" spans="1:5">
      <c r="A42" s="182" t="s">
        <v>205</v>
      </c>
      <c r="B42" s="191">
        <f>B39-B41</f>
        <v>1.0000000000000001E-5</v>
      </c>
      <c r="C42" s="191">
        <f>C39-C41</f>
        <v>0</v>
      </c>
      <c r="D42" s="191">
        <f>D39-D41</f>
        <v>0</v>
      </c>
    </row>
    <row r="43" spans="1:5">
      <c r="A43" s="182" t="s">
        <v>206</v>
      </c>
      <c r="B43" s="191">
        <f>B40-B41</f>
        <v>1.0000000000000001E-5</v>
      </c>
      <c r="C43" s="191">
        <f>C40-C41</f>
        <v>0</v>
      </c>
      <c r="D43" s="191">
        <f>D40-D41</f>
        <v>0</v>
      </c>
    </row>
    <row r="44" spans="1:5">
      <c r="A44" s="182" t="s">
        <v>207</v>
      </c>
      <c r="B44" s="191">
        <f>B43+B34+B36</f>
        <v>1.0000000000000001E-5</v>
      </c>
      <c r="C44" s="191">
        <f>C43+C34+C36</f>
        <v>0</v>
      </c>
      <c r="D44" s="191">
        <f>D43+D34+D36</f>
        <v>0</v>
      </c>
    </row>
    <row r="45" spans="1:5">
      <c r="A45" s="182" t="s">
        <v>208</v>
      </c>
      <c r="B45" s="191">
        <f>B44+B37+B38</f>
        <v>1.0000000000000001E-5</v>
      </c>
      <c r="C45" s="191">
        <f>C44+C37+C38</f>
        <v>0</v>
      </c>
      <c r="D45" s="191">
        <f>D44+D37+D38</f>
        <v>0</v>
      </c>
    </row>
    <row r="46" spans="1:5">
      <c r="A46" s="165" t="s">
        <v>209</v>
      </c>
      <c r="B46" s="193"/>
      <c r="C46" s="193"/>
      <c r="D46" s="194"/>
      <c r="E46" s="195"/>
    </row>
    <row r="47" spans="1:5">
      <c r="A47" s="182" t="s">
        <v>210</v>
      </c>
      <c r="B47" s="191">
        <f>B42-B46</f>
        <v>1.0000000000000001E-5</v>
      </c>
      <c r="C47" s="191">
        <f>C42-C46</f>
        <v>0</v>
      </c>
      <c r="D47" s="191">
        <f>D42-D46</f>
        <v>0</v>
      </c>
      <c r="E47" s="195"/>
    </row>
    <row r="48" spans="1:5" s="165" customFormat="1" ht="11.25">
      <c r="B48" s="193"/>
      <c r="C48" s="193"/>
      <c r="D48" s="194"/>
      <c r="E48" s="196"/>
    </row>
    <row r="49" spans="1:6">
      <c r="A49" s="182"/>
      <c r="B49" s="183" t="s">
        <v>169</v>
      </c>
      <c r="C49" s="183" t="s">
        <v>169</v>
      </c>
      <c r="D49" s="183" t="s">
        <v>169</v>
      </c>
    </row>
    <row r="50" spans="1:6">
      <c r="A50" s="185" t="s">
        <v>211</v>
      </c>
      <c r="B50" s="186">
        <f>B7</f>
        <v>42825</v>
      </c>
      <c r="C50" s="186">
        <f>C7</f>
        <v>43190</v>
      </c>
      <c r="D50" s="186">
        <f>D7</f>
        <v>43555</v>
      </c>
    </row>
    <row r="51" spans="1:6" s="165" customFormat="1" ht="11.25">
      <c r="A51" s="185" t="s">
        <v>212</v>
      </c>
      <c r="B51" s="197"/>
      <c r="C51" s="197"/>
      <c r="D51" s="197"/>
      <c r="E51" s="196"/>
    </row>
    <row r="52" spans="1:6">
      <c r="A52" s="187" t="s">
        <v>213</v>
      </c>
      <c r="B52" s="188"/>
      <c r="C52" s="188"/>
      <c r="D52" s="188"/>
    </row>
    <row r="53" spans="1:6">
      <c r="A53" s="187" t="s">
        <v>214</v>
      </c>
      <c r="B53" s="188"/>
      <c r="C53" s="188"/>
      <c r="D53" s="188"/>
    </row>
    <row r="54" spans="1:6">
      <c r="A54" s="187" t="s">
        <v>215</v>
      </c>
      <c r="B54" s="188"/>
      <c r="C54" s="188"/>
      <c r="D54" s="188"/>
    </row>
    <row r="55" spans="1:6" s="199" customFormat="1" ht="11.25">
      <c r="A55" s="182" t="s">
        <v>216</v>
      </c>
      <c r="B55" s="191">
        <f>SUM(B52:B53)-B95</f>
        <v>0</v>
      </c>
      <c r="C55" s="191">
        <f>SUM(C52:C53)-C95</f>
        <v>0</v>
      </c>
      <c r="D55" s="191">
        <f>SUM(D52:D53)-D95</f>
        <v>0</v>
      </c>
      <c r="E55" s="184"/>
      <c r="F55" s="198"/>
    </row>
    <row r="56" spans="1:6">
      <c r="A56" s="187" t="s">
        <v>217</v>
      </c>
      <c r="B56" s="189"/>
      <c r="C56" s="189"/>
      <c r="D56" s="189"/>
    </row>
    <row r="57" spans="1:6">
      <c r="A57" s="182" t="s">
        <v>218</v>
      </c>
      <c r="B57" s="191">
        <f>B55+B56-B81-B84-B92-B94</f>
        <v>0</v>
      </c>
      <c r="C57" s="191">
        <f>C55+C56-C81-C84-C92-C94</f>
        <v>0</v>
      </c>
      <c r="D57" s="191">
        <f>D55+D56-D81-D84-D92-D94</f>
        <v>0</v>
      </c>
      <c r="E57" s="184"/>
    </row>
    <row r="58" spans="1:6">
      <c r="A58" s="187" t="s">
        <v>219</v>
      </c>
      <c r="B58" s="188"/>
      <c r="C58" s="188"/>
      <c r="D58" s="188"/>
    </row>
    <row r="59" spans="1:6">
      <c r="A59" s="187" t="s">
        <v>220</v>
      </c>
      <c r="B59" s="188"/>
      <c r="C59" s="188"/>
      <c r="D59" s="188"/>
    </row>
    <row r="60" spans="1:6">
      <c r="A60" s="187" t="s">
        <v>221</v>
      </c>
      <c r="B60" s="188"/>
      <c r="C60" s="188"/>
      <c r="D60" s="188"/>
    </row>
    <row r="61" spans="1:6">
      <c r="A61" s="187" t="s">
        <v>222</v>
      </c>
      <c r="B61" s="189"/>
      <c r="C61" s="188"/>
      <c r="D61" s="188"/>
    </row>
    <row r="62" spans="1:6">
      <c r="A62" s="187" t="s">
        <v>223</v>
      </c>
      <c r="B62" s="189"/>
      <c r="C62" s="189"/>
      <c r="D62" s="189"/>
    </row>
    <row r="63" spans="1:6" s="199" customFormat="1" ht="11.25">
      <c r="A63" s="182" t="s">
        <v>224</v>
      </c>
      <c r="B63" s="191">
        <f>SUM(B58:B62)+B66</f>
        <v>0</v>
      </c>
      <c r="C63" s="191">
        <f>SUM(C58:C62)+C66</f>
        <v>0</v>
      </c>
      <c r="D63" s="191">
        <f>SUM(D58:D62)+D66</f>
        <v>0</v>
      </c>
      <c r="E63" s="184"/>
      <c r="F63" s="198"/>
    </row>
    <row r="64" spans="1:6" s="199" customFormat="1" ht="11.25">
      <c r="A64" s="182" t="s">
        <v>225</v>
      </c>
      <c r="B64" s="191">
        <f>SUM(B65:B68)+B58-B67</f>
        <v>0</v>
      </c>
      <c r="C64" s="191">
        <f>SUM(C65:C68)+C58-C67</f>
        <v>0</v>
      </c>
      <c r="D64" s="191">
        <f>SUM(D65:D68)+D58-D67</f>
        <v>0</v>
      </c>
      <c r="E64" s="184"/>
      <c r="F64" s="198"/>
    </row>
    <row r="65" spans="1:6">
      <c r="A65" s="187" t="s">
        <v>226</v>
      </c>
      <c r="B65" s="188"/>
      <c r="C65" s="188"/>
      <c r="D65" s="188"/>
    </row>
    <row r="66" spans="1:6">
      <c r="A66" s="187" t="s">
        <v>227</v>
      </c>
      <c r="B66" s="189"/>
      <c r="C66" s="188"/>
      <c r="D66" s="188"/>
    </row>
    <row r="67" spans="1:6">
      <c r="A67" s="187" t="s">
        <v>228</v>
      </c>
      <c r="B67" s="188"/>
      <c r="C67" s="188"/>
      <c r="D67" s="188"/>
    </row>
    <row r="68" spans="1:6">
      <c r="A68" s="187" t="s">
        <v>229</v>
      </c>
      <c r="B68" s="189"/>
      <c r="C68" s="188"/>
      <c r="D68" s="188"/>
    </row>
    <row r="69" spans="1:6" s="199" customFormat="1" ht="11.25">
      <c r="A69" s="182" t="s">
        <v>230</v>
      </c>
      <c r="B69" s="191">
        <f>B64+B63-B58-B66</f>
        <v>0</v>
      </c>
      <c r="C69" s="191">
        <f>C64+C63-C58-C66</f>
        <v>0</v>
      </c>
      <c r="D69" s="191">
        <f>D64+D63-D58-D66</f>
        <v>0</v>
      </c>
      <c r="E69" s="184"/>
      <c r="F69" s="198"/>
    </row>
    <row r="70" spans="1:6" s="199" customFormat="1" ht="11.25">
      <c r="A70" s="182" t="s">
        <v>231</v>
      </c>
      <c r="B70" s="191">
        <f>B55+B63+B56+B64-B58-B66+B54+B67</f>
        <v>0</v>
      </c>
      <c r="C70" s="191">
        <f>C55+C63+C56+C64-C58-C66+C54+C67</f>
        <v>0</v>
      </c>
      <c r="D70" s="191">
        <f>D55+D63+D56+D64-D58-D66+D54+D67</f>
        <v>0</v>
      </c>
      <c r="E70" s="184"/>
      <c r="F70" s="198"/>
    </row>
    <row r="71" spans="1:6">
      <c r="A71" s="187"/>
      <c r="B71" s="188"/>
      <c r="C71" s="188"/>
      <c r="D71" s="188"/>
    </row>
    <row r="72" spans="1:6" s="199" customFormat="1" ht="11.25">
      <c r="A72" s="182" t="s">
        <v>232</v>
      </c>
      <c r="B72" s="200"/>
      <c r="C72" s="200"/>
      <c r="D72" s="200"/>
      <c r="E72" s="184"/>
      <c r="F72" s="198"/>
    </row>
    <row r="73" spans="1:6">
      <c r="A73" s="187" t="s">
        <v>233</v>
      </c>
      <c r="B73" s="188"/>
      <c r="C73" s="188"/>
      <c r="D73" s="188"/>
    </row>
    <row r="74" spans="1:6">
      <c r="A74" s="187" t="s">
        <v>234</v>
      </c>
      <c r="B74" s="188"/>
      <c r="C74" s="188"/>
      <c r="D74" s="188"/>
    </row>
    <row r="75" spans="1:6">
      <c r="A75" s="187" t="s">
        <v>235</v>
      </c>
      <c r="B75" s="188"/>
      <c r="C75" s="188"/>
      <c r="D75" s="188"/>
    </row>
    <row r="76" spans="1:6">
      <c r="A76" s="187" t="s">
        <v>236</v>
      </c>
      <c r="B76" s="188"/>
      <c r="C76" s="188"/>
      <c r="D76" s="188"/>
      <c r="E76" s="195"/>
    </row>
    <row r="77" spans="1:6">
      <c r="A77" s="187" t="s">
        <v>215</v>
      </c>
      <c r="B77" s="188"/>
      <c r="C77" s="188"/>
      <c r="D77" s="188"/>
    </row>
    <row r="78" spans="1:6" s="199" customFormat="1" ht="11.25">
      <c r="A78" s="182" t="s">
        <v>237</v>
      </c>
      <c r="B78" s="191">
        <f>B73+B74-B75-B77+B76</f>
        <v>0</v>
      </c>
      <c r="C78" s="191">
        <f>C73+C74-C75-C77+C76</f>
        <v>0</v>
      </c>
      <c r="D78" s="191">
        <f>D73+D74-D75-D77+D76</f>
        <v>0</v>
      </c>
      <c r="E78" s="184"/>
      <c r="F78" s="198"/>
    </row>
    <row r="79" spans="1:6" s="199" customFormat="1" ht="11.25">
      <c r="A79" s="182" t="s">
        <v>238</v>
      </c>
      <c r="B79" s="191">
        <f>SUM(B80:B81)</f>
        <v>0</v>
      </c>
      <c r="C79" s="191">
        <f>SUM(C80:C81)</f>
        <v>0</v>
      </c>
      <c r="D79" s="191">
        <f>SUM(D80:D81)</f>
        <v>0</v>
      </c>
      <c r="E79" s="184"/>
      <c r="F79" s="198"/>
    </row>
    <row r="80" spans="1:6">
      <c r="A80" s="187" t="s">
        <v>239</v>
      </c>
      <c r="B80" s="188"/>
      <c r="C80" s="188"/>
      <c r="D80" s="188"/>
    </row>
    <row r="81" spans="1:10">
      <c r="A81" s="187" t="s">
        <v>240</v>
      </c>
      <c r="B81" s="188"/>
      <c r="C81" s="188"/>
      <c r="D81" s="188"/>
    </row>
    <row r="82" spans="1:10" s="199" customFormat="1" ht="11.25">
      <c r="A82" s="182" t="s">
        <v>241</v>
      </c>
      <c r="B82" s="191">
        <f>SUM(B83:B88)-B84-B87+B91</f>
        <v>0</v>
      </c>
      <c r="C82" s="191">
        <f>SUM(C83:C88)-C84-C87+C91</f>
        <v>0</v>
      </c>
      <c r="D82" s="191">
        <f>SUM(D83:D88)-D84-D87+D91</f>
        <v>0</v>
      </c>
      <c r="E82" s="184"/>
      <c r="F82" s="198"/>
    </row>
    <row r="83" spans="1:10">
      <c r="A83" s="187" t="s">
        <v>242</v>
      </c>
      <c r="B83" s="188"/>
      <c r="C83" s="188"/>
      <c r="D83" s="188"/>
    </row>
    <row r="84" spans="1:10">
      <c r="A84" s="187" t="s">
        <v>243</v>
      </c>
      <c r="B84" s="188"/>
      <c r="C84" s="188"/>
      <c r="D84" s="188"/>
    </row>
    <row r="85" spans="1:10">
      <c r="A85" s="187" t="s">
        <v>244</v>
      </c>
      <c r="B85" s="188"/>
      <c r="C85" s="188"/>
      <c r="D85" s="188"/>
    </row>
    <row r="86" spans="1:10">
      <c r="A86" s="187" t="s">
        <v>245</v>
      </c>
      <c r="B86" s="188"/>
      <c r="C86" s="188"/>
      <c r="D86" s="188"/>
    </row>
    <row r="87" spans="1:10">
      <c r="A87" s="187" t="s">
        <v>246</v>
      </c>
      <c r="B87" s="188"/>
      <c r="C87" s="188"/>
      <c r="D87" s="188"/>
    </row>
    <row r="88" spans="1:10">
      <c r="A88" s="187" t="s">
        <v>247</v>
      </c>
      <c r="B88" s="189"/>
      <c r="C88" s="188"/>
      <c r="D88" s="188"/>
    </row>
    <row r="89" spans="1:10" s="199" customFormat="1" ht="11.25">
      <c r="A89" s="182" t="s">
        <v>248</v>
      </c>
      <c r="B89" s="191">
        <f>SUM(B90:B92)</f>
        <v>0</v>
      </c>
      <c r="C89" s="191">
        <f>SUM(C90:C92)</f>
        <v>0</v>
      </c>
      <c r="D89" s="191">
        <f>SUM(D90:D92)</f>
        <v>0</v>
      </c>
      <c r="E89" s="184"/>
      <c r="F89" s="198"/>
    </row>
    <row r="90" spans="1:10" ht="22.5">
      <c r="A90" s="201" t="s">
        <v>249</v>
      </c>
      <c r="B90" s="202"/>
      <c r="C90" s="188"/>
      <c r="D90" s="188"/>
      <c r="E90" s="184"/>
      <c r="J90" s="169">
        <v>20</v>
      </c>
    </row>
    <row r="91" spans="1:10">
      <c r="A91" s="187" t="s">
        <v>250</v>
      </c>
      <c r="B91" s="189"/>
      <c r="C91" s="188"/>
      <c r="D91" s="188"/>
      <c r="E91" s="190"/>
      <c r="J91" s="169">
        <v>20</v>
      </c>
    </row>
    <row r="92" spans="1:10">
      <c r="A92" s="187" t="s">
        <v>251</v>
      </c>
      <c r="B92" s="189"/>
      <c r="C92" s="188"/>
      <c r="D92" s="188"/>
      <c r="E92" s="190"/>
      <c r="J92" s="169">
        <v>20</v>
      </c>
    </row>
    <row r="93" spans="1:10">
      <c r="A93" s="187" t="s">
        <v>252</v>
      </c>
      <c r="B93" s="189"/>
      <c r="C93" s="189"/>
      <c r="D93" s="189"/>
      <c r="J93" s="169">
        <v>20</v>
      </c>
    </row>
    <row r="94" spans="1:10">
      <c r="A94" s="187" t="s">
        <v>253</v>
      </c>
      <c r="B94" s="189"/>
      <c r="C94" s="189"/>
      <c r="D94" s="189"/>
      <c r="J94" s="169">
        <v>8</v>
      </c>
    </row>
    <row r="95" spans="1:10">
      <c r="A95" s="187" t="s">
        <v>254</v>
      </c>
      <c r="B95" s="203"/>
      <c r="C95" s="203"/>
      <c r="D95" s="203"/>
      <c r="E95" s="195"/>
    </row>
    <row r="96" spans="1:10" s="199" customFormat="1" ht="11.25">
      <c r="A96" s="182" t="s">
        <v>255</v>
      </c>
      <c r="B96" s="191">
        <f>B78+B79+B82+B89+B87+B94-B91+B84+B93</f>
        <v>0</v>
      </c>
      <c r="C96" s="191">
        <f>C78+C79+C82+C89+C87+C94-C91+C84+C93</f>
        <v>0</v>
      </c>
      <c r="D96" s="191">
        <f>D78+D79+D82+D89+D87+D94-D91+D84+D93</f>
        <v>0</v>
      </c>
      <c r="E96" s="184"/>
      <c r="F96" s="198"/>
    </row>
    <row r="97" spans="1:4">
      <c r="A97" s="204" t="s">
        <v>256</v>
      </c>
      <c r="B97" s="205">
        <f>B70-B96</f>
        <v>0</v>
      </c>
      <c r="C97" s="205">
        <f>C70-C96</f>
        <v>0</v>
      </c>
      <c r="D97" s="205">
        <f>D70-D96</f>
        <v>0</v>
      </c>
    </row>
    <row r="98" spans="1:4"/>
    <row r="99" spans="1:4">
      <c r="A99" s="185" t="s">
        <v>257</v>
      </c>
      <c r="B99" s="197">
        <f>B50</f>
        <v>42825</v>
      </c>
      <c r="C99" s="197">
        <f>C50</f>
        <v>43190</v>
      </c>
      <c r="D99" s="197">
        <f>D50</f>
        <v>43555</v>
      </c>
    </row>
    <row r="100" spans="1:4">
      <c r="A100" s="182" t="s">
        <v>258</v>
      </c>
      <c r="B100" s="206" t="e">
        <f>(B8-A8)/A8</f>
        <v>#VALUE!</v>
      </c>
      <c r="C100" s="206">
        <f>(C8-B8)/B8</f>
        <v>-1</v>
      </c>
      <c r="D100" s="206" t="e">
        <f>(D8-C8)/C8</f>
        <v>#DIV/0!</v>
      </c>
    </row>
    <row r="101" spans="1:4">
      <c r="A101" s="182" t="s">
        <v>259</v>
      </c>
      <c r="B101" s="207">
        <f>B43/(B8+B9)</f>
        <v>1</v>
      </c>
      <c r="C101" s="207" t="e">
        <f>C43/(C8+C9)</f>
        <v>#DIV/0!</v>
      </c>
      <c r="D101" s="207" t="e">
        <f>D43/(D8+D9)</f>
        <v>#DIV/0!</v>
      </c>
    </row>
    <row r="102" spans="1:4">
      <c r="A102" s="182" t="s">
        <v>260</v>
      </c>
      <c r="B102" s="207">
        <f>B45/(B8+B9)</f>
        <v>1</v>
      </c>
      <c r="C102" s="207" t="e">
        <f>C45/(C8+C9)</f>
        <v>#DIV/0!</v>
      </c>
      <c r="D102" s="207" t="e">
        <f>D45/(D8+D9)</f>
        <v>#DIV/0!</v>
      </c>
    </row>
    <row r="103" spans="1:4">
      <c r="A103" s="182" t="s">
        <v>261</v>
      </c>
      <c r="B103" s="207">
        <f>B26/(B8+B9)</f>
        <v>1</v>
      </c>
      <c r="C103" s="207" t="e">
        <f>C26/(C8+C9)</f>
        <v>#DIV/0!</v>
      </c>
      <c r="D103" s="207" t="e">
        <f>D26/(D8+D9)</f>
        <v>#DIV/0!</v>
      </c>
    </row>
    <row r="104" spans="1:4">
      <c r="A104" s="182" t="s">
        <v>262</v>
      </c>
      <c r="B104" s="207">
        <f>B32/(B8+B9)</f>
        <v>1</v>
      </c>
      <c r="C104" s="207" t="e">
        <f>C32/(C8+C9)</f>
        <v>#DIV/0!</v>
      </c>
      <c r="D104" s="207" t="e">
        <f>D32/(D8+D9)</f>
        <v>#DIV/0!</v>
      </c>
    </row>
    <row r="105" spans="1:4">
      <c r="A105" s="182" t="s">
        <v>263</v>
      </c>
      <c r="B105" s="208" t="e">
        <f>(B63)/B57</f>
        <v>#DIV/0!</v>
      </c>
      <c r="C105" s="208" t="e">
        <f>(C63)/C57</f>
        <v>#DIV/0!</v>
      </c>
      <c r="D105" s="208" t="e">
        <f>(D63)/D57</f>
        <v>#DIV/0!</v>
      </c>
    </row>
    <row r="106" spans="1:4">
      <c r="A106" s="182" t="s">
        <v>74</v>
      </c>
      <c r="B106" s="208" t="e">
        <f>(B69)/B57</f>
        <v>#DIV/0!</v>
      </c>
      <c r="C106" s="208" t="e">
        <f>(C69)/C57</f>
        <v>#DIV/0!</v>
      </c>
      <c r="D106" s="208" t="e">
        <f>(D69)/D57</f>
        <v>#DIV/0!</v>
      </c>
    </row>
    <row r="107" spans="1:4">
      <c r="A107" s="182" t="s">
        <v>264</v>
      </c>
      <c r="B107" s="208" t="e">
        <f>B32/(B28+B29+B30)</f>
        <v>#DIV/0!</v>
      </c>
      <c r="C107" s="208" t="e">
        <f>C32/(C28+C29+C30)</f>
        <v>#DIV/0!</v>
      </c>
      <c r="D107" s="208" t="e">
        <f>D32/(D28+D29+D30)</f>
        <v>#DIV/0!</v>
      </c>
    </row>
    <row r="108" spans="1:4">
      <c r="A108" s="182" t="s">
        <v>265</v>
      </c>
      <c r="B108" s="208">
        <f>(B84+B85)/(B8)*365</f>
        <v>0</v>
      </c>
      <c r="C108" s="208" t="e">
        <f>(C84+C85)/(C8)*365</f>
        <v>#DIV/0!</v>
      </c>
      <c r="D108" s="208" t="e">
        <f>(D84+D85)/(D8)*365</f>
        <v>#DIV/0!</v>
      </c>
    </row>
    <row r="109" spans="1:4">
      <c r="A109" s="182" t="s">
        <v>266</v>
      </c>
      <c r="B109" s="191">
        <f>IF(B12=0,0,B83/B12*365)</f>
        <v>0</v>
      </c>
      <c r="C109" s="191">
        <f>IF(C12=0,0,C83/C12*365)</f>
        <v>0</v>
      </c>
      <c r="D109" s="191">
        <f>IF(D12=0,0,D83/D12*365)</f>
        <v>0</v>
      </c>
    </row>
    <row r="110" spans="1:4">
      <c r="A110" s="182" t="s">
        <v>267</v>
      </c>
      <c r="B110" s="191">
        <f>IF(B12=0,0,B65/B14*365)</f>
        <v>0</v>
      </c>
      <c r="C110" s="191">
        <f>IF(C12=0,0,C65/C14*365)</f>
        <v>0</v>
      </c>
      <c r="D110" s="191">
        <f>IF(D12=0,0,D65/D14*365)</f>
        <v>0</v>
      </c>
    </row>
    <row r="111" spans="1:4">
      <c r="A111" s="182" t="s">
        <v>268</v>
      </c>
      <c r="B111" s="191">
        <f>B108+B109-B110</f>
        <v>0</v>
      </c>
      <c r="C111" s="191" t="e">
        <f>C108+C109-C110</f>
        <v>#DIV/0!</v>
      </c>
      <c r="D111" s="191" t="e">
        <f>D108+D109-D110</f>
        <v>#DIV/0!</v>
      </c>
    </row>
    <row r="112" spans="1:4">
      <c r="A112" s="182" t="s">
        <v>269</v>
      </c>
      <c r="B112" s="191">
        <f>B82-B64</f>
        <v>0</v>
      </c>
      <c r="C112" s="191">
        <f>C82-C64</f>
        <v>0</v>
      </c>
      <c r="D112" s="191">
        <f>D82-D64</f>
        <v>0</v>
      </c>
    </row>
    <row r="113" spans="1:4">
      <c r="A113" s="182" t="s">
        <v>270</v>
      </c>
      <c r="B113" s="191" t="e">
        <f>(B82-B88-B87+B90)/B64</f>
        <v>#DIV/0!</v>
      </c>
      <c r="C113" s="191" t="e">
        <f>(C82-C88-C87+C90)/C64</f>
        <v>#DIV/0!</v>
      </c>
      <c r="D113" s="191" t="e">
        <f>(D82-D88-D87+D90)/D64</f>
        <v>#DIV/0!</v>
      </c>
    </row>
    <row r="114" spans="1:4">
      <c r="A114" s="182" t="s">
        <v>271</v>
      </c>
      <c r="B114" s="191" t="e">
        <f>(B82-B88-B87+B90+B84)/B64</f>
        <v>#DIV/0!</v>
      </c>
      <c r="C114" s="191" t="e">
        <f>(C82-C88-C87+C90+C84)/C64</f>
        <v>#DIV/0!</v>
      </c>
      <c r="D114" s="191" t="e">
        <f>(D82-D88-D87+D90+D84)/D64</f>
        <v>#DIV/0!</v>
      </c>
    </row>
    <row r="115" spans="1:4">
      <c r="A115" s="182" t="s">
        <v>272</v>
      </c>
      <c r="B115" s="191">
        <f>B63/B26</f>
        <v>0</v>
      </c>
      <c r="C115" s="191" t="e">
        <f>C63/C26</f>
        <v>#DIV/0!</v>
      </c>
      <c r="D115" s="191" t="e">
        <f>D63/D26</f>
        <v>#DIV/0!</v>
      </c>
    </row>
    <row r="116" spans="1:4">
      <c r="A116" s="182" t="s">
        <v>273</v>
      </c>
      <c r="B116" s="191" t="e">
        <f>(B26-B41)/(B27+B66)</f>
        <v>#DIV/0!</v>
      </c>
      <c r="C116" s="191" t="e">
        <f>(C26-C41)/(C27+C66)</f>
        <v>#DIV/0!</v>
      </c>
      <c r="D116" s="191" t="e">
        <f>(D26-D41)/(D27+D66)</f>
        <v>#DIV/0!</v>
      </c>
    </row>
    <row r="117" spans="1:4">
      <c r="A117" s="175"/>
      <c r="B117" s="209"/>
      <c r="C117" s="209"/>
      <c r="D117" s="210"/>
    </row>
    <row r="118" spans="1:4">
      <c r="A118" s="211" t="s">
        <v>274</v>
      </c>
      <c r="B118" s="197">
        <f>B99</f>
        <v>42825</v>
      </c>
      <c r="C118" s="197">
        <f>C99</f>
        <v>43190</v>
      </c>
      <c r="D118" s="197">
        <f>D99</f>
        <v>43555</v>
      </c>
    </row>
    <row r="119" spans="1:4">
      <c r="A119" s="212" t="s">
        <v>275</v>
      </c>
      <c r="B119" s="205"/>
      <c r="C119" s="205"/>
      <c r="D119" s="205"/>
    </row>
    <row r="120" spans="1:4">
      <c r="A120" s="187" t="s">
        <v>276</v>
      </c>
      <c r="B120" s="213"/>
      <c r="C120" s="213">
        <f>C43</f>
        <v>0</v>
      </c>
      <c r="D120" s="213">
        <f>D43</f>
        <v>0</v>
      </c>
    </row>
    <row r="121" spans="1:4">
      <c r="A121" s="187" t="s">
        <v>277</v>
      </c>
      <c r="B121" s="213"/>
      <c r="C121" s="213">
        <f>C34</f>
        <v>0</v>
      </c>
      <c r="D121" s="213">
        <f>D34</f>
        <v>0</v>
      </c>
    </row>
    <row r="122" spans="1:4">
      <c r="A122" s="187" t="s">
        <v>278</v>
      </c>
      <c r="B122" s="213"/>
      <c r="C122" s="213">
        <f>C75-B75-C34</f>
        <v>0</v>
      </c>
      <c r="D122" s="213">
        <f>D75-C75-D34</f>
        <v>0</v>
      </c>
    </row>
    <row r="123" spans="1:4">
      <c r="A123" s="187" t="s">
        <v>279</v>
      </c>
      <c r="B123" s="213"/>
      <c r="C123" s="213">
        <f>C35</f>
        <v>0</v>
      </c>
      <c r="D123" s="213">
        <f>D35</f>
        <v>0</v>
      </c>
    </row>
    <row r="124" spans="1:4">
      <c r="A124" s="187" t="s">
        <v>280</v>
      </c>
      <c r="B124" s="213"/>
      <c r="C124" s="213">
        <f>C36</f>
        <v>0</v>
      </c>
      <c r="D124" s="213">
        <f>D36</f>
        <v>0</v>
      </c>
    </row>
    <row r="125" spans="1:4">
      <c r="A125" s="187" t="s">
        <v>281</v>
      </c>
      <c r="B125" s="213"/>
      <c r="C125" s="213">
        <f>SUM(C120:C124)</f>
        <v>0</v>
      </c>
      <c r="D125" s="213">
        <f>SUM(D120:D124)</f>
        <v>0</v>
      </c>
    </row>
    <row r="126" spans="1:4">
      <c r="A126" s="187" t="s">
        <v>282</v>
      </c>
      <c r="B126" s="213"/>
      <c r="C126" s="213">
        <f>(B82-B86)-(C82-C86)</f>
        <v>0</v>
      </c>
      <c r="D126" s="213">
        <f>(C82-C86)-(D82-D86)</f>
        <v>0</v>
      </c>
    </row>
    <row r="127" spans="1:4">
      <c r="A127" s="187" t="s">
        <v>283</v>
      </c>
      <c r="B127" s="213"/>
      <c r="C127" s="213">
        <f>B93-C93</f>
        <v>0</v>
      </c>
      <c r="D127" s="213">
        <f>C93-D93</f>
        <v>0</v>
      </c>
    </row>
    <row r="128" spans="1:4">
      <c r="A128" s="187" t="s">
        <v>284</v>
      </c>
      <c r="B128" s="213"/>
      <c r="C128" s="213">
        <f>C64-B64</f>
        <v>0</v>
      </c>
      <c r="D128" s="213">
        <f>D64-C64</f>
        <v>0</v>
      </c>
    </row>
    <row r="129" spans="1:4">
      <c r="A129" s="214" t="s">
        <v>285</v>
      </c>
      <c r="B129" s="215"/>
      <c r="C129" s="216">
        <f>C125+C126+C128</f>
        <v>0</v>
      </c>
      <c r="D129" s="216">
        <f>D125+D126+D128</f>
        <v>0</v>
      </c>
    </row>
    <row r="130" spans="1:4">
      <c r="A130" s="217" t="s">
        <v>286</v>
      </c>
      <c r="B130" s="215"/>
      <c r="C130" s="216">
        <f>C10</f>
        <v>0</v>
      </c>
      <c r="D130" s="216">
        <f>D10</f>
        <v>0</v>
      </c>
    </row>
    <row r="131" spans="1:4">
      <c r="A131" s="187"/>
      <c r="B131" s="205"/>
      <c r="C131" s="213"/>
      <c r="D131" s="213"/>
    </row>
    <row r="132" spans="1:4">
      <c r="A132" s="212" t="s">
        <v>287</v>
      </c>
      <c r="B132" s="205"/>
      <c r="C132" s="213"/>
      <c r="D132" s="213"/>
    </row>
    <row r="133" spans="1:4">
      <c r="A133" s="187" t="s">
        <v>288</v>
      </c>
      <c r="B133" s="213"/>
      <c r="C133" s="213">
        <f>B78+B75-C75-C78+B77-C77+B76-C76</f>
        <v>0</v>
      </c>
      <c r="D133" s="213">
        <f>C78+C75-D75-D78+C77-D77+C76-D76</f>
        <v>0</v>
      </c>
    </row>
    <row r="134" spans="1:4">
      <c r="A134" s="187" t="s">
        <v>289</v>
      </c>
      <c r="B134" s="213"/>
      <c r="C134" s="213">
        <f>-(C84-B84+C87-B87+C90-B90)</f>
        <v>0</v>
      </c>
      <c r="D134" s="213">
        <f>-(D84-C84+D87-C87+D90-C90)</f>
        <v>0</v>
      </c>
    </row>
    <row r="135" spans="1:4">
      <c r="A135" s="187" t="s">
        <v>290</v>
      </c>
      <c r="B135" s="213"/>
      <c r="C135" s="213">
        <f>B92-C92</f>
        <v>0</v>
      </c>
      <c r="D135" s="213">
        <f>C92-D92</f>
        <v>0</v>
      </c>
    </row>
    <row r="136" spans="1:4">
      <c r="A136" s="217" t="s">
        <v>291</v>
      </c>
      <c r="B136" s="218"/>
      <c r="C136" s="216">
        <f>SUM(C133:C135)</f>
        <v>0</v>
      </c>
      <c r="D136" s="216">
        <f>SUM(D133:D135)</f>
        <v>0</v>
      </c>
    </row>
    <row r="137" spans="1:4">
      <c r="A137" s="187"/>
      <c r="B137" s="205"/>
      <c r="C137" s="213"/>
      <c r="D137" s="213"/>
    </row>
    <row r="138" spans="1:4">
      <c r="A138" s="212" t="s">
        <v>292</v>
      </c>
      <c r="B138" s="205"/>
      <c r="C138" s="213"/>
      <c r="D138" s="213"/>
    </row>
    <row r="139" spans="1:4">
      <c r="A139" s="187" t="s">
        <v>293</v>
      </c>
      <c r="B139" s="213"/>
      <c r="C139" s="213">
        <f>C59-B59</f>
        <v>0</v>
      </c>
      <c r="D139" s="213">
        <f>D59-C59</f>
        <v>0</v>
      </c>
    </row>
    <row r="140" spans="1:4">
      <c r="A140" s="187" t="s">
        <v>294</v>
      </c>
      <c r="B140" s="213"/>
      <c r="C140" s="213">
        <f>C60+C61-B60-B61</f>
        <v>0</v>
      </c>
      <c r="D140" s="213">
        <f>D60+D61-C60-C61</f>
        <v>0</v>
      </c>
    </row>
    <row r="141" spans="1:4">
      <c r="A141" s="187" t="s">
        <v>295</v>
      </c>
      <c r="B141" s="213"/>
      <c r="C141" s="213">
        <f>(C55-C42)-B55</f>
        <v>0</v>
      </c>
      <c r="D141" s="213">
        <f>(D55-D42)-C55</f>
        <v>0</v>
      </c>
    </row>
    <row r="142" spans="1:4">
      <c r="A142" s="187" t="s">
        <v>296</v>
      </c>
      <c r="B142" s="213"/>
      <c r="C142" s="213">
        <f>C56-B56</f>
        <v>0</v>
      </c>
      <c r="D142" s="213">
        <f>D56-C56</f>
        <v>0</v>
      </c>
    </row>
    <row r="143" spans="1:4">
      <c r="A143" s="217" t="s">
        <v>297</v>
      </c>
      <c r="B143" s="218"/>
      <c r="C143" s="216">
        <f>SUM(C139:C142)</f>
        <v>0</v>
      </c>
      <c r="D143" s="216">
        <f>SUM(D139:D142)</f>
        <v>0</v>
      </c>
    </row>
    <row r="144" spans="1:4">
      <c r="A144" s="217" t="s">
        <v>298</v>
      </c>
      <c r="B144" s="218"/>
      <c r="C144" s="216">
        <f>C129+C130+C136+C143</f>
        <v>0</v>
      </c>
      <c r="D144" s="216">
        <f>D129+D130+D136+D143</f>
        <v>0</v>
      </c>
    </row>
    <row r="145" spans="1:4">
      <c r="A145" s="187"/>
      <c r="B145" s="205"/>
      <c r="C145" s="213"/>
      <c r="D145" s="213"/>
    </row>
    <row r="146" spans="1:4">
      <c r="A146" s="217" t="s">
        <v>299</v>
      </c>
      <c r="B146" s="218"/>
      <c r="C146" s="219">
        <f>B86</f>
        <v>0</v>
      </c>
      <c r="D146" s="219">
        <f>C86</f>
        <v>0</v>
      </c>
    </row>
    <row r="147" spans="1:4">
      <c r="A147" s="217" t="s">
        <v>300</v>
      </c>
      <c r="B147" s="218"/>
      <c r="C147" s="219">
        <f>C86</f>
        <v>0</v>
      </c>
      <c r="D147" s="219">
        <f>D86</f>
        <v>0</v>
      </c>
    </row>
    <row r="148" spans="1:4">
      <c r="A148" s="187"/>
      <c r="B148" s="205"/>
      <c r="C148" s="213"/>
      <c r="D148" s="213"/>
    </row>
    <row r="149" spans="1:4">
      <c r="A149" s="187" t="s">
        <v>301</v>
      </c>
      <c r="B149" s="205"/>
      <c r="C149" s="213">
        <f>C146+C144-C147</f>
        <v>0</v>
      </c>
      <c r="D149" s="213">
        <f>D146+D144-D147</f>
        <v>0</v>
      </c>
    </row>
    <row r="150" spans="1:4"/>
    <row r="151" spans="1:4"/>
    <row r="152" spans="1:4" hidden="1"/>
    <row r="153" spans="1:4" hidden="1"/>
    <row r="154" spans="1:4" hidden="1"/>
    <row r="155" spans="1:4" hidden="1"/>
    <row r="156" spans="1:4" hidden="1"/>
    <row r="157" spans="1:4" hidden="1"/>
    <row r="158" spans="1:4" hidden="1"/>
    <row r="159" spans="1:4" hidden="1"/>
    <row r="160" spans="1:4" hidden="1"/>
    <row r="161" hidden="1"/>
    <row r="162" hidden="1"/>
    <row r="163" hidden="1"/>
    <row r="164" hidden="1"/>
  </sheetData>
  <sheetProtection password="857C" sheet="1" objects="1" scenarios="1" formatCells="0" formatColumns="0" formatRows="0"/>
  <mergeCells count="1">
    <mergeCell ref="A3:A4"/>
  </mergeCells>
  <pageMargins left="0.69930555555555496" right="0.69930555555555496" top="0.75" bottom="0.7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A1:AMK130"/>
  <sheetViews>
    <sheetView zoomScaleNormal="100" workbookViewId="0">
      <selection activeCell="E27" sqref="E27"/>
    </sheetView>
  </sheetViews>
  <sheetFormatPr defaultRowHeight="15" zeroHeight="1"/>
  <cols>
    <col min="1" max="1" width="63.140625" style="220" customWidth="1"/>
    <col min="2" max="2" width="17.85546875" style="221" customWidth="1"/>
    <col min="3" max="3" width="19" style="221" customWidth="1"/>
    <col min="4" max="5" width="18" style="221" customWidth="1"/>
    <col min="6" max="6" width="9.140625" style="222" customWidth="1"/>
    <col min="7" max="1025" width="9.140625" style="223" hidden="1" customWidth="1"/>
  </cols>
  <sheetData>
    <row r="1" spans="1:6">
      <c r="A1" s="224" t="s">
        <v>166</v>
      </c>
      <c r="B1" s="225"/>
      <c r="C1" s="225"/>
      <c r="D1" s="225"/>
      <c r="E1" s="226"/>
      <c r="F1" s="227"/>
    </row>
    <row r="2" spans="1:6" s="231" customFormat="1" ht="12">
      <c r="A2" s="228"/>
      <c r="B2" s="229"/>
      <c r="C2" s="229"/>
      <c r="D2" s="229"/>
      <c r="E2" s="229"/>
      <c r="F2" s="230"/>
    </row>
    <row r="3" spans="1:6" s="231" customFormat="1" ht="12">
      <c r="A3" s="911" t="s">
        <v>167</v>
      </c>
      <c r="B3" s="232" t="e">
        <f>VLOOKUP($B$1,'Customer Details'!B8:J13,8,0)</f>
        <v>#N/A</v>
      </c>
      <c r="C3" s="232" t="e">
        <f>VLOOKUP($B$1,'Customer Details'!B8:K13,9,0)</f>
        <v>#N/A</v>
      </c>
      <c r="F3" s="233"/>
    </row>
    <row r="4" spans="1:6" s="231" customFormat="1" ht="12">
      <c r="A4" s="911"/>
      <c r="B4" s="232" t="e">
        <f>VLOOKUP($B$1,'Customer Details'!B8:L13,10,0)</f>
        <v>#N/A</v>
      </c>
      <c r="C4" s="234" t="str">
        <f>IF($B$1="","",VLOOKUP($B$1,'Customer Details'!B8:M13,11,0))</f>
        <v/>
      </c>
      <c r="D4" s="235"/>
      <c r="E4" s="235"/>
      <c r="F4" s="233"/>
    </row>
    <row r="5" spans="1:6" s="231" customFormat="1" ht="12">
      <c r="A5" s="236"/>
      <c r="B5" s="237"/>
      <c r="C5" s="237"/>
      <c r="D5" s="237"/>
      <c r="E5" s="237"/>
      <c r="F5" s="233"/>
    </row>
    <row r="6" spans="1:6">
      <c r="A6" s="238"/>
      <c r="B6" s="239" t="s">
        <v>169</v>
      </c>
      <c r="C6" s="239" t="s">
        <v>169</v>
      </c>
      <c r="D6" s="240" t="s">
        <v>169</v>
      </c>
      <c r="E6" s="240"/>
      <c r="F6" s="227"/>
    </row>
    <row r="7" spans="1:6">
      <c r="A7" s="241" t="s">
        <v>171</v>
      </c>
      <c r="B7" s="242">
        <v>42094</v>
      </c>
      <c r="C7" s="243">
        <v>42460</v>
      </c>
      <c r="D7" s="243">
        <v>42825</v>
      </c>
      <c r="E7" s="243"/>
      <c r="F7" s="227"/>
    </row>
    <row r="8" spans="1:6">
      <c r="A8" s="244" t="s">
        <v>172</v>
      </c>
      <c r="B8" s="245"/>
      <c r="C8" s="245"/>
      <c r="D8" s="246"/>
      <c r="E8" s="246"/>
      <c r="F8" s="247"/>
    </row>
    <row r="9" spans="1:6">
      <c r="A9" s="244" t="s">
        <v>173</v>
      </c>
      <c r="B9" s="245"/>
      <c r="C9" s="245"/>
      <c r="D9" s="246"/>
      <c r="E9" s="246"/>
      <c r="F9" s="247"/>
    </row>
    <row r="10" spans="1:6">
      <c r="A10" s="244" t="s">
        <v>174</v>
      </c>
      <c r="B10" s="245"/>
      <c r="C10" s="245"/>
      <c r="D10" s="246"/>
      <c r="E10" s="246"/>
      <c r="F10" s="247"/>
    </row>
    <row r="11" spans="1:6">
      <c r="A11" s="238" t="s">
        <v>175</v>
      </c>
      <c r="B11" s="232">
        <f>SUM(B8:B10)</f>
        <v>0</v>
      </c>
      <c r="C11" s="232">
        <f>SUM(C8:C10)</f>
        <v>0</v>
      </c>
      <c r="D11" s="248">
        <f>SUM(D8:D10)</f>
        <v>0</v>
      </c>
      <c r="E11" s="248">
        <f>SUM(E8:E10)</f>
        <v>0</v>
      </c>
      <c r="F11" s="247"/>
    </row>
    <row r="12" spans="1:6">
      <c r="A12" s="238" t="s">
        <v>302</v>
      </c>
      <c r="B12" s="232">
        <f>B13+B14-B15+B16+B17</f>
        <v>0</v>
      </c>
      <c r="C12" s="232">
        <f>C13+C14-C15+C16+C17</f>
        <v>0</v>
      </c>
      <c r="D12" s="248">
        <f>D13+D14-D15+D16+D17</f>
        <v>0</v>
      </c>
      <c r="E12" s="248">
        <f>E13+E14-E15+E16+E17</f>
        <v>0</v>
      </c>
      <c r="F12" s="247"/>
    </row>
    <row r="13" spans="1:6">
      <c r="A13" s="244" t="s">
        <v>177</v>
      </c>
      <c r="B13" s="245"/>
      <c r="C13" s="249"/>
      <c r="D13" s="250"/>
      <c r="E13" s="250"/>
      <c r="F13" s="247"/>
    </row>
    <row r="14" spans="1:6">
      <c r="A14" s="244" t="s">
        <v>178</v>
      </c>
      <c r="B14" s="245"/>
      <c r="C14" s="245"/>
      <c r="D14" s="246"/>
      <c r="E14" s="246"/>
      <c r="F14" s="247"/>
    </row>
    <row r="15" spans="1:6">
      <c r="A15" s="244" t="s">
        <v>180</v>
      </c>
      <c r="B15" s="245"/>
      <c r="C15" s="245"/>
      <c r="D15" s="246"/>
      <c r="E15" s="246"/>
      <c r="F15" s="247"/>
    </row>
    <row r="16" spans="1:6">
      <c r="A16" s="244" t="s">
        <v>181</v>
      </c>
      <c r="B16" s="245"/>
      <c r="C16" s="245"/>
      <c r="D16" s="246"/>
      <c r="E16" s="246"/>
      <c r="F16" s="247"/>
    </row>
    <row r="17" spans="1:6">
      <c r="A17" s="244" t="s">
        <v>182</v>
      </c>
      <c r="B17" s="245"/>
      <c r="C17" s="245"/>
      <c r="D17" s="246"/>
      <c r="E17" s="246"/>
      <c r="F17" s="247"/>
    </row>
    <row r="18" spans="1:6">
      <c r="A18" s="238" t="s">
        <v>183</v>
      </c>
      <c r="B18" s="232">
        <f>B11-B12</f>
        <v>0</v>
      </c>
      <c r="C18" s="232">
        <f>C11-C12</f>
        <v>0</v>
      </c>
      <c r="D18" s="248">
        <f>D11-D12</f>
        <v>0</v>
      </c>
      <c r="E18" s="248">
        <f>E11-E12</f>
        <v>0</v>
      </c>
      <c r="F18" s="247"/>
    </row>
    <row r="19" spans="1:6">
      <c r="A19" s="238" t="s">
        <v>184</v>
      </c>
      <c r="B19" s="232">
        <f>B11-B12-B10</f>
        <v>0</v>
      </c>
      <c r="C19" s="232">
        <f>C11-C12-C10</f>
        <v>0</v>
      </c>
      <c r="D19" s="248">
        <f>D11-D12-D10</f>
        <v>0</v>
      </c>
      <c r="E19" s="248">
        <f>E11-E12-E10</f>
        <v>0</v>
      </c>
      <c r="F19" s="247"/>
    </row>
    <row r="20" spans="1:6">
      <c r="A20" s="244" t="s">
        <v>185</v>
      </c>
      <c r="B20" s="245"/>
      <c r="C20" s="245"/>
      <c r="D20" s="246"/>
      <c r="E20" s="246"/>
      <c r="F20" s="247"/>
    </row>
    <row r="21" spans="1:6">
      <c r="A21" s="244" t="s">
        <v>186</v>
      </c>
      <c r="B21" s="245"/>
      <c r="C21" s="245"/>
      <c r="D21" s="246"/>
      <c r="E21" s="246"/>
      <c r="F21" s="247"/>
    </row>
    <row r="22" spans="1:6">
      <c r="A22" s="244" t="s">
        <v>303</v>
      </c>
      <c r="B22" s="245"/>
      <c r="C22" s="245"/>
      <c r="D22" s="246"/>
      <c r="E22" s="246"/>
      <c r="F22" s="247"/>
    </row>
    <row r="23" spans="1:6">
      <c r="A23" s="244" t="s">
        <v>187</v>
      </c>
      <c r="B23" s="245"/>
      <c r="C23" s="245"/>
      <c r="D23" s="246"/>
      <c r="E23" s="246"/>
      <c r="F23" s="247"/>
    </row>
    <row r="24" spans="1:6">
      <c r="A24" s="244" t="s">
        <v>194</v>
      </c>
      <c r="B24" s="245"/>
      <c r="C24" s="245"/>
      <c r="D24" s="246"/>
      <c r="E24" s="246"/>
      <c r="F24" s="247"/>
    </row>
    <row r="25" spans="1:6">
      <c r="A25" s="238" t="s">
        <v>304</v>
      </c>
      <c r="B25" s="232">
        <f>B19-SUM(B20:B24)</f>
        <v>0</v>
      </c>
      <c r="C25" s="232">
        <f>C19-SUM(C20:C24)</f>
        <v>0</v>
      </c>
      <c r="D25" s="248">
        <f>D19-SUM(D20:D24)</f>
        <v>0</v>
      </c>
      <c r="E25" s="248">
        <f>E19-SUM(E20:E24)</f>
        <v>0</v>
      </c>
      <c r="F25" s="247"/>
    </row>
    <row r="26" spans="1:6">
      <c r="A26" s="244" t="s">
        <v>191</v>
      </c>
      <c r="B26" s="245"/>
      <c r="C26" s="245"/>
      <c r="D26" s="246"/>
      <c r="E26" s="246"/>
      <c r="F26" s="247"/>
    </row>
    <row r="27" spans="1:6">
      <c r="A27" s="238" t="s">
        <v>305</v>
      </c>
      <c r="B27" s="232">
        <f>B25-B26</f>
        <v>0</v>
      </c>
      <c r="C27" s="232">
        <f>C25-C26</f>
        <v>0</v>
      </c>
      <c r="D27" s="248">
        <f>D25-D26</f>
        <v>0</v>
      </c>
      <c r="E27" s="248">
        <f>E25-E26</f>
        <v>0</v>
      </c>
      <c r="F27" s="247"/>
    </row>
    <row r="28" spans="1:6">
      <c r="A28" s="244" t="s">
        <v>192</v>
      </c>
      <c r="B28" s="245"/>
      <c r="C28" s="245"/>
      <c r="D28" s="246"/>
      <c r="E28" s="246"/>
      <c r="F28" s="247"/>
    </row>
    <row r="29" spans="1:6">
      <c r="A29" s="244" t="s">
        <v>193</v>
      </c>
      <c r="B29" s="245"/>
      <c r="C29" s="245"/>
      <c r="D29" s="246"/>
      <c r="E29" s="246"/>
      <c r="F29" s="247"/>
    </row>
    <row r="30" spans="1:6">
      <c r="A30" s="244" t="s">
        <v>197</v>
      </c>
      <c r="B30" s="245"/>
      <c r="C30" s="245"/>
      <c r="D30" s="246"/>
      <c r="E30" s="246"/>
      <c r="F30" s="247"/>
    </row>
    <row r="31" spans="1:6">
      <c r="A31" s="244" t="s">
        <v>198</v>
      </c>
      <c r="B31" s="245"/>
      <c r="C31" s="245"/>
      <c r="D31" s="246"/>
      <c r="E31" s="246"/>
      <c r="F31" s="247"/>
    </row>
    <row r="32" spans="1:6">
      <c r="A32" s="244" t="s">
        <v>199</v>
      </c>
      <c r="B32" s="245"/>
      <c r="C32" s="245"/>
      <c r="D32" s="246"/>
      <c r="E32" s="246"/>
      <c r="F32" s="247"/>
    </row>
    <row r="33" spans="1:7">
      <c r="A33" s="244" t="s">
        <v>200</v>
      </c>
      <c r="B33" s="245"/>
      <c r="C33" s="245"/>
      <c r="D33" s="246"/>
      <c r="E33" s="246"/>
      <c r="F33" s="247"/>
    </row>
    <row r="34" spans="1:7">
      <c r="A34" s="244" t="s">
        <v>201</v>
      </c>
      <c r="B34" s="245"/>
      <c r="C34" s="245"/>
      <c r="D34" s="246"/>
      <c r="E34" s="246"/>
      <c r="F34" s="247"/>
    </row>
    <row r="35" spans="1:7">
      <c r="A35" s="238" t="s">
        <v>202</v>
      </c>
      <c r="B35" s="232">
        <f>B27-SUM(B28:B34)+B10</f>
        <v>0</v>
      </c>
      <c r="C35" s="232">
        <f>C27-SUM(C28:C34)+C10</f>
        <v>0</v>
      </c>
      <c r="D35" s="248">
        <f>D27-SUM(D28:D34)+D10</f>
        <v>0</v>
      </c>
      <c r="E35" s="248">
        <f>E27-SUM(E28:E34)+E10</f>
        <v>0</v>
      </c>
      <c r="F35" s="247"/>
    </row>
    <row r="36" spans="1:7">
      <c r="A36" s="238" t="s">
        <v>203</v>
      </c>
      <c r="B36" s="232">
        <f>B27-SUM(B28:B34)</f>
        <v>0</v>
      </c>
      <c r="C36" s="232">
        <f>C27-SUM(C28:C34)</f>
        <v>0</v>
      </c>
      <c r="D36" s="248">
        <f>D27-SUM(D28:D34)</f>
        <v>0</v>
      </c>
      <c r="E36" s="248">
        <f>E27-SUM(E28:E34)</f>
        <v>0</v>
      </c>
      <c r="F36" s="247"/>
    </row>
    <row r="37" spans="1:7">
      <c r="A37" s="244" t="s">
        <v>204</v>
      </c>
      <c r="B37" s="245"/>
      <c r="C37" s="245"/>
      <c r="D37" s="246"/>
      <c r="E37" s="246"/>
      <c r="F37" s="247"/>
    </row>
    <row r="38" spans="1:7">
      <c r="A38" s="238" t="s">
        <v>205</v>
      </c>
      <c r="B38" s="232">
        <f>B35-B37</f>
        <v>0</v>
      </c>
      <c r="C38" s="232">
        <f>C35-C37</f>
        <v>0</v>
      </c>
      <c r="D38" s="232">
        <f>D35-D37</f>
        <v>0</v>
      </c>
      <c r="E38" s="232">
        <f>E35-E37</f>
        <v>0</v>
      </c>
      <c r="F38" s="247"/>
    </row>
    <row r="39" spans="1:7">
      <c r="A39" s="238" t="s">
        <v>206</v>
      </c>
      <c r="B39" s="232">
        <f>B36-B37</f>
        <v>0</v>
      </c>
      <c r="C39" s="232">
        <f>C36-C37</f>
        <v>0</v>
      </c>
      <c r="D39" s="248">
        <f>D36-D37</f>
        <v>0</v>
      </c>
      <c r="E39" s="248">
        <f>E36-E37</f>
        <v>0</v>
      </c>
      <c r="F39" s="247"/>
    </row>
    <row r="40" spans="1:7">
      <c r="A40" s="238" t="s">
        <v>207</v>
      </c>
      <c r="B40" s="232">
        <f>B39+B30+B32</f>
        <v>0</v>
      </c>
      <c r="C40" s="232">
        <f>C39+C30+C32</f>
        <v>0</v>
      </c>
      <c r="D40" s="248">
        <f>D39+D30+D32</f>
        <v>0</v>
      </c>
      <c r="E40" s="248">
        <f>E39+E30+E32</f>
        <v>0</v>
      </c>
      <c r="F40" s="247"/>
    </row>
    <row r="41" spans="1:7">
      <c r="A41" s="238" t="s">
        <v>208</v>
      </c>
      <c r="B41" s="232">
        <f>B40+B33+B34</f>
        <v>0</v>
      </c>
      <c r="C41" s="232">
        <f>C40+C33+C34</f>
        <v>0</v>
      </c>
      <c r="D41" s="248">
        <f>D40+D33+D34</f>
        <v>0</v>
      </c>
      <c r="E41" s="248">
        <f>E40+E33+E34</f>
        <v>0</v>
      </c>
      <c r="F41" s="247"/>
    </row>
    <row r="42" spans="1:7" s="220" customFormat="1" ht="12">
      <c r="B42" s="251"/>
      <c r="C42" s="251"/>
      <c r="D42" s="251"/>
      <c r="E42" s="251"/>
      <c r="F42" s="252"/>
    </row>
    <row r="43" spans="1:7">
      <c r="A43" s="238"/>
      <c r="B43" s="239" t="s">
        <v>169</v>
      </c>
      <c r="C43" s="239" t="s">
        <v>169</v>
      </c>
      <c r="D43" s="240" t="s">
        <v>169</v>
      </c>
      <c r="E43" s="240"/>
      <c r="F43" s="247"/>
    </row>
    <row r="44" spans="1:7">
      <c r="A44" s="241" t="s">
        <v>211</v>
      </c>
      <c r="B44" s="242">
        <v>42094</v>
      </c>
      <c r="C44" s="243">
        <v>42460</v>
      </c>
      <c r="D44" s="243">
        <v>42825</v>
      </c>
      <c r="E44" s="243"/>
      <c r="F44" s="247"/>
    </row>
    <row r="45" spans="1:7" s="220" customFormat="1" ht="12">
      <c r="A45" s="241" t="s">
        <v>212</v>
      </c>
      <c r="B45" s="253"/>
      <c r="C45" s="253"/>
      <c r="D45" s="254"/>
      <c r="E45" s="254"/>
      <c r="F45" s="252"/>
    </row>
    <row r="46" spans="1:7">
      <c r="A46" s="244" t="s">
        <v>213</v>
      </c>
      <c r="B46" s="245"/>
      <c r="C46" s="245"/>
      <c r="D46" s="246"/>
      <c r="E46" s="246"/>
      <c r="F46" s="247"/>
    </row>
    <row r="47" spans="1:7">
      <c r="A47" s="244" t="s">
        <v>306</v>
      </c>
      <c r="B47" s="245"/>
      <c r="C47" s="245"/>
      <c r="D47" s="246"/>
      <c r="E47" s="246"/>
      <c r="F47" s="247"/>
    </row>
    <row r="48" spans="1:7" s="256" customFormat="1" ht="12">
      <c r="A48" s="238" t="s">
        <v>216</v>
      </c>
      <c r="B48" s="232">
        <f>SUM(B46:B47)</f>
        <v>0</v>
      </c>
      <c r="C48" s="232">
        <f>SUM(C46:C47)</f>
        <v>0</v>
      </c>
      <c r="D48" s="248">
        <f>SUM(D46:D47)</f>
        <v>0</v>
      </c>
      <c r="E48" s="248">
        <f>SUM(E46:E47)</f>
        <v>0</v>
      </c>
      <c r="F48" s="227"/>
      <c r="G48" s="255"/>
    </row>
    <row r="49" spans="1:7">
      <c r="A49" s="238"/>
      <c r="B49" s="232"/>
      <c r="C49" s="232"/>
      <c r="D49" s="248"/>
      <c r="E49" s="232"/>
      <c r="F49" s="227"/>
    </row>
    <row r="50" spans="1:7" s="257" customFormat="1" ht="12">
      <c r="A50" s="244" t="s">
        <v>217</v>
      </c>
      <c r="B50" s="245"/>
      <c r="C50" s="245"/>
      <c r="D50" s="246"/>
      <c r="E50" s="245"/>
      <c r="F50" s="247"/>
    </row>
    <row r="51" spans="1:7">
      <c r="A51" s="238" t="s">
        <v>218</v>
      </c>
      <c r="B51" s="232">
        <f>B48+B50-B72-B75-B82-B83</f>
        <v>0</v>
      </c>
      <c r="C51" s="232">
        <f>C48+C50-C72-C75-C82-C83</f>
        <v>0</v>
      </c>
      <c r="D51" s="232">
        <f>D48+D50-D72-D75-D82-D83</f>
        <v>0</v>
      </c>
      <c r="E51" s="232">
        <f>E48+E50-E72-E75-E82-E83</f>
        <v>0</v>
      </c>
      <c r="F51" s="227"/>
    </row>
    <row r="52" spans="1:7">
      <c r="A52" s="244" t="s">
        <v>219</v>
      </c>
      <c r="B52" s="245"/>
      <c r="C52" s="245"/>
      <c r="D52" s="246"/>
      <c r="E52" s="245"/>
      <c r="F52" s="247"/>
    </row>
    <row r="53" spans="1:7">
      <c r="A53" s="244" t="s">
        <v>220</v>
      </c>
      <c r="B53" s="245"/>
      <c r="C53" s="245"/>
      <c r="D53" s="246"/>
      <c r="E53" s="245"/>
      <c r="F53" s="247"/>
    </row>
    <row r="54" spans="1:7">
      <c r="A54" s="244" t="s">
        <v>221</v>
      </c>
      <c r="B54" s="245"/>
      <c r="C54" s="245"/>
      <c r="D54" s="246"/>
      <c r="E54" s="245"/>
      <c r="F54" s="247"/>
    </row>
    <row r="55" spans="1:7" s="256" customFormat="1" ht="12">
      <c r="A55" s="244" t="s">
        <v>222</v>
      </c>
      <c r="B55" s="245"/>
      <c r="C55" s="245"/>
      <c r="D55" s="246"/>
      <c r="E55" s="245"/>
      <c r="F55" s="247"/>
      <c r="G55" s="255"/>
    </row>
    <row r="56" spans="1:7" s="256" customFormat="1" ht="12">
      <c r="A56" s="238" t="s">
        <v>224</v>
      </c>
      <c r="B56" s="232">
        <f>SUM(B52:B55)</f>
        <v>0</v>
      </c>
      <c r="C56" s="232">
        <f>SUM(C52:C55)</f>
        <v>0</v>
      </c>
      <c r="D56" s="248">
        <f>SUM(D52:D55)</f>
        <v>0</v>
      </c>
      <c r="E56" s="232">
        <f>SUM(E52:E55)</f>
        <v>0</v>
      </c>
      <c r="F56" s="227"/>
      <c r="G56" s="255"/>
    </row>
    <row r="57" spans="1:7">
      <c r="A57" s="238" t="s">
        <v>225</v>
      </c>
      <c r="B57" s="232">
        <f>SUM(B58:B61)</f>
        <v>0</v>
      </c>
      <c r="C57" s="232">
        <f>SUM(C58:C61)</f>
        <v>0</v>
      </c>
      <c r="D57" s="248">
        <f>SUM(D58:D61)</f>
        <v>0</v>
      </c>
      <c r="E57" s="232">
        <f>SUM(E58:E61)</f>
        <v>0</v>
      </c>
      <c r="F57" s="227"/>
    </row>
    <row r="58" spans="1:7">
      <c r="A58" s="244" t="s">
        <v>226</v>
      </c>
      <c r="B58" s="245"/>
      <c r="C58" s="245"/>
      <c r="D58" s="246"/>
      <c r="E58" s="245"/>
      <c r="F58" s="247"/>
    </row>
    <row r="59" spans="1:7">
      <c r="A59" s="244" t="s">
        <v>227</v>
      </c>
      <c r="B59" s="245"/>
      <c r="C59" s="245"/>
      <c r="D59" s="246"/>
      <c r="E59" s="245"/>
      <c r="F59" s="247"/>
    </row>
    <row r="60" spans="1:7">
      <c r="A60" s="244" t="s">
        <v>228</v>
      </c>
      <c r="B60" s="245"/>
      <c r="C60" s="245"/>
      <c r="D60" s="246"/>
      <c r="E60" s="245"/>
      <c r="F60" s="247"/>
    </row>
    <row r="61" spans="1:7" s="256" customFormat="1" ht="12">
      <c r="A61" s="244" t="s">
        <v>229</v>
      </c>
      <c r="B61" s="245"/>
      <c r="C61" s="245"/>
      <c r="D61" s="246"/>
      <c r="E61" s="245"/>
      <c r="F61" s="247"/>
      <c r="G61" s="255"/>
    </row>
    <row r="62" spans="1:7" s="256" customFormat="1" ht="12">
      <c r="A62" s="238" t="s">
        <v>230</v>
      </c>
      <c r="B62" s="232">
        <f>B57+B56</f>
        <v>0</v>
      </c>
      <c r="C62" s="232">
        <f>C57+C56</f>
        <v>0</v>
      </c>
      <c r="D62" s="248">
        <f>D57+D56</f>
        <v>0</v>
      </c>
      <c r="E62" s="232">
        <f>E57+E56</f>
        <v>0</v>
      </c>
      <c r="F62" s="227"/>
      <c r="G62" s="255"/>
    </row>
    <row r="63" spans="1:7">
      <c r="A63" s="238" t="s">
        <v>231</v>
      </c>
      <c r="B63" s="232">
        <f>B48+B56+B50+B57</f>
        <v>0</v>
      </c>
      <c r="C63" s="232">
        <f>C48+C56+C50+C57</f>
        <v>0</v>
      </c>
      <c r="D63" s="248">
        <f>D48+D56+D50+D57</f>
        <v>0</v>
      </c>
      <c r="E63" s="232">
        <f>E48+E56+E50+E57</f>
        <v>0</v>
      </c>
      <c r="F63" s="227"/>
    </row>
    <row r="64" spans="1:7" s="256" customFormat="1" ht="12">
      <c r="A64" s="244"/>
      <c r="B64" s="245"/>
      <c r="C64" s="245"/>
      <c r="D64" s="246"/>
      <c r="E64" s="245"/>
      <c r="F64" s="247"/>
      <c r="G64" s="255"/>
    </row>
    <row r="65" spans="1:7">
      <c r="A65" s="238" t="s">
        <v>232</v>
      </c>
      <c r="B65" s="258"/>
      <c r="C65" s="258"/>
      <c r="D65" s="259"/>
      <c r="E65" s="258"/>
      <c r="F65" s="227"/>
    </row>
    <row r="66" spans="1:7">
      <c r="A66" s="244" t="s">
        <v>233</v>
      </c>
      <c r="B66" s="245"/>
      <c r="C66" s="245"/>
      <c r="D66" s="246"/>
      <c r="E66" s="245"/>
      <c r="F66" s="247"/>
    </row>
    <row r="67" spans="1:7">
      <c r="A67" s="244" t="s">
        <v>234</v>
      </c>
      <c r="B67" s="245"/>
      <c r="C67" s="245"/>
      <c r="D67" s="246"/>
      <c r="E67" s="245"/>
      <c r="F67" s="247"/>
    </row>
    <row r="68" spans="1:7" s="256" customFormat="1" ht="12">
      <c r="A68" s="244" t="s">
        <v>235</v>
      </c>
      <c r="B68" s="245"/>
      <c r="C68" s="245"/>
      <c r="D68" s="246"/>
      <c r="E68" s="245"/>
      <c r="F68" s="247"/>
      <c r="G68" s="255"/>
    </row>
    <row r="69" spans="1:7" s="256" customFormat="1" ht="12">
      <c r="A69" s="238" t="s">
        <v>307</v>
      </c>
      <c r="B69" s="232">
        <f>B66+B67-B68</f>
        <v>0</v>
      </c>
      <c r="C69" s="232">
        <f>C66+C67-C68</f>
        <v>0</v>
      </c>
      <c r="D69" s="248">
        <f>D66+D67-D68</f>
        <v>0</v>
      </c>
      <c r="E69" s="232">
        <f>E66+E67-E68</f>
        <v>0</v>
      </c>
      <c r="F69" s="227"/>
      <c r="G69" s="255"/>
    </row>
    <row r="70" spans="1:7">
      <c r="A70" s="238" t="s">
        <v>238</v>
      </c>
      <c r="B70" s="232">
        <f>SUM(B71:B72)</f>
        <v>0</v>
      </c>
      <c r="C70" s="232">
        <f>SUM(C71:C72)</f>
        <v>0</v>
      </c>
      <c r="D70" s="248">
        <f>SUM(D71:D72)</f>
        <v>0</v>
      </c>
      <c r="E70" s="232">
        <f>SUM(E71:E72)</f>
        <v>0</v>
      </c>
      <c r="F70" s="227"/>
    </row>
    <row r="71" spans="1:7">
      <c r="A71" s="244" t="s">
        <v>239</v>
      </c>
      <c r="B71" s="245"/>
      <c r="C71" s="245"/>
      <c r="D71" s="246"/>
      <c r="E71" s="245"/>
      <c r="F71" s="247"/>
    </row>
    <row r="72" spans="1:7" s="256" customFormat="1" ht="12">
      <c r="A72" s="244" t="s">
        <v>240</v>
      </c>
      <c r="B72" s="245"/>
      <c r="C72" s="245"/>
      <c r="D72" s="246"/>
      <c r="E72" s="245"/>
      <c r="F72" s="247"/>
      <c r="G72" s="255"/>
    </row>
    <row r="73" spans="1:7">
      <c r="A73" s="238" t="s">
        <v>241</v>
      </c>
      <c r="B73" s="232">
        <f>SUM(B74:B79)</f>
        <v>0</v>
      </c>
      <c r="C73" s="232">
        <f>SUM(C74:C79)</f>
        <v>0</v>
      </c>
      <c r="D73" s="248">
        <f>SUM(D74:D79)</f>
        <v>0</v>
      </c>
      <c r="E73" s="232">
        <f>SUM(E74:E79)</f>
        <v>0</v>
      </c>
      <c r="F73" s="227"/>
    </row>
    <row r="74" spans="1:7">
      <c r="A74" s="244" t="s">
        <v>242</v>
      </c>
      <c r="B74" s="245"/>
      <c r="C74" s="245"/>
      <c r="D74" s="246"/>
      <c r="E74" s="245"/>
      <c r="F74" s="247"/>
    </row>
    <row r="75" spans="1:7">
      <c r="A75" s="244" t="s">
        <v>243</v>
      </c>
      <c r="B75" s="245"/>
      <c r="C75" s="245"/>
      <c r="D75" s="246"/>
      <c r="E75" s="245"/>
      <c r="F75" s="247"/>
    </row>
    <row r="76" spans="1:7">
      <c r="A76" s="244" t="s">
        <v>244</v>
      </c>
      <c r="B76" s="245"/>
      <c r="C76" s="245"/>
      <c r="D76" s="246"/>
      <c r="E76" s="245"/>
      <c r="F76" s="247"/>
    </row>
    <row r="77" spans="1:7">
      <c r="A77" s="244" t="s">
        <v>245</v>
      </c>
      <c r="B77" s="245"/>
      <c r="C77" s="245"/>
      <c r="D77" s="246"/>
      <c r="E77" s="245"/>
      <c r="F77" s="247"/>
    </row>
    <row r="78" spans="1:7">
      <c r="A78" s="244" t="s">
        <v>246</v>
      </c>
      <c r="B78" s="245"/>
      <c r="C78" s="245"/>
      <c r="D78" s="246"/>
      <c r="E78" s="245"/>
      <c r="F78" s="247"/>
    </row>
    <row r="79" spans="1:7" s="256" customFormat="1" ht="12">
      <c r="A79" s="244" t="s">
        <v>247</v>
      </c>
      <c r="B79" s="245"/>
      <c r="C79" s="245"/>
      <c r="D79" s="246"/>
      <c r="E79" s="245"/>
      <c r="F79" s="247"/>
      <c r="G79" s="255"/>
    </row>
    <row r="80" spans="1:7">
      <c r="A80" s="238" t="s">
        <v>248</v>
      </c>
      <c r="B80" s="232">
        <f>SUM(B81:B82)</f>
        <v>0</v>
      </c>
      <c r="C80" s="232">
        <f>SUM(C81:C82)</f>
        <v>0</v>
      </c>
      <c r="D80" s="248">
        <f>SUM(D81:D82)</f>
        <v>0</v>
      </c>
      <c r="E80" s="232">
        <f>SUM(E81:E82)</f>
        <v>0</v>
      </c>
      <c r="F80" s="227"/>
    </row>
    <row r="81" spans="1:7">
      <c r="A81" s="244" t="s">
        <v>308</v>
      </c>
      <c r="B81" s="245"/>
      <c r="C81" s="245"/>
      <c r="D81" s="246"/>
      <c r="E81" s="245"/>
      <c r="F81" s="247"/>
    </row>
    <row r="82" spans="1:7" s="256" customFormat="1" ht="12">
      <c r="A82" s="244" t="s">
        <v>251</v>
      </c>
      <c r="B82" s="245"/>
      <c r="C82" s="245"/>
      <c r="D82" s="246"/>
      <c r="E82" s="245"/>
      <c r="F82" s="247"/>
      <c r="G82" s="255"/>
    </row>
    <row r="83" spans="1:7">
      <c r="A83" s="244" t="s">
        <v>253</v>
      </c>
      <c r="B83" s="245"/>
      <c r="C83" s="245"/>
      <c r="D83" s="246"/>
      <c r="E83" s="245"/>
      <c r="F83" s="247"/>
    </row>
    <row r="84" spans="1:7">
      <c r="A84" s="238" t="s">
        <v>255</v>
      </c>
      <c r="B84" s="232">
        <f>B69+B70+B73+B80+B83</f>
        <v>0</v>
      </c>
      <c r="C84" s="232">
        <f>C69+C70+C73+C80+C83</f>
        <v>0</v>
      </c>
      <c r="D84" s="232">
        <f>D69+D70+D73+D80+D83</f>
        <v>0</v>
      </c>
      <c r="E84" s="232">
        <f>E69+E70+E73+E80+E83</f>
        <v>0</v>
      </c>
      <c r="F84" s="227"/>
    </row>
    <row r="85" spans="1:7">
      <c r="A85" s="260" t="s">
        <v>256</v>
      </c>
      <c r="B85" s="249">
        <f>B63-B84</f>
        <v>0</v>
      </c>
      <c r="C85" s="249">
        <f>C63-C84</f>
        <v>0</v>
      </c>
      <c r="D85" s="250">
        <f>D63-D84</f>
        <v>0</v>
      </c>
      <c r="E85" s="249">
        <f>E63-E84</f>
        <v>0</v>
      </c>
      <c r="F85" s="247"/>
    </row>
    <row r="86" spans="1:7">
      <c r="E86" s="245"/>
      <c r="F86" s="247"/>
    </row>
    <row r="87" spans="1:7">
      <c r="A87" s="261" t="s">
        <v>257</v>
      </c>
      <c r="B87" s="262">
        <v>42094</v>
      </c>
      <c r="C87" s="263">
        <v>42460</v>
      </c>
      <c r="D87" s="262">
        <v>42825</v>
      </c>
      <c r="E87" s="262"/>
    </row>
    <row r="88" spans="1:7">
      <c r="A88" s="264" t="s">
        <v>258</v>
      </c>
      <c r="B88" s="232"/>
      <c r="C88" s="265" t="e">
        <f>(C8-B8)/B8</f>
        <v>#DIV/0!</v>
      </c>
      <c r="D88" s="266" t="e">
        <f>(D8-C8)/C8</f>
        <v>#DIV/0!</v>
      </c>
      <c r="E88" s="265" t="e">
        <f>(E8-D8)/D8</f>
        <v>#DIV/0!</v>
      </c>
    </row>
    <row r="89" spans="1:7">
      <c r="A89" s="264" t="s">
        <v>259</v>
      </c>
      <c r="B89" s="234" t="e">
        <f>B39/(B8+B9)</f>
        <v>#DIV/0!</v>
      </c>
      <c r="C89" s="234" t="e">
        <f>C39/(C8+C9)</f>
        <v>#DIV/0!</v>
      </c>
      <c r="D89" s="267" t="e">
        <f>D39/(D8+D9)</f>
        <v>#DIV/0!</v>
      </c>
      <c r="E89" s="234" t="e">
        <f>E39/(E8+E9)</f>
        <v>#DIV/0!</v>
      </c>
    </row>
    <row r="90" spans="1:7">
      <c r="A90" s="264" t="s">
        <v>260</v>
      </c>
      <c r="B90" s="234" t="e">
        <f>B41/(B8+B9)</f>
        <v>#DIV/0!</v>
      </c>
      <c r="C90" s="234" t="e">
        <f>C41/(C8+C9)</f>
        <v>#DIV/0!</v>
      </c>
      <c r="D90" s="267" t="e">
        <f>D41/(D8+D9)</f>
        <v>#DIV/0!</v>
      </c>
      <c r="E90" s="234" t="e">
        <f>E41/(E8+E9)</f>
        <v>#DIV/0!</v>
      </c>
    </row>
    <row r="91" spans="1:7">
      <c r="A91" s="264" t="s">
        <v>309</v>
      </c>
      <c r="B91" s="234" t="e">
        <f>B25/(B8+B9)</f>
        <v>#DIV/0!</v>
      </c>
      <c r="C91" s="234" t="e">
        <f>C25/(C8+C9)</f>
        <v>#DIV/0!</v>
      </c>
      <c r="D91" s="267" t="e">
        <f>D25/(D8+D9)</f>
        <v>#DIV/0!</v>
      </c>
      <c r="E91" s="234" t="e">
        <f>E25/(E8+E9)</f>
        <v>#DIV/0!</v>
      </c>
    </row>
    <row r="92" spans="1:7">
      <c r="A92" s="264" t="s">
        <v>263</v>
      </c>
      <c r="B92" s="232" t="e">
        <f>(B56-B52+B59)/B51</f>
        <v>#DIV/0!</v>
      </c>
      <c r="C92" s="232" t="e">
        <f>(C56-C52+C59)/C51</f>
        <v>#DIV/0!</v>
      </c>
      <c r="D92" s="248" t="e">
        <f>(D56-D52+D59)/D51</f>
        <v>#DIV/0!</v>
      </c>
      <c r="E92" s="232" t="e">
        <f>(E56-E52+E59)/E51</f>
        <v>#DIV/0!</v>
      </c>
    </row>
    <row r="93" spans="1:7">
      <c r="A93" s="264" t="s">
        <v>74</v>
      </c>
      <c r="B93" s="248" t="e">
        <f>(B56+B59)/B51</f>
        <v>#DIV/0!</v>
      </c>
      <c r="C93" s="248" t="e">
        <f>(C56+C59)/C51</f>
        <v>#DIV/0!</v>
      </c>
      <c r="D93" s="248" t="e">
        <f>(D56+D59)/D51</f>
        <v>#DIV/0!</v>
      </c>
      <c r="E93" s="232" t="e">
        <f>(E56+E59)/E51</f>
        <v>#DIV/0!</v>
      </c>
    </row>
    <row r="94" spans="1:7">
      <c r="A94" s="264" t="s">
        <v>264</v>
      </c>
      <c r="B94" s="232" t="e">
        <f>B25/(B26+B28+B29)</f>
        <v>#DIV/0!</v>
      </c>
      <c r="C94" s="232" t="e">
        <f>C25/(C26+C28+C29)</f>
        <v>#DIV/0!</v>
      </c>
      <c r="D94" s="248" t="e">
        <f>D25/(D26+D28+D29)</f>
        <v>#DIV/0!</v>
      </c>
      <c r="E94" s="232" t="e">
        <f>E25/(E26+E28+E29)</f>
        <v>#DIV/0!</v>
      </c>
    </row>
    <row r="95" spans="1:7">
      <c r="A95" s="264" t="s">
        <v>265</v>
      </c>
      <c r="B95" s="232" t="e">
        <f>(B75+B76)/(B8+B9)*365</f>
        <v>#DIV/0!</v>
      </c>
      <c r="C95" s="232" t="e">
        <f>(C75+C76)/(C8+C9)*365</f>
        <v>#DIV/0!</v>
      </c>
      <c r="D95" s="248" t="e">
        <f>(D75+D76)/(D8+D9)*365</f>
        <v>#DIV/0!</v>
      </c>
      <c r="E95" s="232" t="e">
        <f>(E75+E76)/(E8+E9)*365</f>
        <v>#DIV/0!</v>
      </c>
    </row>
    <row r="96" spans="1:7">
      <c r="A96" s="264" t="s">
        <v>266</v>
      </c>
      <c r="B96" s="232">
        <f>IF(B12=0,0,B74/B12*365)</f>
        <v>0</v>
      </c>
      <c r="C96" s="232">
        <f>IF(C12=0,0,C74/C12*365)</f>
        <v>0</v>
      </c>
      <c r="D96" s="248">
        <f>IF(D12=0,0,D74/D12*365)</f>
        <v>0</v>
      </c>
      <c r="E96" s="232">
        <f>IF(E12=0,0,E74/E12*365)</f>
        <v>0</v>
      </c>
    </row>
    <row r="97" spans="1:5">
      <c r="A97" s="264" t="s">
        <v>267</v>
      </c>
      <c r="B97" s="232">
        <f>IF(B12=0,0,B58/B14*365)</f>
        <v>0</v>
      </c>
      <c r="C97" s="232">
        <f>IF(C12=0,0,C58/C14*365)</f>
        <v>0</v>
      </c>
      <c r="D97" s="248">
        <f>IF(D12=0,0,D58/D14*365)</f>
        <v>0</v>
      </c>
      <c r="E97" s="232">
        <f>IF(E12=0,0,E58/E14*365)</f>
        <v>0</v>
      </c>
    </row>
    <row r="98" spans="1:5">
      <c r="A98" s="264" t="s">
        <v>268</v>
      </c>
      <c r="B98" s="232" t="e">
        <f>B95+B96-B97</f>
        <v>#DIV/0!</v>
      </c>
      <c r="C98" s="232" t="e">
        <f>C95+C96-C97</f>
        <v>#DIV/0!</v>
      </c>
      <c r="D98" s="248" t="e">
        <f>D95+D96-D97</f>
        <v>#DIV/0!</v>
      </c>
      <c r="E98" s="232" t="e">
        <f>E95+E96-E97</f>
        <v>#DIV/0!</v>
      </c>
    </row>
    <row r="99" spans="1:5">
      <c r="A99" s="264" t="s">
        <v>270</v>
      </c>
      <c r="B99" s="232" t="e">
        <f>SUM(B74:B77,B81)/SUM(B58:B61,B52)</f>
        <v>#DIV/0!</v>
      </c>
      <c r="C99" s="232" t="e">
        <f>SUM(C74:C77,C81)/SUM(C58:C61,C52)</f>
        <v>#DIV/0!</v>
      </c>
      <c r="D99" s="248" t="e">
        <f>SUM(D74:D77,D81)/SUM(D58:D61,D52)</f>
        <v>#DIV/0!</v>
      </c>
      <c r="E99" s="232" t="e">
        <f>SUM(E74:E77,E81)/SUM(E58:E61,E52)</f>
        <v>#DIV/0!</v>
      </c>
    </row>
    <row r="100" spans="1:5">
      <c r="A100" s="236"/>
      <c r="B100" s="268"/>
      <c r="C100" s="268"/>
      <c r="D100" s="268"/>
      <c r="E100" s="269"/>
    </row>
    <row r="101" spans="1:5">
      <c r="A101" s="270" t="s">
        <v>274</v>
      </c>
      <c r="B101" s="262">
        <v>41729</v>
      </c>
      <c r="C101" s="262">
        <v>42094</v>
      </c>
      <c r="D101" s="263">
        <v>42460</v>
      </c>
      <c r="E101" s="262">
        <v>42825</v>
      </c>
    </row>
    <row r="102" spans="1:5">
      <c r="A102" s="271" t="s">
        <v>275</v>
      </c>
      <c r="B102" s="249"/>
      <c r="C102" s="249"/>
      <c r="D102" s="250"/>
      <c r="E102" s="249"/>
    </row>
    <row r="103" spans="1:5">
      <c r="A103" s="272" t="s">
        <v>276</v>
      </c>
      <c r="B103" s="249"/>
      <c r="C103" s="273">
        <f>C39</f>
        <v>0</v>
      </c>
      <c r="D103" s="274">
        <f>D39</f>
        <v>0</v>
      </c>
      <c r="E103" s="273">
        <f>E39</f>
        <v>0</v>
      </c>
    </row>
    <row r="104" spans="1:5">
      <c r="A104" s="272" t="s">
        <v>277</v>
      </c>
      <c r="B104" s="249"/>
      <c r="C104" s="273">
        <f>C30</f>
        <v>0</v>
      </c>
      <c r="D104" s="274">
        <f>D30</f>
        <v>0</v>
      </c>
      <c r="E104" s="273">
        <f>E30</f>
        <v>0</v>
      </c>
    </row>
    <row r="105" spans="1:5">
      <c r="A105" s="272" t="s">
        <v>280</v>
      </c>
      <c r="B105" s="249"/>
      <c r="C105" s="273">
        <f>C32</f>
        <v>0</v>
      </c>
      <c r="D105" s="274">
        <f>D32</f>
        <v>0</v>
      </c>
      <c r="E105" s="273">
        <f>E32</f>
        <v>0</v>
      </c>
    </row>
    <row r="106" spans="1:5">
      <c r="A106" s="272" t="s">
        <v>281</v>
      </c>
      <c r="B106" s="249"/>
      <c r="C106" s="273">
        <f>SUM(C103:C105)</f>
        <v>0</v>
      </c>
      <c r="D106" s="274">
        <f>SUM(D103:D105)</f>
        <v>0</v>
      </c>
      <c r="E106" s="273">
        <f>SUM(E103:E105)</f>
        <v>0</v>
      </c>
    </row>
    <row r="107" spans="1:5">
      <c r="A107" s="272" t="s">
        <v>282</v>
      </c>
      <c r="B107" s="249"/>
      <c r="C107" s="273">
        <f>(B73-B77)-(C73-C77)</f>
        <v>0</v>
      </c>
      <c r="D107" s="274">
        <f>(C73-C77)-(D73-D77)</f>
        <v>0</v>
      </c>
      <c r="E107" s="273">
        <f>(D73-D77)-(E73-E77)</f>
        <v>0</v>
      </c>
    </row>
    <row r="108" spans="1:5">
      <c r="A108" s="272" t="s">
        <v>284</v>
      </c>
      <c r="B108" s="249"/>
      <c r="C108" s="273">
        <f>C57-B57</f>
        <v>0</v>
      </c>
      <c r="D108" s="274">
        <f>D57-C57</f>
        <v>0</v>
      </c>
      <c r="E108" s="273">
        <f>E57-D57</f>
        <v>0</v>
      </c>
    </row>
    <row r="109" spans="1:5">
      <c r="A109" s="275" t="s">
        <v>285</v>
      </c>
      <c r="B109" s="276"/>
      <c r="C109" s="277">
        <f>C106+C107+C108</f>
        <v>0</v>
      </c>
      <c r="D109" s="278">
        <f>D106+D107+D108</f>
        <v>0</v>
      </c>
      <c r="E109" s="277">
        <f>E106+E107+E108</f>
        <v>0</v>
      </c>
    </row>
    <row r="110" spans="1:5">
      <c r="A110" s="279" t="s">
        <v>286</v>
      </c>
      <c r="B110" s="276"/>
      <c r="C110" s="277">
        <f>C10</f>
        <v>0</v>
      </c>
      <c r="D110" s="278">
        <f>D10</f>
        <v>0</v>
      </c>
      <c r="E110" s="277">
        <f>E10</f>
        <v>0</v>
      </c>
    </row>
    <row r="111" spans="1:5">
      <c r="A111" s="272"/>
      <c r="B111" s="249"/>
      <c r="C111" s="273"/>
      <c r="D111" s="274"/>
      <c r="E111" s="273"/>
    </row>
    <row r="112" spans="1:5">
      <c r="A112" s="271" t="s">
        <v>287</v>
      </c>
      <c r="B112" s="249"/>
      <c r="C112" s="273"/>
      <c r="D112" s="274"/>
      <c r="E112" s="273"/>
    </row>
    <row r="113" spans="1:5">
      <c r="A113" s="272" t="s">
        <v>310</v>
      </c>
      <c r="B113" s="249"/>
      <c r="C113" s="273">
        <f>(B66+B67)-(C66+C67)+B68+C30-C68</f>
        <v>0</v>
      </c>
      <c r="D113" s="274">
        <f>(C66+C67)-(D66+D67)+C68+D30-D68</f>
        <v>0</v>
      </c>
      <c r="E113" s="273">
        <f>(D66+D67)-(E66+E67)+D68+E30-E68</f>
        <v>0</v>
      </c>
    </row>
    <row r="114" spans="1:5">
      <c r="A114" s="272" t="s">
        <v>289</v>
      </c>
      <c r="B114" s="249"/>
      <c r="C114" s="273">
        <f t="shared" ref="C114:E115" si="0">B71+B81-C71-C81</f>
        <v>0</v>
      </c>
      <c r="D114" s="274">
        <f t="shared" si="0"/>
        <v>0</v>
      </c>
      <c r="E114" s="273">
        <f t="shared" si="0"/>
        <v>0</v>
      </c>
    </row>
    <row r="115" spans="1:5">
      <c r="A115" s="272" t="s">
        <v>290</v>
      </c>
      <c r="B115" s="249"/>
      <c r="C115" s="273">
        <f t="shared" si="0"/>
        <v>0</v>
      </c>
      <c r="D115" s="274">
        <f t="shared" si="0"/>
        <v>0</v>
      </c>
      <c r="E115" s="273">
        <f t="shared" si="0"/>
        <v>0</v>
      </c>
    </row>
    <row r="116" spans="1:5">
      <c r="A116" s="279" t="s">
        <v>291</v>
      </c>
      <c r="B116" s="280"/>
      <c r="C116" s="277">
        <f>SUM(C113:C115)</f>
        <v>0</v>
      </c>
      <c r="D116" s="278">
        <f>SUM(D113:D115)</f>
        <v>0</v>
      </c>
      <c r="E116" s="277">
        <f>SUM(E113:E115)</f>
        <v>0</v>
      </c>
    </row>
    <row r="117" spans="1:5">
      <c r="A117" s="272"/>
      <c r="B117" s="249"/>
      <c r="C117" s="273"/>
      <c r="D117" s="274"/>
      <c r="E117" s="273"/>
    </row>
    <row r="118" spans="1:5">
      <c r="A118" s="271" t="s">
        <v>292</v>
      </c>
      <c r="B118" s="249"/>
      <c r="C118" s="273"/>
      <c r="D118" s="274"/>
      <c r="E118" s="273"/>
    </row>
    <row r="119" spans="1:5">
      <c r="A119" s="272" t="s">
        <v>293</v>
      </c>
      <c r="B119" s="249"/>
      <c r="C119" s="273">
        <f>C53-B53</f>
        <v>0</v>
      </c>
      <c r="D119" s="274">
        <f>D53-C53</f>
        <v>0</v>
      </c>
      <c r="E119" s="273">
        <f>E53-D53</f>
        <v>0</v>
      </c>
    </row>
    <row r="120" spans="1:5">
      <c r="A120" s="272" t="s">
        <v>294</v>
      </c>
      <c r="B120" s="249"/>
      <c r="C120" s="273">
        <f>C54+C55-B54-B55</f>
        <v>0</v>
      </c>
      <c r="D120" s="274">
        <f>D54+D55-C54-C55</f>
        <v>0</v>
      </c>
      <c r="E120" s="273">
        <f>E54+E55-D54-D55</f>
        <v>0</v>
      </c>
    </row>
    <row r="121" spans="1:5">
      <c r="A121" s="272" t="s">
        <v>311</v>
      </c>
      <c r="B121" s="249"/>
      <c r="C121" s="273">
        <f>C52-B52</f>
        <v>0</v>
      </c>
      <c r="D121" s="274">
        <f>D52-C52</f>
        <v>0</v>
      </c>
      <c r="E121" s="273">
        <f>E52-D52</f>
        <v>0</v>
      </c>
    </row>
    <row r="122" spans="1:5">
      <c r="A122" s="272" t="s">
        <v>295</v>
      </c>
      <c r="B122" s="249"/>
      <c r="C122" s="273">
        <f>(C48-C38)-B48</f>
        <v>0</v>
      </c>
      <c r="D122" s="274">
        <f>(D48-D38)-C48</f>
        <v>0</v>
      </c>
      <c r="E122" s="273">
        <f>(E48-E38)-D48</f>
        <v>0</v>
      </c>
    </row>
    <row r="123" spans="1:5">
      <c r="A123" s="272" t="s">
        <v>296</v>
      </c>
      <c r="B123" s="249"/>
      <c r="C123" s="273">
        <f>C50-B50</f>
        <v>0</v>
      </c>
      <c r="D123" s="274">
        <f>D50-C50</f>
        <v>0</v>
      </c>
      <c r="E123" s="273">
        <f>E50-D50</f>
        <v>0</v>
      </c>
    </row>
    <row r="124" spans="1:5">
      <c r="A124" s="279" t="s">
        <v>297</v>
      </c>
      <c r="B124" s="280"/>
      <c r="C124" s="277">
        <f>SUM(C119:C123)</f>
        <v>0</v>
      </c>
      <c r="D124" s="278">
        <f>SUM(D119:D123)</f>
        <v>0</v>
      </c>
      <c r="E124" s="277">
        <f>SUM(E119:E123)</f>
        <v>0</v>
      </c>
    </row>
    <row r="125" spans="1:5">
      <c r="A125" s="279" t="s">
        <v>298</v>
      </c>
      <c r="B125" s="280"/>
      <c r="C125" s="277">
        <f>C109+C110+C116+C124</f>
        <v>0</v>
      </c>
      <c r="D125" s="278">
        <f>D109+D110+D116+D124</f>
        <v>0</v>
      </c>
      <c r="E125" s="277">
        <f>E109+E110+E116+E124</f>
        <v>0</v>
      </c>
    </row>
    <row r="126" spans="1:5">
      <c r="A126" s="272"/>
      <c r="B126" s="249"/>
      <c r="C126" s="273"/>
      <c r="D126" s="274"/>
      <c r="E126" s="273"/>
    </row>
    <row r="127" spans="1:5">
      <c r="A127" s="279" t="s">
        <v>299</v>
      </c>
      <c r="B127" s="280"/>
      <c r="C127" s="281">
        <f>B77</f>
        <v>0</v>
      </c>
      <c r="D127" s="282">
        <f>C77</f>
        <v>0</v>
      </c>
      <c r="E127" s="281">
        <f>D77</f>
        <v>0</v>
      </c>
    </row>
    <row r="128" spans="1:5">
      <c r="A128" s="279" t="s">
        <v>300</v>
      </c>
      <c r="B128" s="280"/>
      <c r="C128" s="281">
        <f>C77</f>
        <v>0</v>
      </c>
      <c r="D128" s="282">
        <f>D77</f>
        <v>0</v>
      </c>
      <c r="E128" s="281">
        <f>E77</f>
        <v>0</v>
      </c>
    </row>
    <row r="129" spans="1:5">
      <c r="A129" s="272"/>
      <c r="B129" s="249"/>
      <c r="C129" s="273"/>
      <c r="D129" s="274"/>
      <c r="E129" s="273"/>
    </row>
    <row r="130" spans="1:5" hidden="1">
      <c r="A130" s="272" t="s">
        <v>301</v>
      </c>
      <c r="B130" s="249"/>
      <c r="C130" s="273">
        <f>C127+C125-C128</f>
        <v>0</v>
      </c>
      <c r="D130" s="274">
        <f>D127+D125-D128</f>
        <v>0</v>
      </c>
      <c r="E130" s="273">
        <f>E127+E125-E128</f>
        <v>0</v>
      </c>
    </row>
  </sheetData>
  <mergeCells count="1">
    <mergeCell ref="A3:A4"/>
  </mergeCells>
  <dataValidations count="1">
    <dataValidation type="list" allowBlank="1" showInputMessage="1" showErrorMessage="1" sqref="B1:E2" xr:uid="{00000000-0002-0000-0500-000000000000}">
      <formula1>Accnt_Holder</formula1>
      <formula2>0</formula2>
    </dataValidation>
  </dataValidations>
  <pageMargins left="0.69930555555555496" right="0.69930555555555496" top="0.75" bottom="0.75" header="0.51180555555555496" footer="0.51180555555555496"/>
  <pageSetup firstPageNumber="0" orientation="portrait" horizontalDpi="300" verticalDpi="30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64"/>
  <sheetViews>
    <sheetView showGridLines="0" zoomScale="115" zoomScaleNormal="115" workbookViewId="0">
      <selection activeCell="B20" sqref="B20"/>
    </sheetView>
  </sheetViews>
  <sheetFormatPr defaultRowHeight="15" zeroHeight="1"/>
  <cols>
    <col min="1" max="1" width="54" style="165" customWidth="1"/>
    <col min="2" max="2" width="20.140625" style="166" customWidth="1"/>
    <col min="3" max="3" width="21" style="166" customWidth="1"/>
    <col min="4" max="4" width="20.140625" style="167" customWidth="1"/>
    <col min="5" max="5" width="9.28515625" style="168" customWidth="1"/>
    <col min="6" max="1025" width="9.140625" style="169" hidden="1" customWidth="1"/>
  </cols>
  <sheetData>
    <row r="1" spans="1:5" ht="13.5" customHeight="1">
      <c r="A1" s="170" t="s">
        <v>166</v>
      </c>
      <c r="B1" s="171" t="s">
        <v>2318</v>
      </c>
      <c r="C1" s="171"/>
      <c r="D1" s="171"/>
    </row>
    <row r="2" spans="1:5" ht="15" hidden="1" customHeight="1">
      <c r="A2" s="170"/>
      <c r="B2" s="172"/>
      <c r="C2" s="172"/>
      <c r="D2" s="172"/>
    </row>
    <row r="3" spans="1:5" s="165" customFormat="1" ht="11.25">
      <c r="A3" s="910" t="s">
        <v>167</v>
      </c>
      <c r="B3" s="173">
        <f>'Customer Details'!I9</f>
        <v>0</v>
      </c>
      <c r="C3" s="173">
        <f>'Customer Details'!J9</f>
        <v>0</v>
      </c>
      <c r="D3" s="174">
        <f>'Customer Details'!K9</f>
        <v>0</v>
      </c>
      <c r="E3" s="175"/>
    </row>
    <row r="4" spans="1:5" s="165" customFormat="1" ht="11.25">
      <c r="A4" s="910"/>
      <c r="B4" s="176">
        <f>'Customer Details'!L9</f>
        <v>0</v>
      </c>
      <c r="C4" s="177">
        <f>'Customer Details'!M9</f>
        <v>0</v>
      </c>
      <c r="D4" s="178" t="s">
        <v>168</v>
      </c>
      <c r="E4" s="179">
        <f>IF(D7=42825,1,0)</f>
        <v>0</v>
      </c>
    </row>
    <row r="5" spans="1:5" s="165" customFormat="1" ht="11.25">
      <c r="A5" s="175"/>
      <c r="B5" s="180"/>
      <c r="C5" s="180"/>
      <c r="D5" s="181"/>
      <c r="E5" s="175"/>
    </row>
    <row r="6" spans="1:5">
      <c r="A6" s="182"/>
      <c r="B6" s="183" t="s">
        <v>169</v>
      </c>
      <c r="C6" s="183" t="s">
        <v>169</v>
      </c>
      <c r="D6" s="183" t="s">
        <v>170</v>
      </c>
      <c r="E6" s="184"/>
    </row>
    <row r="7" spans="1:5">
      <c r="A7" s="185" t="s">
        <v>171</v>
      </c>
      <c r="B7" s="186">
        <f>C7-365</f>
        <v>42825</v>
      </c>
      <c r="C7" s="186">
        <f>D7-365</f>
        <v>43190</v>
      </c>
      <c r="D7" s="186">
        <v>43555</v>
      </c>
      <c r="E7" s="184"/>
    </row>
    <row r="8" spans="1:5">
      <c r="A8" s="187" t="s">
        <v>172</v>
      </c>
      <c r="B8" s="188"/>
      <c r="C8" s="188"/>
      <c r="D8" s="188"/>
    </row>
    <row r="9" spans="1:5">
      <c r="A9" s="187" t="s">
        <v>173</v>
      </c>
      <c r="B9" s="188"/>
      <c r="C9" s="188"/>
      <c r="D9" s="188"/>
    </row>
    <row r="10" spans="1:5">
      <c r="A10" s="187" t="s">
        <v>174</v>
      </c>
      <c r="B10" s="189"/>
      <c r="C10" s="188"/>
      <c r="D10" s="188"/>
      <c r="E10" s="190"/>
    </row>
    <row r="11" spans="1:5">
      <c r="A11" s="182" t="s">
        <v>175</v>
      </c>
      <c r="B11" s="191">
        <f>SUM(B8:B10)</f>
        <v>0</v>
      </c>
      <c r="C11" s="191">
        <f>SUM(C8:C10)</f>
        <v>0</v>
      </c>
      <c r="D11" s="191">
        <f>SUM(D8:D10)</f>
        <v>0</v>
      </c>
    </row>
    <row r="12" spans="1:5">
      <c r="A12" s="182" t="s">
        <v>176</v>
      </c>
      <c r="B12" s="191">
        <f>B13+B14+B15-B16+B17+B18</f>
        <v>0</v>
      </c>
      <c r="C12" s="191">
        <f>C13+C14+C15-C16+C17+C18</f>
        <v>0</v>
      </c>
      <c r="D12" s="191">
        <f>D13+D14+D15-D16+D17+D18</f>
        <v>0</v>
      </c>
    </row>
    <row r="13" spans="1:5">
      <c r="A13" s="187" t="s">
        <v>177</v>
      </c>
      <c r="B13" s="188"/>
      <c r="C13" s="188"/>
      <c r="D13" s="188"/>
    </row>
    <row r="14" spans="1:5">
      <c r="A14" s="187" t="s">
        <v>178</v>
      </c>
      <c r="B14" s="188"/>
      <c r="C14" s="188"/>
      <c r="D14" s="188"/>
    </row>
    <row r="15" spans="1:5">
      <c r="A15" s="187" t="s">
        <v>179</v>
      </c>
      <c r="B15" s="188"/>
      <c r="C15" s="188"/>
      <c r="D15" s="188"/>
    </row>
    <row r="16" spans="1:5">
      <c r="A16" s="187" t="s">
        <v>180</v>
      </c>
      <c r="B16" s="188"/>
      <c r="C16" s="188"/>
      <c r="D16" s="188"/>
    </row>
    <row r="17" spans="1:4">
      <c r="A17" s="187" t="s">
        <v>181</v>
      </c>
      <c r="B17" s="188"/>
      <c r="C17" s="188"/>
      <c r="D17" s="188"/>
    </row>
    <row r="18" spans="1:4">
      <c r="A18" s="187" t="s">
        <v>182</v>
      </c>
      <c r="B18" s="188"/>
      <c r="C18" s="188"/>
      <c r="D18" s="188"/>
    </row>
    <row r="19" spans="1:4">
      <c r="A19" s="182" t="s">
        <v>183</v>
      </c>
      <c r="B19" s="191">
        <f>B11-B12</f>
        <v>0</v>
      </c>
      <c r="C19" s="191">
        <f>C11-C12</f>
        <v>0</v>
      </c>
      <c r="D19" s="191">
        <f>D11-D12</f>
        <v>0</v>
      </c>
    </row>
    <row r="20" spans="1:4">
      <c r="A20" s="182" t="s">
        <v>184</v>
      </c>
      <c r="B20" s="191">
        <f>B11-B12-B10</f>
        <v>0</v>
      </c>
      <c r="C20" s="191">
        <f>C11-C12-C10</f>
        <v>0</v>
      </c>
      <c r="D20" s="191">
        <f>D11-D12-D10</f>
        <v>0</v>
      </c>
    </row>
    <row r="21" spans="1:4">
      <c r="A21" s="187" t="s">
        <v>185</v>
      </c>
      <c r="B21" s="189"/>
      <c r="C21" s="188"/>
      <c r="D21" s="188"/>
    </row>
    <row r="22" spans="1:4">
      <c r="A22" s="187" t="s">
        <v>186</v>
      </c>
      <c r="B22" s="189"/>
      <c r="C22" s="188"/>
      <c r="D22" s="188"/>
    </row>
    <row r="23" spans="1:4">
      <c r="A23" s="187" t="s">
        <v>187</v>
      </c>
      <c r="B23" s="188"/>
      <c r="C23" s="188"/>
      <c r="D23" s="188"/>
    </row>
    <row r="24" spans="1:4">
      <c r="A24" s="187" t="s">
        <v>188</v>
      </c>
      <c r="B24" s="188"/>
      <c r="C24" s="188"/>
      <c r="D24" s="188"/>
    </row>
    <row r="25" spans="1:4">
      <c r="A25" s="187" t="s">
        <v>189</v>
      </c>
      <c r="B25" s="189"/>
      <c r="C25" s="188"/>
      <c r="D25" s="188"/>
    </row>
    <row r="26" spans="1:4">
      <c r="A26" s="187" t="s">
        <v>115</v>
      </c>
      <c r="B26" s="191">
        <f>B20-SUM(B21:B25)</f>
        <v>0</v>
      </c>
      <c r="C26" s="191">
        <f>C20-SUM(C21:C25)</f>
        <v>0</v>
      </c>
      <c r="D26" s="191">
        <f>D20-SUM(D21:D25)</f>
        <v>0</v>
      </c>
    </row>
    <row r="27" spans="1:4">
      <c r="A27" s="192" t="s">
        <v>190</v>
      </c>
      <c r="B27" s="191">
        <f>SUM(B28:B31)</f>
        <v>0</v>
      </c>
      <c r="C27" s="191">
        <f>SUM(C28:C31)</f>
        <v>0</v>
      </c>
      <c r="D27" s="191">
        <f>SUM(D28:D31)</f>
        <v>0</v>
      </c>
    </row>
    <row r="28" spans="1:4">
      <c r="A28" s="187" t="s">
        <v>191</v>
      </c>
      <c r="B28" s="188"/>
      <c r="C28" s="188"/>
      <c r="D28" s="188"/>
    </row>
    <row r="29" spans="1:4">
      <c r="A29" s="187" t="s">
        <v>192</v>
      </c>
      <c r="B29" s="188"/>
      <c r="C29" s="188"/>
      <c r="D29" s="188"/>
    </row>
    <row r="30" spans="1:4">
      <c r="A30" s="187" t="s">
        <v>193</v>
      </c>
      <c r="B30" s="188"/>
      <c r="C30" s="188"/>
      <c r="D30" s="188"/>
    </row>
    <row r="31" spans="1:4">
      <c r="A31" s="187" t="s">
        <v>194</v>
      </c>
      <c r="B31" s="188"/>
      <c r="C31" s="188"/>
      <c r="D31" s="188"/>
    </row>
    <row r="32" spans="1:4">
      <c r="A32" s="182" t="s">
        <v>195</v>
      </c>
      <c r="B32" s="191">
        <f>B26-B31</f>
        <v>0</v>
      </c>
      <c r="C32" s="191">
        <f>C26-C31</f>
        <v>0</v>
      </c>
      <c r="D32" s="191">
        <f>D26-D31</f>
        <v>0</v>
      </c>
    </row>
    <row r="33" spans="1:5">
      <c r="A33" s="182" t="s">
        <v>196</v>
      </c>
      <c r="B33" s="191">
        <f>B32-B28</f>
        <v>0</v>
      </c>
      <c r="C33" s="191">
        <f>C32-C28</f>
        <v>0</v>
      </c>
      <c r="D33" s="191">
        <f>D32-D28</f>
        <v>0</v>
      </c>
    </row>
    <row r="34" spans="1:5">
      <c r="A34" s="187" t="s">
        <v>197</v>
      </c>
      <c r="B34" s="188"/>
      <c r="C34" s="188"/>
      <c r="D34" s="188"/>
    </row>
    <row r="35" spans="1:5">
      <c r="A35" s="187" t="s">
        <v>198</v>
      </c>
      <c r="B35" s="188"/>
      <c r="C35" s="188"/>
      <c r="D35" s="188"/>
    </row>
    <row r="36" spans="1:5">
      <c r="A36" s="187" t="s">
        <v>199</v>
      </c>
      <c r="B36" s="189"/>
      <c r="C36" s="189"/>
      <c r="D36" s="189"/>
    </row>
    <row r="37" spans="1:5">
      <c r="A37" s="187" t="s">
        <v>200</v>
      </c>
      <c r="B37" s="188"/>
      <c r="C37" s="188"/>
      <c r="D37" s="188"/>
    </row>
    <row r="38" spans="1:5">
      <c r="A38" s="187" t="s">
        <v>201</v>
      </c>
      <c r="B38" s="188"/>
      <c r="C38" s="188"/>
      <c r="D38" s="188"/>
    </row>
    <row r="39" spans="1:5">
      <c r="A39" s="182" t="s">
        <v>202</v>
      </c>
      <c r="B39" s="191">
        <f>B26-B27-SUM(B34:B38)+B10</f>
        <v>0</v>
      </c>
      <c r="C39" s="191">
        <f>C26-C27-SUM(C34:C38)+C10</f>
        <v>0</v>
      </c>
      <c r="D39" s="191">
        <f>D26-D27-SUM(D34:D38)+D10</f>
        <v>0</v>
      </c>
    </row>
    <row r="40" spans="1:5">
      <c r="A40" s="182" t="s">
        <v>203</v>
      </c>
      <c r="B40" s="191">
        <f>B39-B10</f>
        <v>0</v>
      </c>
      <c r="C40" s="191">
        <f>C39-C10</f>
        <v>0</v>
      </c>
      <c r="D40" s="191">
        <f>D39-D10</f>
        <v>0</v>
      </c>
    </row>
    <row r="41" spans="1:5">
      <c r="A41" s="187" t="s">
        <v>204</v>
      </c>
      <c r="B41" s="188"/>
      <c r="C41" s="188"/>
      <c r="D41" s="188"/>
    </row>
    <row r="42" spans="1:5">
      <c r="A42" s="182" t="s">
        <v>205</v>
      </c>
      <c r="B42" s="191">
        <f>B39-B41</f>
        <v>0</v>
      </c>
      <c r="C42" s="191">
        <f>C39-C41</f>
        <v>0</v>
      </c>
      <c r="D42" s="191">
        <f>D39-D41</f>
        <v>0</v>
      </c>
    </row>
    <row r="43" spans="1:5">
      <c r="A43" s="182" t="s">
        <v>206</v>
      </c>
      <c r="B43" s="191">
        <f>B40-B41</f>
        <v>0</v>
      </c>
      <c r="C43" s="191">
        <f>C40-C41</f>
        <v>0</v>
      </c>
      <c r="D43" s="191">
        <f>D40-D41</f>
        <v>0</v>
      </c>
    </row>
    <row r="44" spans="1:5">
      <c r="A44" s="182" t="s">
        <v>207</v>
      </c>
      <c r="B44" s="191">
        <f>B43+B34+B36</f>
        <v>0</v>
      </c>
      <c r="C44" s="191">
        <f>C43+C34+C36</f>
        <v>0</v>
      </c>
      <c r="D44" s="191">
        <f>D43+D34+D36</f>
        <v>0</v>
      </c>
    </row>
    <row r="45" spans="1:5">
      <c r="A45" s="182" t="s">
        <v>208</v>
      </c>
      <c r="B45" s="191">
        <f>B44+B37+B38</f>
        <v>0</v>
      </c>
      <c r="C45" s="191">
        <f>C44+C37+C38</f>
        <v>0</v>
      </c>
      <c r="D45" s="191">
        <f>D44+D37+D38</f>
        <v>0</v>
      </c>
    </row>
    <row r="46" spans="1:5">
      <c r="A46" s="165" t="s">
        <v>209</v>
      </c>
      <c r="B46" s="193"/>
      <c r="C46" s="193"/>
      <c r="D46" s="194"/>
      <c r="E46" s="195"/>
    </row>
    <row r="47" spans="1:5">
      <c r="A47" s="182" t="s">
        <v>210</v>
      </c>
      <c r="B47" s="191">
        <f>B42-B46</f>
        <v>0</v>
      </c>
      <c r="C47" s="191">
        <f>C42-C46</f>
        <v>0</v>
      </c>
      <c r="D47" s="191">
        <f>D42-D46</f>
        <v>0</v>
      </c>
      <c r="E47" s="195"/>
    </row>
    <row r="48" spans="1:5" s="165" customFormat="1" ht="11.25">
      <c r="B48" s="193"/>
      <c r="C48" s="193"/>
      <c r="D48" s="194"/>
      <c r="E48" s="196"/>
    </row>
    <row r="49" spans="1:6">
      <c r="A49" s="182"/>
      <c r="B49" s="183" t="s">
        <v>169</v>
      </c>
      <c r="C49" s="183" t="s">
        <v>169</v>
      </c>
      <c r="D49" s="183" t="s">
        <v>169</v>
      </c>
    </row>
    <row r="50" spans="1:6">
      <c r="A50" s="185" t="s">
        <v>211</v>
      </c>
      <c r="B50" s="186">
        <f>B7</f>
        <v>42825</v>
      </c>
      <c r="C50" s="186">
        <f>C7</f>
        <v>43190</v>
      </c>
      <c r="D50" s="186">
        <f>D7</f>
        <v>43555</v>
      </c>
    </row>
    <row r="51" spans="1:6" s="165" customFormat="1" ht="11.25">
      <c r="A51" s="185" t="s">
        <v>212</v>
      </c>
      <c r="B51" s="197"/>
      <c r="C51" s="197"/>
      <c r="D51" s="197"/>
      <c r="E51" s="196"/>
    </row>
    <row r="52" spans="1:6">
      <c r="A52" s="187" t="s">
        <v>213</v>
      </c>
      <c r="B52" s="188"/>
      <c r="C52" s="188"/>
      <c r="D52" s="188"/>
    </row>
    <row r="53" spans="1:6">
      <c r="A53" s="187" t="s">
        <v>214</v>
      </c>
      <c r="B53" s="188"/>
      <c r="C53" s="188"/>
      <c r="D53" s="188"/>
    </row>
    <row r="54" spans="1:6">
      <c r="A54" s="187" t="s">
        <v>215</v>
      </c>
      <c r="B54" s="188"/>
      <c r="C54" s="188"/>
      <c r="D54" s="188"/>
    </row>
    <row r="55" spans="1:6" s="199" customFormat="1" ht="11.25">
      <c r="A55" s="182" t="s">
        <v>216</v>
      </c>
      <c r="B55" s="191">
        <f>SUM(B52:B53)-B95</f>
        <v>0</v>
      </c>
      <c r="C55" s="191">
        <f>SUM(C52:C53)-C95</f>
        <v>0</v>
      </c>
      <c r="D55" s="191">
        <f>SUM(D52:D53)-D95</f>
        <v>0</v>
      </c>
      <c r="E55" s="184"/>
      <c r="F55" s="198"/>
    </row>
    <row r="56" spans="1:6">
      <c r="A56" s="187" t="s">
        <v>217</v>
      </c>
      <c r="B56" s="189"/>
      <c r="C56" s="189"/>
      <c r="D56" s="189"/>
    </row>
    <row r="57" spans="1:6">
      <c r="A57" s="182" t="s">
        <v>218</v>
      </c>
      <c r="B57" s="191">
        <f>B55+B56-B81-B84-B92-B94</f>
        <v>0</v>
      </c>
      <c r="C57" s="191">
        <f>C55+C56-C81-C84-C92-C94</f>
        <v>0</v>
      </c>
      <c r="D57" s="191">
        <f>D55+D56-D81-D84-D92-D94</f>
        <v>0</v>
      </c>
      <c r="E57" s="184"/>
    </row>
    <row r="58" spans="1:6">
      <c r="A58" s="187" t="s">
        <v>219</v>
      </c>
      <c r="B58" s="188"/>
      <c r="C58" s="188"/>
      <c r="D58" s="188"/>
    </row>
    <row r="59" spans="1:6">
      <c r="A59" s="187" t="s">
        <v>220</v>
      </c>
      <c r="B59" s="188"/>
      <c r="C59" s="188"/>
      <c r="D59" s="188"/>
    </row>
    <row r="60" spans="1:6">
      <c r="A60" s="187" t="s">
        <v>221</v>
      </c>
      <c r="B60" s="188"/>
      <c r="C60" s="188"/>
      <c r="D60" s="188"/>
    </row>
    <row r="61" spans="1:6">
      <c r="A61" s="187" t="s">
        <v>222</v>
      </c>
      <c r="B61" s="189"/>
      <c r="C61" s="188"/>
      <c r="D61" s="188"/>
    </row>
    <row r="62" spans="1:6">
      <c r="A62" s="187" t="s">
        <v>223</v>
      </c>
      <c r="B62" s="189"/>
      <c r="C62" s="189"/>
      <c r="D62" s="189"/>
    </row>
    <row r="63" spans="1:6" s="199" customFormat="1" ht="11.25">
      <c r="A63" s="182" t="s">
        <v>224</v>
      </c>
      <c r="B63" s="191">
        <f>SUM(B58:B62)+B66</f>
        <v>0</v>
      </c>
      <c r="C63" s="191">
        <f>SUM(C58:C62)+C66</f>
        <v>0</v>
      </c>
      <c r="D63" s="191">
        <f>SUM(D58:D62)+D66</f>
        <v>0</v>
      </c>
      <c r="E63" s="184"/>
      <c r="F63" s="198"/>
    </row>
    <row r="64" spans="1:6" s="199" customFormat="1" ht="11.25">
      <c r="A64" s="182" t="s">
        <v>225</v>
      </c>
      <c r="B64" s="191">
        <f>SUM(B65:B68)+B58-B67</f>
        <v>0</v>
      </c>
      <c r="C64" s="191">
        <f>SUM(C65:C68)+C58-C67</f>
        <v>0</v>
      </c>
      <c r="D64" s="191">
        <f>SUM(D65:D68)+D58-D67</f>
        <v>0</v>
      </c>
      <c r="E64" s="184"/>
      <c r="F64" s="198"/>
    </row>
    <row r="65" spans="1:6">
      <c r="A65" s="187" t="s">
        <v>226</v>
      </c>
      <c r="B65" s="188"/>
      <c r="C65" s="188"/>
      <c r="D65" s="188"/>
    </row>
    <row r="66" spans="1:6">
      <c r="A66" s="187" t="s">
        <v>227</v>
      </c>
      <c r="B66" s="189"/>
      <c r="C66" s="188"/>
      <c r="D66" s="188"/>
    </row>
    <row r="67" spans="1:6">
      <c r="A67" s="187" t="s">
        <v>228</v>
      </c>
      <c r="B67" s="188"/>
      <c r="C67" s="188"/>
      <c r="D67" s="188"/>
    </row>
    <row r="68" spans="1:6">
      <c r="A68" s="187" t="s">
        <v>229</v>
      </c>
      <c r="B68" s="189"/>
      <c r="C68" s="188"/>
      <c r="D68" s="188"/>
    </row>
    <row r="69" spans="1:6" s="199" customFormat="1" ht="11.25">
      <c r="A69" s="182" t="s">
        <v>230</v>
      </c>
      <c r="B69" s="191">
        <f>B64+B63-B58-B66</f>
        <v>0</v>
      </c>
      <c r="C69" s="191">
        <f>C64+C63-C58-C66</f>
        <v>0</v>
      </c>
      <c r="D69" s="191">
        <f>D64+D63-D58-D66</f>
        <v>0</v>
      </c>
      <c r="E69" s="184"/>
      <c r="F69" s="198"/>
    </row>
    <row r="70" spans="1:6" s="199" customFormat="1" ht="11.25">
      <c r="A70" s="182" t="s">
        <v>231</v>
      </c>
      <c r="B70" s="191">
        <f>B55+B63+B56+B64-B58-B66+B54+B67</f>
        <v>0</v>
      </c>
      <c r="C70" s="191">
        <f>C55+C63+C56+C64-C58-C66+C54+C67</f>
        <v>0</v>
      </c>
      <c r="D70" s="191">
        <f>D55+D63+D56+D64-D58-D66+D54+D67</f>
        <v>0</v>
      </c>
      <c r="E70" s="184"/>
      <c r="F70" s="198"/>
    </row>
    <row r="71" spans="1:6">
      <c r="A71" s="187"/>
      <c r="B71" s="188"/>
      <c r="C71" s="188"/>
      <c r="D71" s="188"/>
    </row>
    <row r="72" spans="1:6" s="199" customFormat="1" ht="11.25">
      <c r="A72" s="182" t="s">
        <v>232</v>
      </c>
      <c r="B72" s="200"/>
      <c r="C72" s="200"/>
      <c r="D72" s="200"/>
      <c r="E72" s="184"/>
      <c r="F72" s="198"/>
    </row>
    <row r="73" spans="1:6">
      <c r="A73" s="187" t="s">
        <v>233</v>
      </c>
      <c r="B73" s="188"/>
      <c r="C73" s="188"/>
      <c r="D73" s="188"/>
    </row>
    <row r="74" spans="1:6">
      <c r="A74" s="187" t="s">
        <v>234</v>
      </c>
      <c r="B74" s="188"/>
      <c r="C74" s="188"/>
      <c r="D74" s="188"/>
    </row>
    <row r="75" spans="1:6">
      <c r="A75" s="187" t="s">
        <v>235</v>
      </c>
      <c r="B75" s="188"/>
      <c r="C75" s="188"/>
      <c r="D75" s="188"/>
    </row>
    <row r="76" spans="1:6">
      <c r="A76" s="187" t="s">
        <v>236</v>
      </c>
      <c r="B76" s="188"/>
      <c r="C76" s="188"/>
      <c r="D76" s="188"/>
      <c r="E76" s="195"/>
    </row>
    <row r="77" spans="1:6">
      <c r="A77" s="187" t="s">
        <v>215</v>
      </c>
      <c r="B77" s="188"/>
      <c r="C77" s="188"/>
      <c r="D77" s="188"/>
    </row>
    <row r="78" spans="1:6" s="199" customFormat="1" ht="11.25">
      <c r="A78" s="182" t="s">
        <v>237</v>
      </c>
      <c r="B78" s="191">
        <f>B73+B74-B75-B77+B76</f>
        <v>0</v>
      </c>
      <c r="C78" s="191">
        <f>C73+C74-C75-C77+C76</f>
        <v>0</v>
      </c>
      <c r="D78" s="191">
        <f>D73+D74-D75-D77+D76</f>
        <v>0</v>
      </c>
      <c r="E78" s="184"/>
      <c r="F78" s="198"/>
    </row>
    <row r="79" spans="1:6" s="199" customFormat="1" ht="11.25">
      <c r="A79" s="182" t="s">
        <v>238</v>
      </c>
      <c r="B79" s="191">
        <f>SUM(B80:B81)</f>
        <v>0</v>
      </c>
      <c r="C79" s="191">
        <f>SUM(C80:C81)</f>
        <v>0</v>
      </c>
      <c r="D79" s="191">
        <f>SUM(D80:D81)</f>
        <v>0</v>
      </c>
      <c r="E79" s="184"/>
      <c r="F79" s="198"/>
    </row>
    <row r="80" spans="1:6">
      <c r="A80" s="187" t="s">
        <v>239</v>
      </c>
      <c r="B80" s="188"/>
      <c r="C80" s="188"/>
      <c r="D80" s="188"/>
    </row>
    <row r="81" spans="1:10">
      <c r="A81" s="187" t="s">
        <v>240</v>
      </c>
      <c r="B81" s="188"/>
      <c r="C81" s="188"/>
      <c r="D81" s="188"/>
    </row>
    <row r="82" spans="1:10" s="199" customFormat="1" ht="11.25">
      <c r="A82" s="182" t="s">
        <v>241</v>
      </c>
      <c r="B82" s="191">
        <f>SUM(B83:B88)-B84-B87+B91</f>
        <v>0</v>
      </c>
      <c r="C82" s="191">
        <f>SUM(C83:C88)-C84-C87+C91</f>
        <v>0</v>
      </c>
      <c r="D82" s="191">
        <f>SUM(D83:D88)-D84-D87+D91</f>
        <v>0</v>
      </c>
      <c r="E82" s="184"/>
      <c r="F82" s="198"/>
    </row>
    <row r="83" spans="1:10">
      <c r="A83" s="187" t="s">
        <v>242</v>
      </c>
      <c r="B83" s="188"/>
      <c r="C83" s="188"/>
      <c r="D83" s="188"/>
    </row>
    <row r="84" spans="1:10">
      <c r="A84" s="187" t="s">
        <v>243</v>
      </c>
      <c r="B84" s="188"/>
      <c r="C84" s="188"/>
      <c r="D84" s="188"/>
    </row>
    <row r="85" spans="1:10">
      <c r="A85" s="187" t="s">
        <v>244</v>
      </c>
      <c r="B85" s="188"/>
      <c r="C85" s="188"/>
      <c r="D85" s="188"/>
    </row>
    <row r="86" spans="1:10">
      <c r="A86" s="187" t="s">
        <v>245</v>
      </c>
      <c r="B86" s="188"/>
      <c r="C86" s="188"/>
      <c r="D86" s="188"/>
    </row>
    <row r="87" spans="1:10">
      <c r="A87" s="187" t="s">
        <v>246</v>
      </c>
      <c r="B87" s="188"/>
      <c r="C87" s="188"/>
      <c r="D87" s="188"/>
    </row>
    <row r="88" spans="1:10">
      <c r="A88" s="187" t="s">
        <v>247</v>
      </c>
      <c r="B88" s="189"/>
      <c r="C88" s="188"/>
      <c r="D88" s="188"/>
    </row>
    <row r="89" spans="1:10" s="199" customFormat="1" ht="11.25">
      <c r="A89" s="182" t="s">
        <v>248</v>
      </c>
      <c r="B89" s="191">
        <f>SUM(B90:B92)</f>
        <v>0</v>
      </c>
      <c r="C89" s="191">
        <f>SUM(C90:C92)</f>
        <v>0</v>
      </c>
      <c r="D89" s="191">
        <f>SUM(D90:D92)</f>
        <v>0</v>
      </c>
      <c r="E89" s="184"/>
      <c r="F89" s="198"/>
    </row>
    <row r="90" spans="1:10" ht="22.5">
      <c r="A90" s="201" t="s">
        <v>249</v>
      </c>
      <c r="B90" s="202"/>
      <c r="C90" s="188"/>
      <c r="D90" s="188"/>
      <c r="E90" s="184"/>
      <c r="J90" s="169">
        <v>20</v>
      </c>
    </row>
    <row r="91" spans="1:10">
      <c r="A91" s="187" t="s">
        <v>250</v>
      </c>
      <c r="B91" s="189"/>
      <c r="C91" s="188"/>
      <c r="D91" s="188"/>
      <c r="E91" s="190"/>
      <c r="J91" s="169">
        <v>20</v>
      </c>
    </row>
    <row r="92" spans="1:10">
      <c r="A92" s="187" t="s">
        <v>251</v>
      </c>
      <c r="B92" s="189"/>
      <c r="C92" s="188"/>
      <c r="D92" s="188"/>
      <c r="E92" s="190"/>
      <c r="J92" s="169">
        <v>20</v>
      </c>
    </row>
    <row r="93" spans="1:10">
      <c r="A93" s="187" t="s">
        <v>252</v>
      </c>
      <c r="B93" s="189"/>
      <c r="C93" s="189"/>
      <c r="D93" s="189"/>
      <c r="J93" s="169">
        <v>20</v>
      </c>
    </row>
    <row r="94" spans="1:10">
      <c r="A94" s="187" t="s">
        <v>253</v>
      </c>
      <c r="B94" s="189"/>
      <c r="C94" s="189"/>
      <c r="D94" s="189"/>
      <c r="J94" s="169">
        <v>8</v>
      </c>
    </row>
    <row r="95" spans="1:10">
      <c r="A95" s="187" t="s">
        <v>254</v>
      </c>
      <c r="B95" s="203"/>
      <c r="C95" s="203"/>
      <c r="D95" s="203"/>
      <c r="E95" s="195"/>
    </row>
    <row r="96" spans="1:10" s="199" customFormat="1" ht="11.25">
      <c r="A96" s="182" t="s">
        <v>255</v>
      </c>
      <c r="B96" s="191">
        <f>B78+B79+B82+B89+B87+B94-B91+B84+B93</f>
        <v>0</v>
      </c>
      <c r="C96" s="191">
        <f>C78+C79+C82+C89+C87+C94-C91+C84+C93</f>
        <v>0</v>
      </c>
      <c r="D96" s="191">
        <f>D78+D79+D82+D89+D87+D94-D91+D84+D93</f>
        <v>0</v>
      </c>
      <c r="E96" s="184"/>
      <c r="F96" s="198"/>
    </row>
    <row r="97" spans="1:4">
      <c r="A97" s="204" t="s">
        <v>256</v>
      </c>
      <c r="B97" s="205">
        <f>B70-B96</f>
        <v>0</v>
      </c>
      <c r="C97" s="205">
        <f>C70-C96</f>
        <v>0</v>
      </c>
      <c r="D97" s="205">
        <f>D70-D96</f>
        <v>0</v>
      </c>
    </row>
    <row r="98" spans="1:4"/>
    <row r="99" spans="1:4">
      <c r="A99" s="185" t="s">
        <v>257</v>
      </c>
      <c r="B99" s="197">
        <f>B50</f>
        <v>42825</v>
      </c>
      <c r="C99" s="197">
        <f>C50</f>
        <v>43190</v>
      </c>
      <c r="D99" s="197">
        <f>D50</f>
        <v>43555</v>
      </c>
    </row>
    <row r="100" spans="1:4">
      <c r="A100" s="182" t="s">
        <v>258</v>
      </c>
      <c r="B100" s="206" t="e">
        <f>(B8-A8)/A8</f>
        <v>#VALUE!</v>
      </c>
      <c r="C100" s="206" t="e">
        <f>(C8-B8)/B8</f>
        <v>#DIV/0!</v>
      </c>
      <c r="D100" s="206" t="e">
        <f>(D8-C8)/C8</f>
        <v>#DIV/0!</v>
      </c>
    </row>
    <row r="101" spans="1:4">
      <c r="A101" s="182" t="s">
        <v>259</v>
      </c>
      <c r="B101" s="207" t="e">
        <f>B43/(B8+B9)</f>
        <v>#DIV/0!</v>
      </c>
      <c r="C101" s="207" t="e">
        <f>C43/(C8+C9)</f>
        <v>#DIV/0!</v>
      </c>
      <c r="D101" s="207" t="e">
        <f>D43/(D8+D9)</f>
        <v>#DIV/0!</v>
      </c>
    </row>
    <row r="102" spans="1:4">
      <c r="A102" s="182" t="s">
        <v>260</v>
      </c>
      <c r="B102" s="207" t="e">
        <f>B45/(B8+B9)</f>
        <v>#DIV/0!</v>
      </c>
      <c r="C102" s="207" t="e">
        <f>C45/(C8+C9)</f>
        <v>#DIV/0!</v>
      </c>
      <c r="D102" s="207" t="e">
        <f>D45/(D8+D9)</f>
        <v>#DIV/0!</v>
      </c>
    </row>
    <row r="103" spans="1:4">
      <c r="A103" s="182" t="s">
        <v>261</v>
      </c>
      <c r="B103" s="207" t="e">
        <f>B26/(B8+B9)</f>
        <v>#DIV/0!</v>
      </c>
      <c r="C103" s="207" t="e">
        <f>C26/(C8+C9)</f>
        <v>#DIV/0!</v>
      </c>
      <c r="D103" s="207" t="e">
        <f>D26/(D8+D9)</f>
        <v>#DIV/0!</v>
      </c>
    </row>
    <row r="104" spans="1:4">
      <c r="A104" s="182" t="s">
        <v>262</v>
      </c>
      <c r="B104" s="207" t="e">
        <f>B32/(B8+B9)</f>
        <v>#DIV/0!</v>
      </c>
      <c r="C104" s="207" t="e">
        <f>C32/(C8+C9)</f>
        <v>#DIV/0!</v>
      </c>
      <c r="D104" s="207" t="e">
        <f>D32/(D8+D9)</f>
        <v>#DIV/0!</v>
      </c>
    </row>
    <row r="105" spans="1:4">
      <c r="A105" s="182" t="s">
        <v>263</v>
      </c>
      <c r="B105" s="208" t="e">
        <f>(B63)/B57</f>
        <v>#DIV/0!</v>
      </c>
      <c r="C105" s="208" t="e">
        <f>(C63)/C57</f>
        <v>#DIV/0!</v>
      </c>
      <c r="D105" s="208" t="e">
        <f>(D63)/D57</f>
        <v>#DIV/0!</v>
      </c>
    </row>
    <row r="106" spans="1:4">
      <c r="A106" s="182" t="s">
        <v>74</v>
      </c>
      <c r="B106" s="208" t="e">
        <f>(B69)/B57</f>
        <v>#DIV/0!</v>
      </c>
      <c r="C106" s="208" t="e">
        <f>(C69)/C57</f>
        <v>#DIV/0!</v>
      </c>
      <c r="D106" s="208" t="e">
        <f>(D69)/D57</f>
        <v>#DIV/0!</v>
      </c>
    </row>
    <row r="107" spans="1:4">
      <c r="A107" s="182" t="s">
        <v>264</v>
      </c>
      <c r="B107" s="208" t="e">
        <f>B32/(B28+B29+B30)</f>
        <v>#DIV/0!</v>
      </c>
      <c r="C107" s="208" t="e">
        <f>C32/(C28+C29+C30)</f>
        <v>#DIV/0!</v>
      </c>
      <c r="D107" s="208" t="e">
        <f>D32/(D28+D29+D30)</f>
        <v>#DIV/0!</v>
      </c>
    </row>
    <row r="108" spans="1:4">
      <c r="A108" s="182" t="s">
        <v>265</v>
      </c>
      <c r="B108" s="208" t="e">
        <f>(B84+B85)/(B8)*365</f>
        <v>#DIV/0!</v>
      </c>
      <c r="C108" s="208" t="e">
        <f>(C84+C85)/(C8)*365</f>
        <v>#DIV/0!</v>
      </c>
      <c r="D108" s="208" t="e">
        <f>(D84+D85)/(D8)*365</f>
        <v>#DIV/0!</v>
      </c>
    </row>
    <row r="109" spans="1:4">
      <c r="A109" s="182" t="s">
        <v>266</v>
      </c>
      <c r="B109" s="191">
        <f>IF(B12=0,0,B83/B12*365)</f>
        <v>0</v>
      </c>
      <c r="C109" s="191">
        <f>IF(C12=0,0,C83/C12*365)</f>
        <v>0</v>
      </c>
      <c r="D109" s="191">
        <f>IF(D12=0,0,D83/D12*365)</f>
        <v>0</v>
      </c>
    </row>
    <row r="110" spans="1:4">
      <c r="A110" s="182" t="s">
        <v>267</v>
      </c>
      <c r="B110" s="191">
        <f>IF(B12=0,0,B65/B14*365)</f>
        <v>0</v>
      </c>
      <c r="C110" s="191">
        <f>IF(C12=0,0,C65/C14*365)</f>
        <v>0</v>
      </c>
      <c r="D110" s="191">
        <f>IF(D12=0,0,D65/D14*365)</f>
        <v>0</v>
      </c>
    </row>
    <row r="111" spans="1:4">
      <c r="A111" s="182" t="s">
        <v>268</v>
      </c>
      <c r="B111" s="191" t="e">
        <f>B108+B109-B110</f>
        <v>#DIV/0!</v>
      </c>
      <c r="C111" s="191" t="e">
        <f>C108+C109-C110</f>
        <v>#DIV/0!</v>
      </c>
      <c r="D111" s="191" t="e">
        <f>D108+D109-D110</f>
        <v>#DIV/0!</v>
      </c>
    </row>
    <row r="112" spans="1:4">
      <c r="A112" s="182" t="s">
        <v>269</v>
      </c>
      <c r="B112" s="191">
        <f>B82-B64</f>
        <v>0</v>
      </c>
      <c r="C112" s="191">
        <f>C82-C64</f>
        <v>0</v>
      </c>
      <c r="D112" s="191">
        <f>D82-D64</f>
        <v>0</v>
      </c>
    </row>
    <row r="113" spans="1:4">
      <c r="A113" s="182" t="s">
        <v>270</v>
      </c>
      <c r="B113" s="191" t="e">
        <f>(B82-B88-B87+B90)/B64</f>
        <v>#DIV/0!</v>
      </c>
      <c r="C113" s="191" t="e">
        <f>(C82-C88-C87+C90)/C64</f>
        <v>#DIV/0!</v>
      </c>
      <c r="D113" s="191" t="e">
        <f>(D82-D88-D87+D90)/D64</f>
        <v>#DIV/0!</v>
      </c>
    </row>
    <row r="114" spans="1:4">
      <c r="A114" s="182" t="s">
        <v>271</v>
      </c>
      <c r="B114" s="191" t="e">
        <f>(B82-B88-B87+B90+B84)/B64</f>
        <v>#DIV/0!</v>
      </c>
      <c r="C114" s="191" t="e">
        <f>(C82-C88-C87+C90+C84)/C64</f>
        <v>#DIV/0!</v>
      </c>
      <c r="D114" s="191" t="e">
        <f>(D82-D88-D87+D90+D84)/D64</f>
        <v>#DIV/0!</v>
      </c>
    </row>
    <row r="115" spans="1:4">
      <c r="A115" s="182" t="s">
        <v>272</v>
      </c>
      <c r="B115" s="191" t="e">
        <f>B63/B26</f>
        <v>#DIV/0!</v>
      </c>
      <c r="C115" s="191" t="e">
        <f>C63/C26</f>
        <v>#DIV/0!</v>
      </c>
      <c r="D115" s="191" t="e">
        <f>D63/D26</f>
        <v>#DIV/0!</v>
      </c>
    </row>
    <row r="116" spans="1:4">
      <c r="A116" s="182" t="s">
        <v>273</v>
      </c>
      <c r="B116" s="191" t="e">
        <f>(B26-B41)/(B27+B66)</f>
        <v>#DIV/0!</v>
      </c>
      <c r="C116" s="191" t="e">
        <f>(C26-C41)/(C27+C66)</f>
        <v>#DIV/0!</v>
      </c>
      <c r="D116" s="191" t="e">
        <f>(D26-D41)/(D27+D66)</f>
        <v>#DIV/0!</v>
      </c>
    </row>
    <row r="117" spans="1:4">
      <c r="A117" s="175"/>
      <c r="B117" s="209"/>
      <c r="C117" s="209"/>
      <c r="D117" s="210"/>
    </row>
    <row r="118" spans="1:4">
      <c r="A118" s="211" t="s">
        <v>274</v>
      </c>
      <c r="B118" s="197">
        <f>B99</f>
        <v>42825</v>
      </c>
      <c r="C118" s="197">
        <f>C99</f>
        <v>43190</v>
      </c>
      <c r="D118" s="197">
        <f>D99</f>
        <v>43555</v>
      </c>
    </row>
    <row r="119" spans="1:4">
      <c r="A119" s="212" t="s">
        <v>275</v>
      </c>
      <c r="B119" s="205"/>
      <c r="C119" s="205"/>
      <c r="D119" s="205"/>
    </row>
    <row r="120" spans="1:4">
      <c r="A120" s="187" t="s">
        <v>276</v>
      </c>
      <c r="B120" s="213"/>
      <c r="C120" s="213">
        <f>C43</f>
        <v>0</v>
      </c>
      <c r="D120" s="213">
        <f>D43</f>
        <v>0</v>
      </c>
    </row>
    <row r="121" spans="1:4">
      <c r="A121" s="187" t="s">
        <v>277</v>
      </c>
      <c r="B121" s="213"/>
      <c r="C121" s="213">
        <f>C34</f>
        <v>0</v>
      </c>
      <c r="D121" s="213">
        <f>D34</f>
        <v>0</v>
      </c>
    </row>
    <row r="122" spans="1:4">
      <c r="A122" s="187" t="s">
        <v>278</v>
      </c>
      <c r="B122" s="213"/>
      <c r="C122" s="213">
        <f>C75-B75-C34</f>
        <v>0</v>
      </c>
      <c r="D122" s="213">
        <f>D75-C75-D34</f>
        <v>0</v>
      </c>
    </row>
    <row r="123" spans="1:4">
      <c r="A123" s="187" t="s">
        <v>279</v>
      </c>
      <c r="B123" s="213"/>
      <c r="C123" s="213">
        <f>C35</f>
        <v>0</v>
      </c>
      <c r="D123" s="213">
        <f>D35</f>
        <v>0</v>
      </c>
    </row>
    <row r="124" spans="1:4">
      <c r="A124" s="187" t="s">
        <v>280</v>
      </c>
      <c r="B124" s="213"/>
      <c r="C124" s="213">
        <f>C36</f>
        <v>0</v>
      </c>
      <c r="D124" s="213">
        <f>D36</f>
        <v>0</v>
      </c>
    </row>
    <row r="125" spans="1:4">
      <c r="A125" s="187" t="s">
        <v>281</v>
      </c>
      <c r="B125" s="213"/>
      <c r="C125" s="213">
        <f>SUM(C120:C124)</f>
        <v>0</v>
      </c>
      <c r="D125" s="213">
        <f>SUM(D120:D124)</f>
        <v>0</v>
      </c>
    </row>
    <row r="126" spans="1:4">
      <c r="A126" s="187" t="s">
        <v>282</v>
      </c>
      <c r="B126" s="213"/>
      <c r="C126" s="213">
        <f>(B82-B86)-(C82-C86)</f>
        <v>0</v>
      </c>
      <c r="D126" s="213">
        <f>(C82-C86)-(D82-D86)</f>
        <v>0</v>
      </c>
    </row>
    <row r="127" spans="1:4">
      <c r="A127" s="187" t="s">
        <v>283</v>
      </c>
      <c r="B127" s="213"/>
      <c r="C127" s="213">
        <f>B93-C93</f>
        <v>0</v>
      </c>
      <c r="D127" s="213">
        <f>C93-D93</f>
        <v>0</v>
      </c>
    </row>
    <row r="128" spans="1:4">
      <c r="A128" s="187" t="s">
        <v>284</v>
      </c>
      <c r="B128" s="213"/>
      <c r="C128" s="213">
        <f>C64-B64</f>
        <v>0</v>
      </c>
      <c r="D128" s="213">
        <f>D64-C64</f>
        <v>0</v>
      </c>
    </row>
    <row r="129" spans="1:4">
      <c r="A129" s="214" t="s">
        <v>285</v>
      </c>
      <c r="B129" s="215"/>
      <c r="C129" s="216">
        <f>C125+C126+C128</f>
        <v>0</v>
      </c>
      <c r="D129" s="216">
        <f>D125+D126+D128</f>
        <v>0</v>
      </c>
    </row>
    <row r="130" spans="1:4">
      <c r="A130" s="217" t="s">
        <v>286</v>
      </c>
      <c r="B130" s="215"/>
      <c r="C130" s="216">
        <f>C10</f>
        <v>0</v>
      </c>
      <c r="D130" s="216">
        <f>D10</f>
        <v>0</v>
      </c>
    </row>
    <row r="131" spans="1:4">
      <c r="A131" s="187"/>
      <c r="B131" s="205"/>
      <c r="C131" s="213"/>
      <c r="D131" s="213"/>
    </row>
    <row r="132" spans="1:4">
      <c r="A132" s="212" t="s">
        <v>287</v>
      </c>
      <c r="B132" s="205"/>
      <c r="C132" s="213"/>
      <c r="D132" s="213"/>
    </row>
    <row r="133" spans="1:4">
      <c r="A133" s="187" t="s">
        <v>288</v>
      </c>
      <c r="B133" s="213"/>
      <c r="C133" s="213">
        <f>B78+B75-C75-C78+B77-C77+B76-C76</f>
        <v>0</v>
      </c>
      <c r="D133" s="213">
        <f>C78+C75-D75-D78+C77-D77+C76-D76</f>
        <v>0</v>
      </c>
    </row>
    <row r="134" spans="1:4">
      <c r="A134" s="187" t="s">
        <v>289</v>
      </c>
      <c r="B134" s="213"/>
      <c r="C134" s="213">
        <f>-(C84-B84+C87-B87+C90-B90)</f>
        <v>0</v>
      </c>
      <c r="D134" s="213">
        <f>-(D84-C84+D87-C87+D90-C90)</f>
        <v>0</v>
      </c>
    </row>
    <row r="135" spans="1:4">
      <c r="A135" s="187" t="s">
        <v>290</v>
      </c>
      <c r="B135" s="213"/>
      <c r="C135" s="213">
        <f>B92-C92</f>
        <v>0</v>
      </c>
      <c r="D135" s="213">
        <f>C92-D92</f>
        <v>0</v>
      </c>
    </row>
    <row r="136" spans="1:4">
      <c r="A136" s="217" t="s">
        <v>291</v>
      </c>
      <c r="B136" s="218"/>
      <c r="C136" s="216">
        <f>SUM(C133:C135)</f>
        <v>0</v>
      </c>
      <c r="D136" s="216">
        <f>SUM(D133:D135)</f>
        <v>0</v>
      </c>
    </row>
    <row r="137" spans="1:4">
      <c r="A137" s="187"/>
      <c r="B137" s="205"/>
      <c r="C137" s="213"/>
      <c r="D137" s="213"/>
    </row>
    <row r="138" spans="1:4">
      <c r="A138" s="212" t="s">
        <v>292</v>
      </c>
      <c r="B138" s="205"/>
      <c r="C138" s="213"/>
      <c r="D138" s="213"/>
    </row>
    <row r="139" spans="1:4">
      <c r="A139" s="187" t="s">
        <v>293</v>
      </c>
      <c r="B139" s="213"/>
      <c r="C139" s="213">
        <f>C59-B59</f>
        <v>0</v>
      </c>
      <c r="D139" s="213">
        <f>D59-C59</f>
        <v>0</v>
      </c>
    </row>
    <row r="140" spans="1:4">
      <c r="A140" s="187" t="s">
        <v>294</v>
      </c>
      <c r="B140" s="213"/>
      <c r="C140" s="213">
        <f>C60+C61-B60-B61</f>
        <v>0</v>
      </c>
      <c r="D140" s="213">
        <f>D60+D61-C60-C61</f>
        <v>0</v>
      </c>
    </row>
    <row r="141" spans="1:4">
      <c r="A141" s="187" t="s">
        <v>295</v>
      </c>
      <c r="B141" s="213"/>
      <c r="C141" s="213">
        <f>(C55-C42)-B55</f>
        <v>0</v>
      </c>
      <c r="D141" s="213">
        <f>(D55-D42)-C55</f>
        <v>0</v>
      </c>
    </row>
    <row r="142" spans="1:4">
      <c r="A142" s="187" t="s">
        <v>296</v>
      </c>
      <c r="B142" s="213"/>
      <c r="C142" s="213">
        <f>C56-B56</f>
        <v>0</v>
      </c>
      <c r="D142" s="213">
        <f>D56-C56</f>
        <v>0</v>
      </c>
    </row>
    <row r="143" spans="1:4">
      <c r="A143" s="217" t="s">
        <v>297</v>
      </c>
      <c r="B143" s="218"/>
      <c r="C143" s="216">
        <f>SUM(C139:C142)</f>
        <v>0</v>
      </c>
      <c r="D143" s="216">
        <f>SUM(D139:D142)</f>
        <v>0</v>
      </c>
    </row>
    <row r="144" spans="1:4">
      <c r="A144" s="217" t="s">
        <v>298</v>
      </c>
      <c r="B144" s="218"/>
      <c r="C144" s="216">
        <f>C129+C130+C136+C143</f>
        <v>0</v>
      </c>
      <c r="D144" s="216">
        <f>D129+D130+D136+D143</f>
        <v>0</v>
      </c>
    </row>
    <row r="145" spans="1:4">
      <c r="A145" s="187"/>
      <c r="B145" s="205"/>
      <c r="C145" s="213"/>
      <c r="D145" s="213"/>
    </row>
    <row r="146" spans="1:4">
      <c r="A146" s="217" t="s">
        <v>299</v>
      </c>
      <c r="B146" s="218"/>
      <c r="C146" s="219">
        <f>B86</f>
        <v>0</v>
      </c>
      <c r="D146" s="219">
        <f>C86</f>
        <v>0</v>
      </c>
    </row>
    <row r="147" spans="1:4">
      <c r="A147" s="217" t="s">
        <v>300</v>
      </c>
      <c r="B147" s="218"/>
      <c r="C147" s="219">
        <f>C86</f>
        <v>0</v>
      </c>
      <c r="D147" s="219">
        <f>D86</f>
        <v>0</v>
      </c>
    </row>
    <row r="148" spans="1:4">
      <c r="A148" s="187"/>
      <c r="B148" s="205"/>
      <c r="C148" s="213"/>
      <c r="D148" s="213"/>
    </row>
    <row r="149" spans="1:4">
      <c r="A149" s="187" t="s">
        <v>301</v>
      </c>
      <c r="B149" s="205"/>
      <c r="C149" s="213">
        <f>C146+C144-C147</f>
        <v>0</v>
      </c>
      <c r="D149" s="213">
        <f>D146+D144-D147</f>
        <v>0</v>
      </c>
    </row>
    <row r="150" spans="1:4"/>
    <row r="151" spans="1:4"/>
    <row r="152" spans="1:4" hidden="1"/>
    <row r="153" spans="1:4" hidden="1"/>
    <row r="154" spans="1:4" hidden="1"/>
    <row r="155" spans="1:4" hidden="1"/>
    <row r="156" spans="1:4" hidden="1"/>
    <row r="157" spans="1:4" hidden="1"/>
    <row r="158" spans="1:4" hidden="1"/>
    <row r="159" spans="1:4" hidden="1"/>
    <row r="160" spans="1:4" hidden="1"/>
    <row r="161" hidden="1"/>
    <row r="162" hidden="1"/>
    <row r="163" hidden="1"/>
    <row r="164" hidden="1"/>
  </sheetData>
  <sheetProtection password="857C" sheet="1" objects="1" scenarios="1" formatCells="0" formatColumns="0" formatRows="0" insertColumns="0" insertRows="0"/>
  <mergeCells count="1">
    <mergeCell ref="A3:A4"/>
  </mergeCells>
  <pageMargins left="0.69930555555555496" right="0.69930555555555496" top="0.75" bottom="0.75" header="0.51180555555555496" footer="0.51180555555555496"/>
  <pageSetup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'Customer Details'!$B$8:$B$12</xm:f>
          </x14:formula1>
          <xm:sqref>B1:D1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1"/>
  <sheetViews>
    <sheetView topLeftCell="A3" zoomScaleNormal="100" workbookViewId="0">
      <selection activeCell="C12" sqref="C12"/>
    </sheetView>
  </sheetViews>
  <sheetFormatPr defaultRowHeight="15"/>
  <cols>
    <col min="1" max="1" width="66.140625" style="345" customWidth="1"/>
    <col min="2" max="3" width="22.5703125" style="346" customWidth="1"/>
    <col min="4" max="4" width="21.5703125" style="345" customWidth="1"/>
    <col min="5" max="5" width="25.7109375" style="345" hidden="1" customWidth="1"/>
    <col min="6" max="6" width="9.42578125" style="345" customWidth="1"/>
    <col min="7" max="7" width="24.28515625" style="345" customWidth="1"/>
    <col min="8" max="9" width="19.42578125" style="345" customWidth="1"/>
    <col min="10" max="1025" width="9.140625" style="345" customWidth="1"/>
  </cols>
  <sheetData>
    <row r="1" spans="1:10">
      <c r="A1" s="347" t="s">
        <v>394</v>
      </c>
      <c r="B1" s="348">
        <f>'Customer Details'!I8</f>
        <v>0</v>
      </c>
      <c r="D1" s="347"/>
      <c r="F1" s="349" t="s">
        <v>395</v>
      </c>
      <c r="G1" s="350" t="s">
        <v>396</v>
      </c>
    </row>
    <row r="2" spans="1:10" s="352" customFormat="1" ht="105">
      <c r="A2" s="347" t="s">
        <v>397</v>
      </c>
      <c r="B2" s="348">
        <f>'Customer Details'!F3</f>
        <v>0</v>
      </c>
      <c r="C2" s="346"/>
      <c r="D2" s="351" t="s">
        <v>398</v>
      </c>
      <c r="F2" s="353">
        <f>'Fin-1'!B1</f>
        <v>0</v>
      </c>
      <c r="G2" s="354" t="s">
        <v>48</v>
      </c>
      <c r="H2" s="345"/>
      <c r="I2" s="345"/>
      <c r="J2" s="345"/>
    </row>
    <row r="3" spans="1:10" s="352" customFormat="1">
      <c r="A3" s="347" t="s">
        <v>399</v>
      </c>
      <c r="B3" s="355">
        <f>'Customer Details'!L4</f>
        <v>24</v>
      </c>
      <c r="C3" s="346"/>
      <c r="D3" s="356" t="s">
        <v>400</v>
      </c>
      <c r="F3" s="357" t="str">
        <f>'Fin-2'!B1</f>
        <v>ABS</v>
      </c>
      <c r="G3" s="358" t="s">
        <v>104</v>
      </c>
      <c r="H3" s="345"/>
      <c r="I3" s="345"/>
      <c r="J3" s="345"/>
    </row>
    <row r="4" spans="1:10" s="352" customFormat="1">
      <c r="A4" s="347" t="s">
        <v>111</v>
      </c>
      <c r="B4" s="351">
        <f>'Customer Details'!L3</f>
        <v>0.19500000000000001</v>
      </c>
      <c r="C4" s="346"/>
      <c r="D4" s="359" t="s">
        <v>401</v>
      </c>
      <c r="E4" s="360"/>
      <c r="F4" s="912" t="e">
        <f>(C8-B8)/B8</f>
        <v>#VALUE!</v>
      </c>
      <c r="G4" s="912"/>
      <c r="H4" s="345"/>
      <c r="I4" s="345"/>
      <c r="J4" s="345"/>
    </row>
    <row r="5" spans="1:10" s="352" customFormat="1">
      <c r="A5" s="345"/>
      <c r="B5" s="346"/>
      <c r="C5" s="346"/>
      <c r="D5" s="359" t="s">
        <v>402</v>
      </c>
      <c r="E5" s="345"/>
      <c r="F5" s="913" t="s">
        <v>104</v>
      </c>
      <c r="G5" s="913"/>
      <c r="H5" s="345"/>
      <c r="I5" s="345"/>
    </row>
    <row r="6" spans="1:10" ht="45">
      <c r="A6" s="347"/>
      <c r="B6" s="361" t="s">
        <v>403</v>
      </c>
      <c r="C6" s="361" t="s">
        <v>404</v>
      </c>
      <c r="D6" s="361" t="s">
        <v>405</v>
      </c>
      <c r="E6" s="361" t="s">
        <v>406</v>
      </c>
      <c r="G6" s="362"/>
    </row>
    <row r="7" spans="1:10">
      <c r="A7" s="350" t="str">
        <f>"FIRM 1"&amp;"--- "&amp;'Fin-1'!B1</f>
        <v>FIRM 1--- 0</v>
      </c>
      <c r="B7" s="361"/>
      <c r="C7" s="361"/>
      <c r="D7" s="361"/>
      <c r="E7" s="361"/>
      <c r="G7" s="363"/>
    </row>
    <row r="8" spans="1:10">
      <c r="A8" s="347" t="s">
        <v>407</v>
      </c>
      <c r="B8" s="348">
        <f>IF(G2="Yes",('Fin-1'!D8+'Fin-1'!D9),"")</f>
        <v>0</v>
      </c>
      <c r="C8" s="364" t="e">
        <f>IF(G2="Yes",IF('Fin-1'!B1="",0,(IF('Fin-1'!B1=VAT!B2,VAT!B16,0)+IF('Fin-1'!B1=VAT!C2,VAT!C16,0)+IF('Fin-1'!B1=VAT!D2,VAT!D16,0))),"")</f>
        <v>#VALUE!</v>
      </c>
      <c r="D8" s="365">
        <f>IF(G2="Yes",IF('Fin-1'!B1="",0,(IF(Banking!C3='Fin-1'!B1,Banking!S3,0)+IF(Banking!C4='Fin-1'!B1,Banking!S4,0)+IF(Banking!C5='Fin-1'!B1,Banking!S5,0)+IF(Banking!C6='Fin-1'!B1,Banking!S6,0)+IF(Banking!C7='Fin-1'!B1,Banking!S7,0))),"")</f>
        <v>0</v>
      </c>
      <c r="E8" s="290"/>
      <c r="G8" s="363"/>
    </row>
    <row r="9" spans="1:10">
      <c r="A9" s="366" t="s">
        <v>408</v>
      </c>
      <c r="B9" s="834">
        <f>B8</f>
        <v>0</v>
      </c>
      <c r="C9" s="835" t="e">
        <f>F9</f>
        <v>#VALUE!</v>
      </c>
      <c r="D9" s="836">
        <f>D8</f>
        <v>0</v>
      </c>
      <c r="E9" s="290"/>
      <c r="F9" s="833" t="e">
        <f>IF(OR('Customer Details'!F5:H5="Normal income Programme",'Customer Details'!F5:H5="Industry Margin Programme"),IF(F4&gt;50%,IF(F5="Yes",C8,B8*1.5),C8),C8)</f>
        <v>#VALUE!</v>
      </c>
      <c r="G9" s="363"/>
    </row>
    <row r="10" spans="1:10">
      <c r="A10" s="347" t="s">
        <v>409</v>
      </c>
      <c r="B10" s="351" t="e">
        <f>IF($G2="Yes",'Fin-1'!D103)</f>
        <v>#DIV/0!</v>
      </c>
      <c r="C10" s="351" t="e">
        <f>B10</f>
        <v>#DIV/0!</v>
      </c>
      <c r="D10" s="367" t="e">
        <f>C10</f>
        <v>#DIV/0!</v>
      </c>
      <c r="E10" s="367" t="e">
        <f>D10</f>
        <v>#DIV/0!</v>
      </c>
      <c r="G10" s="368" t="b">
        <f>IF(AND(B1="Trading",B2&lt;30),MIN(B10*3,'Customer Details'!M8),IF(AND(B1="Manufacturing",B2&lt;30),MIN(B10*4,'Customer Details'!M8),IF(AND(B1="Service",B2&lt;30),'Customer Details'!M8)))</f>
        <v>0</v>
      </c>
    </row>
    <row r="11" spans="1:10">
      <c r="A11" s="347" t="s">
        <v>410</v>
      </c>
      <c r="B11" s="351">
        <f>IF(G10="FALSE",G11,MIN(G10:G11))</f>
        <v>0</v>
      </c>
      <c r="C11" s="351">
        <f>IF(G2="Yes",B11,"")</f>
        <v>0</v>
      </c>
      <c r="D11" s="367">
        <f>IF(G2="Yes",C11,"")</f>
        <v>0</v>
      </c>
      <c r="E11" s="369"/>
      <c r="G11" s="368">
        <f>IF(AND(G2="Yes",B2&gt;=30),MIN('Fin-1'!C4,'Fin-1'!D103*3),'Fin-1'!C4)</f>
        <v>0</v>
      </c>
    </row>
    <row r="12" spans="1:10">
      <c r="A12" s="347" t="s">
        <v>411</v>
      </c>
      <c r="B12" s="370">
        <f>'Fin-1'!D41</f>
        <v>0</v>
      </c>
      <c r="C12" s="370">
        <f>B12</f>
        <v>0</v>
      </c>
      <c r="D12" s="371">
        <f>C12</f>
        <v>0</v>
      </c>
      <c r="E12" s="371">
        <f>D12</f>
        <v>0</v>
      </c>
      <c r="G12" s="372"/>
    </row>
    <row r="13" spans="1:10">
      <c r="A13" s="347" t="s">
        <v>412</v>
      </c>
      <c r="B13" s="370" t="e">
        <f>IF(G2="Yes",IF(B10="",0,B9*B10-B12),0)</f>
        <v>#DIV/0!</v>
      </c>
      <c r="C13" s="370" t="e">
        <f>IF(G2="Yes",IF(C10="",0,C9*C10-C12),0)</f>
        <v>#DIV/0!</v>
      </c>
      <c r="D13" s="370" t="e">
        <f>IF(G2="Yes",IF(D10="",0,D9*D10-D12),0)</f>
        <v>#DIV/0!</v>
      </c>
      <c r="E13" s="370" t="e">
        <f>IF(E10="",0,E8*E10-E12)</f>
        <v>#DIV/0!</v>
      </c>
      <c r="G13" s="363"/>
    </row>
    <row r="14" spans="1:10">
      <c r="A14" s="347" t="s">
        <v>413</v>
      </c>
      <c r="B14" s="370">
        <f>IF(G2="Yes",IF(B9="",0,(IF(B9=0,0,B9*B11-B12))),0)</f>
        <v>0</v>
      </c>
      <c r="C14" s="370" t="e">
        <f>IF(G2="Yes",IF(C9="",0,(IF(C9=0,0,C9*C11-C12))),0)</f>
        <v>#VALUE!</v>
      </c>
      <c r="D14" s="370">
        <f>IF(G2="Yes",IF(D9="",0,(IF(D9=0,0,D9*D11-D12))),0)</f>
        <v>0</v>
      </c>
      <c r="E14" s="370">
        <f>IF(E8="",0,(IF(E8=0,0,E8*E11-E12)))</f>
        <v>0</v>
      </c>
      <c r="G14" s="373"/>
      <c r="H14" s="374"/>
    </row>
    <row r="15" spans="1:10">
      <c r="A15" s="347"/>
      <c r="B15" s="370"/>
      <c r="C15" s="370"/>
      <c r="D15" s="370"/>
      <c r="E15" s="370"/>
      <c r="G15" s="363"/>
    </row>
    <row r="16" spans="1:10">
      <c r="A16" s="350" t="str">
        <f>"FIRM 2"&amp;"--- "&amp;'Fin-2'!B1</f>
        <v>FIRM 2--- ABS</v>
      </c>
      <c r="B16" s="361"/>
      <c r="C16" s="361"/>
      <c r="D16" s="361"/>
      <c r="E16" s="361"/>
      <c r="G16" s="363"/>
    </row>
    <row r="17" spans="1:7">
      <c r="A17" s="347" t="s">
        <v>407</v>
      </c>
      <c r="B17" s="348" t="str">
        <f>IF(G3="Yes",('Fin-2'!D8+'Fin-2'!D9),"")</f>
        <v/>
      </c>
      <c r="C17" s="364" t="str">
        <f>IF(G3="Yes",IF('Fin-2'!B1="",0,(IF('Fin-2'!B1=VAT!B2,VAT!B16,0)+IF('Fin-2'!B1=VAT!C2,VAT!C16,0)+IF('Fin-2'!B1=VAT!D2,VAT!D16,0))),"")</f>
        <v/>
      </c>
      <c r="D17" s="365" t="str">
        <f>IF(G3="Yes",IF('Fin-2'!B1="",0,(IF(Banking!C3='Fin-2'!B1,Banking!S3,0)+IF(Banking!C4='Fin-2'!B1,Banking!S4,0)+IF(Banking!C5='Fin-2'!B1,Banking!S5,0)+IF(Banking!C6='Fin-2'!B1,Banking!S6,0)+IF(Banking!C7='Fin-2'!B1,Banking!S7,0))),"")</f>
        <v/>
      </c>
      <c r="E17" s="290"/>
      <c r="G17" s="363"/>
    </row>
    <row r="18" spans="1:7">
      <c r="A18" s="366" t="s">
        <v>408</v>
      </c>
      <c r="B18" s="348"/>
      <c r="C18" s="364" t="e">
        <f>IF(F4&gt;50%,IF(F5="Yes",C17,B17*1.5),C17)</f>
        <v>#VALUE!</v>
      </c>
      <c r="D18" s="365"/>
      <c r="E18" s="290"/>
      <c r="G18" s="363"/>
    </row>
    <row r="19" spans="1:7">
      <c r="A19" s="347" t="s">
        <v>409</v>
      </c>
      <c r="B19" s="351" t="e">
        <f>IF($G2="Yes",'Fin-2'!D103)</f>
        <v>#DIV/0!</v>
      </c>
      <c r="C19" s="351" t="e">
        <f>B19</f>
        <v>#DIV/0!</v>
      </c>
      <c r="D19" s="367" t="e">
        <f>C19</f>
        <v>#DIV/0!</v>
      </c>
      <c r="E19" s="367" t="e">
        <f>D19</f>
        <v>#DIV/0!</v>
      </c>
      <c r="G19" s="375" t="b">
        <f>IF(AND(B1="Trading",B2&lt;30),MIN(B19*3,'Customer Details'!M9),IF(AND(B1="Manufacturing",B2&lt;30),MIN(B19*4,'Customer Details'!M9),IF(AND(B1="Service",B2&lt;30),'Customer Details'!M9)))</f>
        <v>0</v>
      </c>
    </row>
    <row r="20" spans="1:7">
      <c r="A20" s="347" t="s">
        <v>410</v>
      </c>
      <c r="B20" s="351">
        <f>IF(G19="FALSE",G20,MIN(G19:G20))</f>
        <v>0</v>
      </c>
      <c r="C20" s="351">
        <f>B20</f>
        <v>0</v>
      </c>
      <c r="D20" s="367">
        <f>C20</f>
        <v>0</v>
      </c>
      <c r="E20" s="369"/>
      <c r="G20" s="368">
        <f>IF(AND(G2="Yes",B2&gt;=30),MIN('Fin-2'!C4,'Fin-2'!D103*3),'Fin-2'!C4)</f>
        <v>0</v>
      </c>
    </row>
    <row r="21" spans="1:7">
      <c r="A21" s="347" t="s">
        <v>411</v>
      </c>
      <c r="B21" s="370" t="str">
        <f>IF(G3="Yes",'Fin-2'!D41,"")</f>
        <v/>
      </c>
      <c r="C21" s="370" t="str">
        <f>B21</f>
        <v/>
      </c>
      <c r="D21" s="371" t="str">
        <f>C21</f>
        <v/>
      </c>
      <c r="E21" s="371" t="str">
        <f>D21</f>
        <v/>
      </c>
      <c r="G21" s="363"/>
    </row>
    <row r="22" spans="1:7">
      <c r="A22" s="347" t="s">
        <v>412</v>
      </c>
      <c r="B22" s="370">
        <f>IF(G3="Yes",IF(B19="",0,B18*B19-B21),0)</f>
        <v>0</v>
      </c>
      <c r="C22" s="370">
        <f>IF(G3="Yes",IF(C19="",0,C18*C19-C21),0)</f>
        <v>0</v>
      </c>
      <c r="D22" s="370">
        <f>IF(G3="Yes",IF(D19="",0,D18*D19-D21),0)</f>
        <v>0</v>
      </c>
      <c r="E22" s="370" t="e">
        <f>IF(E19="",0,E17*E19-E21)</f>
        <v>#DIV/0!</v>
      </c>
      <c r="G22" s="376"/>
    </row>
    <row r="23" spans="1:7">
      <c r="A23" s="347" t="s">
        <v>413</v>
      </c>
      <c r="B23" s="370">
        <f>IF(G3="Yes",IF(B18="",0,(IF(B18=0,0,B18*B20-B21))),0)</f>
        <v>0</v>
      </c>
      <c r="C23" s="370">
        <f>IF(G3="Yes",IF(C18="",0,(IF(C18=0,0,C18*C20-C21))),0)</f>
        <v>0</v>
      </c>
      <c r="D23" s="370">
        <f>IF(G3="Yes",IF(D18="",0,(IF(D18=0,0,D18*D20-D21))),0)</f>
        <v>0</v>
      </c>
      <c r="E23" s="370">
        <f>IF(E17="",0,(IF(E17=0,0,E17*E20-E21)))</f>
        <v>0</v>
      </c>
      <c r="G23" s="377"/>
    </row>
    <row r="24" spans="1:7" ht="15.75" customHeight="1">
      <c r="A24" s="347"/>
      <c r="B24" s="370"/>
      <c r="C24" s="370"/>
      <c r="D24" s="370"/>
      <c r="E24" s="370"/>
    </row>
    <row r="25" spans="1:7" ht="15.75" customHeight="1">
      <c r="A25" s="347" t="s">
        <v>414</v>
      </c>
      <c r="B25" s="370" t="e">
        <f>B13+B22</f>
        <v>#DIV/0!</v>
      </c>
      <c r="C25" s="370" t="e">
        <f>C13+C22</f>
        <v>#DIV/0!</v>
      </c>
      <c r="D25" s="370" t="e">
        <f>D13+D22</f>
        <v>#DIV/0!</v>
      </c>
      <c r="E25" s="370" t="e">
        <f>E13+E22+#REF!</f>
        <v>#DIV/0!</v>
      </c>
    </row>
    <row r="26" spans="1:7" ht="15.75" customHeight="1">
      <c r="A26" s="347" t="s">
        <v>415</v>
      </c>
      <c r="B26" s="370">
        <f>+B23+B14</f>
        <v>0</v>
      </c>
      <c r="C26" s="370" t="e">
        <f>+C23+C14</f>
        <v>#VALUE!</v>
      </c>
      <c r="D26" s="370">
        <f>+D23+D14</f>
        <v>0</v>
      </c>
      <c r="E26" s="370" t="e">
        <f>#REF!+E23+E14</f>
        <v>#REF!</v>
      </c>
    </row>
    <row r="27" spans="1:7" ht="15.75" customHeight="1">
      <c r="A27" s="347"/>
      <c r="B27" s="370"/>
      <c r="C27" s="370"/>
      <c r="D27" s="370"/>
      <c r="E27" s="370"/>
    </row>
    <row r="28" spans="1:7" ht="15.75" customHeight="1">
      <c r="A28" s="347" t="s">
        <v>416</v>
      </c>
      <c r="B28" s="370">
        <v>0</v>
      </c>
      <c r="C28" s="370">
        <v>0</v>
      </c>
      <c r="D28" s="370">
        <v>0</v>
      </c>
      <c r="E28" s="378">
        <v>300</v>
      </c>
    </row>
    <row r="29" spans="1:7" ht="15.75" customHeight="1">
      <c r="A29" s="347"/>
      <c r="B29" s="351"/>
      <c r="C29" s="351"/>
      <c r="D29" s="367"/>
      <c r="E29" s="367"/>
    </row>
    <row r="30" spans="1:7">
      <c r="A30" s="347" t="s">
        <v>417</v>
      </c>
      <c r="B30" s="370" t="e">
        <f>+B22+B13</f>
        <v>#DIV/0!</v>
      </c>
      <c r="C30" s="370" t="e">
        <f>+C22+C13</f>
        <v>#DIV/0!</v>
      </c>
      <c r="D30" s="370" t="e">
        <f>+D22+D13</f>
        <v>#DIV/0!</v>
      </c>
      <c r="E30" s="370" t="e">
        <f>E25+E28</f>
        <v>#DIV/0!</v>
      </c>
    </row>
    <row r="31" spans="1:7">
      <c r="A31" s="347" t="s">
        <v>418</v>
      </c>
      <c r="B31" s="370">
        <f>B14+B23</f>
        <v>0</v>
      </c>
      <c r="C31" s="370" t="e">
        <f>C14+C23</f>
        <v>#VALUE!</v>
      </c>
      <c r="D31" s="370">
        <f>D14+D23</f>
        <v>0</v>
      </c>
      <c r="E31" s="370" t="e">
        <f>E26+E28</f>
        <v>#REF!</v>
      </c>
    </row>
    <row r="32" spans="1:7">
      <c r="A32" s="347"/>
      <c r="B32" s="370"/>
      <c r="C32" s="370"/>
      <c r="D32" s="370"/>
      <c r="E32" s="370"/>
    </row>
    <row r="33" spans="1:5">
      <c r="A33" s="347" t="s">
        <v>419</v>
      </c>
      <c r="B33" s="370">
        <f>'Existing Loans'!W136*12/100000</f>
        <v>0</v>
      </c>
      <c r="C33" s="370">
        <f t="shared" ref="C33:E34" si="0">B33</f>
        <v>0</v>
      </c>
      <c r="D33" s="371">
        <f t="shared" si="0"/>
        <v>0</v>
      </c>
      <c r="E33" s="371">
        <f t="shared" si="0"/>
        <v>0</v>
      </c>
    </row>
    <row r="34" spans="1:5">
      <c r="A34" s="347" t="s">
        <v>420</v>
      </c>
      <c r="B34" s="370">
        <f>ROUND(PMT(B4/12,B3,-B2)*12,2)</f>
        <v>0</v>
      </c>
      <c r="C34" s="370">
        <f t="shared" si="0"/>
        <v>0</v>
      </c>
      <c r="D34" s="371">
        <f t="shared" si="0"/>
        <v>0</v>
      </c>
      <c r="E34" s="371">
        <f t="shared" si="0"/>
        <v>0</v>
      </c>
    </row>
    <row r="35" spans="1:5">
      <c r="A35" s="347" t="s">
        <v>421</v>
      </c>
      <c r="B35" s="370">
        <f>SUM(B33:B34)</f>
        <v>0</v>
      </c>
      <c r="C35" s="370">
        <f>SUM(C33:C34)</f>
        <v>0</v>
      </c>
      <c r="D35" s="371">
        <f>SUM(D33:D34)</f>
        <v>0</v>
      </c>
      <c r="E35" s="371">
        <f>SUM(E33:E34)</f>
        <v>0</v>
      </c>
    </row>
    <row r="36" spans="1:5">
      <c r="A36" s="379"/>
      <c r="B36" s="380"/>
      <c r="C36" s="380"/>
      <c r="D36" s="381"/>
      <c r="E36" s="381"/>
    </row>
    <row r="37" spans="1:5" s="345" customFormat="1"/>
    <row r="38" spans="1:5">
      <c r="A38" s="347"/>
      <c r="B38" s="382"/>
      <c r="C38" s="382"/>
      <c r="D38" s="383"/>
      <c r="E38" s="383"/>
    </row>
    <row r="39" spans="1:5" ht="18.75">
      <c r="A39" s="384" t="s">
        <v>422</v>
      </c>
      <c r="B39" s="385" t="e">
        <f>B30/B35</f>
        <v>#DIV/0!</v>
      </c>
      <c r="C39" s="385" t="e">
        <f>C30/C35</f>
        <v>#DIV/0!</v>
      </c>
      <c r="D39" s="385" t="e">
        <f>D30/D35</f>
        <v>#DIV/0!</v>
      </c>
      <c r="E39" s="385" t="e">
        <f>E30/E35</f>
        <v>#DIV/0!</v>
      </c>
    </row>
    <row r="40" spans="1:5" ht="18.75">
      <c r="A40" s="384" t="s">
        <v>423</v>
      </c>
      <c r="B40" s="385" t="e">
        <f>B31/B35</f>
        <v>#DIV/0!</v>
      </c>
      <c r="C40" s="385" t="e">
        <f>C31/C35</f>
        <v>#VALUE!</v>
      </c>
      <c r="D40" s="385" t="e">
        <f>D31/D35</f>
        <v>#DIV/0!</v>
      </c>
      <c r="E40" s="385" t="e">
        <f>E31/E35</f>
        <v>#REF!</v>
      </c>
    </row>
    <row r="41" spans="1:5" s="386" customFormat="1">
      <c r="A41" s="386" t="s">
        <v>424</v>
      </c>
      <c r="B41" s="387"/>
      <c r="C41" s="388" t="str">
        <f>IF('Customer Details'!F5="GST Program","Applicable for Eligibility under GST Prg","-")</f>
        <v>-</v>
      </c>
    </row>
  </sheetData>
  <sheetProtection password="857C" sheet="1" objects="1" scenarios="1" formatCells="0" formatColumns="0" formatRows="0"/>
  <mergeCells count="2">
    <mergeCell ref="F4:G4"/>
    <mergeCell ref="F5:G5"/>
  </mergeCells>
  <conditionalFormatting sqref="F4:G4">
    <cfRule type="cellIs" dxfId="69" priority="2" operator="greaterThan">
      <formula>0.5</formula>
    </cfRule>
  </conditionalFormatting>
  <conditionalFormatting sqref="F5:G5">
    <cfRule type="cellIs" dxfId="68" priority="3" operator="equal">
      <formula>"Yes"</formula>
    </cfRule>
  </conditionalFormatting>
  <dataValidations count="1">
    <dataValidation type="list" allowBlank="1" showInputMessage="1" showErrorMessage="1" sqref="G2:G3" xr:uid="{00000000-0002-0000-0700-000000000000}">
      <formula1>"Yes,No"</formula1>
      <formula2>0</formula2>
    </dataValidation>
  </dataValidations>
  <pageMargins left="0.69930555555555496" right="0.69930555555555496" top="0.75" bottom="0.75"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1000000}">
          <x14:formula1>
            <xm:f>Sheet1!$B$2:$B$3</xm:f>
          </x14:formula1>
          <x14:formula2>
            <xm:f>0</xm:f>
          </x14:formula2>
          <xm:sqref>F5:G5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97"/>
  <sheetViews>
    <sheetView showGridLines="0" zoomScaleNormal="100" workbookViewId="0"/>
  </sheetViews>
  <sheetFormatPr defaultRowHeight="15" zeroHeight="1"/>
  <cols>
    <col min="1" max="1" width="5.140625" style="223" customWidth="1"/>
    <col min="2" max="2" width="10.5703125" style="389" customWidth="1"/>
    <col min="3" max="3" width="17" style="389" customWidth="1"/>
    <col min="4" max="4" width="13.28515625" style="389" customWidth="1"/>
    <col min="5" max="5" width="12.140625" style="389" customWidth="1"/>
    <col min="6" max="6" width="14.140625" style="389" customWidth="1"/>
    <col min="7" max="9" width="9.140625" style="389" customWidth="1"/>
    <col min="10" max="10" width="15.28515625" style="389" customWidth="1"/>
    <col min="11" max="11" width="11" style="389" customWidth="1"/>
    <col min="12" max="12" width="9.140625" style="389" customWidth="1"/>
    <col min="13" max="13" width="16" style="389" customWidth="1"/>
    <col min="14" max="14" width="11.85546875" style="389" customWidth="1"/>
    <col min="15" max="15" width="13.28515625" style="390" customWidth="1"/>
    <col min="16" max="19" width="9.140625" style="390" customWidth="1"/>
    <col min="20" max="21" width="9.140625" style="226" customWidth="1"/>
    <col min="22" max="29" width="11.5703125" style="223" hidden="1" customWidth="1"/>
    <col min="30" max="1025" width="9.140625" style="223" hidden="1" customWidth="1"/>
  </cols>
  <sheetData>
    <row r="1" spans="2:21" s="220" customFormat="1">
      <c r="B1" s="391" t="s">
        <v>425</v>
      </c>
      <c r="C1" s="392"/>
      <c r="D1" s="392"/>
      <c r="E1" s="392"/>
      <c r="F1" s="392"/>
      <c r="G1" s="392"/>
      <c r="H1" s="392"/>
      <c r="I1" s="392"/>
      <c r="J1" s="392"/>
      <c r="K1" s="392"/>
      <c r="L1" s="392"/>
      <c r="M1" s="392"/>
      <c r="N1" s="392"/>
      <c r="O1" s="392"/>
      <c r="P1" s="392"/>
      <c r="Q1" s="392"/>
      <c r="R1" s="392"/>
      <c r="S1" s="392"/>
      <c r="T1" s="393"/>
      <c r="U1" s="393"/>
    </row>
    <row r="2" spans="2:21" s="394" customFormat="1" ht="36" customHeight="1">
      <c r="B2" s="395" t="s">
        <v>1</v>
      </c>
      <c r="C2" s="396" t="s">
        <v>426</v>
      </c>
      <c r="D2" s="397" t="s">
        <v>427</v>
      </c>
      <c r="E2" s="397" t="s">
        <v>428</v>
      </c>
      <c r="F2" s="397" t="s">
        <v>429</v>
      </c>
      <c r="G2" s="398" t="s">
        <v>430</v>
      </c>
      <c r="H2" s="398" t="s">
        <v>431</v>
      </c>
      <c r="I2" s="396" t="s">
        <v>432</v>
      </c>
      <c r="J2" s="398" t="s">
        <v>433</v>
      </c>
      <c r="K2" s="926" t="s">
        <v>434</v>
      </c>
      <c r="L2" s="926"/>
      <c r="M2" s="398" t="s">
        <v>81</v>
      </c>
      <c r="N2" s="398" t="s">
        <v>435</v>
      </c>
      <c r="O2" s="398" t="s">
        <v>436</v>
      </c>
      <c r="P2" s="398" t="s">
        <v>437</v>
      </c>
      <c r="Q2" s="398" t="s">
        <v>438</v>
      </c>
      <c r="R2" s="398" t="s">
        <v>439</v>
      </c>
      <c r="S2" s="398" t="s">
        <v>440</v>
      </c>
      <c r="T2" s="399"/>
      <c r="U2" s="399"/>
    </row>
    <row r="3" spans="2:21">
      <c r="B3" s="400">
        <v>1</v>
      </c>
      <c r="C3" s="401">
        <f>G22</f>
        <v>0</v>
      </c>
      <c r="D3" s="401">
        <f>C23</f>
        <v>0</v>
      </c>
      <c r="E3" s="402">
        <f>F23</f>
        <v>0</v>
      </c>
      <c r="F3" s="401">
        <f>J23</f>
        <v>0</v>
      </c>
      <c r="G3" s="401" t="str">
        <f>IF(F3="CC/OD Account",M23,"")</f>
        <v/>
      </c>
      <c r="H3" s="403" t="str">
        <f>IF(F3="CC/OD Account",MAX(F25:F30),"")</f>
        <v/>
      </c>
      <c r="I3" s="404" t="str">
        <f>IF(SUM(C25:C30)=0,"",AVERAGE(C25:C30))</f>
        <v/>
      </c>
      <c r="J3" s="403" t="str">
        <f>IF(F3="CC/OD Account",AVERAGE(F25:F30),"")</f>
        <v/>
      </c>
      <c r="K3" s="923" t="str">
        <f>IF(SUM(G25:G30)=0,"",ROUND(AVERAGE(G25:G30),))</f>
        <v/>
      </c>
      <c r="L3" s="923"/>
      <c r="M3" s="405" t="str">
        <f>IF(H31&lt;=0,"",I31/H31)</f>
        <v/>
      </c>
      <c r="N3" s="405" t="str">
        <f>IF(H31&lt;=0,"",J31/G31)</f>
        <v/>
      </c>
      <c r="O3" s="404">
        <f>MIN(K25:K30)</f>
        <v>0</v>
      </c>
      <c r="P3" s="404">
        <f>MAX(K25:K30)</f>
        <v>0</v>
      </c>
      <c r="Q3" s="404">
        <f>E32</f>
        <v>0</v>
      </c>
      <c r="R3" s="401">
        <f>M22</f>
        <v>0</v>
      </c>
      <c r="S3" s="404">
        <f>IF(R3="Y",Q3,0)</f>
        <v>0</v>
      </c>
    </row>
    <row r="4" spans="2:21">
      <c r="B4" s="400">
        <v>2</v>
      </c>
      <c r="C4" s="401">
        <f>G35</f>
        <v>0</v>
      </c>
      <c r="D4" s="401">
        <f>C36</f>
        <v>0</v>
      </c>
      <c r="E4" s="401">
        <f>F36</f>
        <v>0</v>
      </c>
      <c r="F4" s="401">
        <f>J36</f>
        <v>0</v>
      </c>
      <c r="G4" s="401">
        <f>M36</f>
        <v>0</v>
      </c>
      <c r="H4" s="403" t="str">
        <f>IF(F4="CC/OD Account",MAX(F38:F43),"")</f>
        <v/>
      </c>
      <c r="I4" s="404" t="str">
        <f>IF(SUM(C38:C43)=0,"",AVERAGE(C38:C43))</f>
        <v/>
      </c>
      <c r="J4" s="403" t="str">
        <f>IF(F4="CC/OD Account",AVERAGE(F38:F43),"")</f>
        <v/>
      </c>
      <c r="K4" s="923" t="str">
        <f>IF(SUM(G38:G43)=0,"",ROUND(AVERAGE(G38:G43),))</f>
        <v/>
      </c>
      <c r="L4" s="923"/>
      <c r="M4" s="405" t="str">
        <f>IF(H44&lt;=0,"",I44/H44)</f>
        <v/>
      </c>
      <c r="N4" s="405" t="str">
        <f>IF(G44&lt;=0,"",J44/G44)</f>
        <v/>
      </c>
      <c r="O4" s="404">
        <f>MIN(K38:K43)</f>
        <v>0</v>
      </c>
      <c r="P4" s="404">
        <f>MAX(K38:K43)</f>
        <v>0</v>
      </c>
      <c r="Q4" s="404">
        <f>E45</f>
        <v>0</v>
      </c>
      <c r="R4" s="401" t="str">
        <f>M35</f>
        <v>Y</v>
      </c>
      <c r="S4" s="404">
        <f>IF(R4="Y",Q4,0)</f>
        <v>0</v>
      </c>
    </row>
    <row r="5" spans="2:21">
      <c r="B5" s="400">
        <v>3</v>
      </c>
      <c r="C5" s="401">
        <f>G48</f>
        <v>0</v>
      </c>
      <c r="D5" s="401">
        <f>C49</f>
        <v>0</v>
      </c>
      <c r="E5" s="401">
        <f>F49</f>
        <v>0</v>
      </c>
      <c r="F5" s="401">
        <f>J49</f>
        <v>0</v>
      </c>
      <c r="G5" s="401">
        <f>M49</f>
        <v>0</v>
      </c>
      <c r="H5" s="403" t="str">
        <f>IF(F5="CC/OD Account",MAX(F51:F56),"")</f>
        <v/>
      </c>
      <c r="I5" s="404" t="str">
        <f>IF(SUM(C51:C56)=0,"",AVERAGE(C51:C56))</f>
        <v/>
      </c>
      <c r="J5" s="403" t="str">
        <f>IF(F5="CC/OD Account",AVERAGE(F51:F56),"")</f>
        <v/>
      </c>
      <c r="K5" s="923" t="str">
        <f>IF(SUM(G51:G56)=0,"",ROUND(AVERAGE(G51:G56),))</f>
        <v/>
      </c>
      <c r="L5" s="923"/>
      <c r="M5" s="405" t="str">
        <f>IF(H57&lt;=0,"",I57/H57)</f>
        <v/>
      </c>
      <c r="N5" s="405" t="str">
        <f>IF(G57&lt;=0,"",J57/G57)</f>
        <v/>
      </c>
      <c r="O5" s="404">
        <f>MIN(K51:K56)</f>
        <v>0</v>
      </c>
      <c r="P5" s="404">
        <f>MAX(K51:K56)</f>
        <v>0</v>
      </c>
      <c r="Q5" s="404">
        <f>E58</f>
        <v>0</v>
      </c>
      <c r="R5" s="401">
        <f>M48</f>
        <v>0</v>
      </c>
      <c r="S5" s="404">
        <f>IF(R5="Y",Q5,0)</f>
        <v>0</v>
      </c>
    </row>
    <row r="6" spans="2:21">
      <c r="B6" s="400">
        <v>4</v>
      </c>
      <c r="C6" s="401">
        <f>G61</f>
        <v>0</v>
      </c>
      <c r="D6" s="401">
        <f>C62</f>
        <v>0</v>
      </c>
      <c r="E6" s="401">
        <f>F62</f>
        <v>0</v>
      </c>
      <c r="F6" s="401">
        <f>J62</f>
        <v>0</v>
      </c>
      <c r="G6" s="401">
        <f>M62</f>
        <v>0</v>
      </c>
      <c r="H6" s="403" t="str">
        <f>IF(F6="CC/OD Account",MAX(F64:F69),"")</f>
        <v/>
      </c>
      <c r="I6" s="404" t="str">
        <f>IF(SUM(C64:C69)=0,"",AVERAGE(C64:C69))</f>
        <v/>
      </c>
      <c r="J6" s="403" t="str">
        <f>IF(F6="CC/OD Account",AVERAGE(F64:F69),"")</f>
        <v/>
      </c>
      <c r="K6" s="923" t="str">
        <f>IF(SUM(G64:G69)=0,"",ROUND(AVERAGE(G64:G69),))</f>
        <v/>
      </c>
      <c r="L6" s="923"/>
      <c r="M6" s="405" t="str">
        <f>IF(H70&lt;=0,"",I70/H70)</f>
        <v/>
      </c>
      <c r="N6" s="405" t="str">
        <f>IF(G70&lt;=0,"",J70/G70)</f>
        <v/>
      </c>
      <c r="O6" s="404">
        <f>MIN(K64:K69)</f>
        <v>0</v>
      </c>
      <c r="P6" s="404">
        <f>MAX(K64:K69)</f>
        <v>0</v>
      </c>
      <c r="Q6" s="404">
        <f>E71</f>
        <v>0</v>
      </c>
      <c r="R6" s="401" t="str">
        <f>M61</f>
        <v>Y</v>
      </c>
      <c r="S6" s="404">
        <f>IF(R6="Y",Q6,0)</f>
        <v>0</v>
      </c>
    </row>
    <row r="7" spans="2:21">
      <c r="B7" s="400">
        <v>5</v>
      </c>
      <c r="C7" s="401">
        <f>G74</f>
        <v>0</v>
      </c>
      <c r="D7" s="401">
        <f>C75</f>
        <v>0</v>
      </c>
      <c r="E7" s="401">
        <f>F75</f>
        <v>0</v>
      </c>
      <c r="F7" s="401">
        <f>J75</f>
        <v>0</v>
      </c>
      <c r="G7" s="401">
        <f>M75</f>
        <v>0</v>
      </c>
      <c r="H7" s="403" t="str">
        <f>IF(F7="CC/OD Account",MAX(F77:F82),"")</f>
        <v/>
      </c>
      <c r="I7" s="404" t="str">
        <f>IF(SUM(C77:C82)=0,"",AVERAGE(C77:C82))</f>
        <v/>
      </c>
      <c r="J7" s="403" t="str">
        <f>IF(F7="CC/OD Account",AVERAGE(F77:F82),"")</f>
        <v/>
      </c>
      <c r="K7" s="923" t="str">
        <f>IF(SUM(G77:G82)=0,"",ROUND(AVERAGE(G77:G82),))</f>
        <v/>
      </c>
      <c r="L7" s="923"/>
      <c r="M7" s="405" t="str">
        <f>IF(I83&lt;=0,"",I83/H83)</f>
        <v/>
      </c>
      <c r="N7" s="405" t="str">
        <f>IF(G83&lt;=0,"",J83/G83)</f>
        <v/>
      </c>
      <c r="O7" s="404">
        <f>MIN(K77:K82)</f>
        <v>0</v>
      </c>
      <c r="P7" s="404">
        <f>MAX(K77:K82)</f>
        <v>0</v>
      </c>
      <c r="Q7" s="404">
        <f>E84</f>
        <v>0</v>
      </c>
      <c r="R7" s="401" t="str">
        <f>M74</f>
        <v>Y</v>
      </c>
      <c r="S7" s="404">
        <f>IF(R7="Y",Q7,0)</f>
        <v>0</v>
      </c>
    </row>
    <row r="8" spans="2:21" s="220" customFormat="1" ht="12">
      <c r="B8" s="923"/>
      <c r="C8" s="923"/>
      <c r="D8" s="923"/>
      <c r="E8" s="923"/>
      <c r="F8" s="923"/>
      <c r="G8" s="923"/>
      <c r="H8" s="923"/>
      <c r="I8" s="923"/>
      <c r="J8" s="923"/>
      <c r="K8" s="923"/>
      <c r="L8" s="923"/>
      <c r="M8" s="923"/>
      <c r="N8" s="923"/>
      <c r="O8" s="923"/>
      <c r="P8" s="923"/>
      <c r="Q8" s="923"/>
      <c r="R8" s="923"/>
      <c r="S8" s="406">
        <f>SUM(S3:S7)</f>
        <v>0</v>
      </c>
      <c r="T8" s="393"/>
      <c r="U8" s="393"/>
    </row>
    <row r="9" spans="2:21" s="393" customFormat="1" ht="24">
      <c r="B9" s="407"/>
      <c r="C9" s="407"/>
      <c r="D9" s="407"/>
      <c r="E9" s="407"/>
      <c r="F9" s="407"/>
      <c r="G9" s="407"/>
      <c r="H9" s="407"/>
      <c r="I9" s="408" t="s">
        <v>441</v>
      </c>
      <c r="J9" s="409"/>
      <c r="K9" s="409"/>
      <c r="L9" s="409"/>
      <c r="M9" s="410" t="e">
        <f>(I31+I44+I57+I70+I83)/(H83+H70+H57+H44+H31)</f>
        <v>#DIV/0!</v>
      </c>
      <c r="N9" s="410" t="e">
        <f>(J31+J44+J57+J70+J83)/(G83+G70+G57+G44+G31)</f>
        <v>#DIV/0!</v>
      </c>
      <c r="O9" s="407"/>
      <c r="P9" s="407"/>
      <c r="Q9" s="407"/>
      <c r="R9" s="411" t="s">
        <v>442</v>
      </c>
      <c r="S9" s="412" t="e">
        <f>S8/VAT!B16</f>
        <v>#DIV/0!</v>
      </c>
    </row>
    <row r="10" spans="2:21" s="393" customFormat="1" ht="36">
      <c r="B10" s="407"/>
      <c r="C10" s="407"/>
      <c r="D10" s="407"/>
      <c r="E10" s="407"/>
      <c r="F10" s="407"/>
      <c r="G10" s="413" t="s">
        <v>443</v>
      </c>
      <c r="H10" s="414">
        <f>IF(COUNTIFS(F3:F7,"*CC/OD Account*")&gt;0,SUMIF(F3:F7,"*CC/OD Account*",J3:J7)/COUNTIFS(F3:F7,"*CC/OD Account*",J3:J7,"&gt;0"),0)</f>
        <v>0</v>
      </c>
      <c r="I10" s="407"/>
      <c r="J10" s="413" t="s">
        <v>82</v>
      </c>
      <c r="K10" s="415">
        <f>COUNTIF('Existing Loans'!Q4:V135,"*Bounce*")</f>
        <v>0</v>
      </c>
      <c r="L10" s="407"/>
      <c r="O10" s="407"/>
      <c r="P10" s="407"/>
      <c r="Q10" s="407"/>
      <c r="R10" s="411" t="s">
        <v>444</v>
      </c>
      <c r="S10" s="412" t="e">
        <f>S8/'Fin-1'!D8</f>
        <v>#DIV/0!</v>
      </c>
    </row>
    <row r="11" spans="2:21" s="393" customFormat="1" ht="12">
      <c r="B11" s="407"/>
      <c r="C11" s="407"/>
      <c r="D11" s="407"/>
      <c r="E11" s="407"/>
      <c r="F11" s="407"/>
      <c r="G11" s="407"/>
      <c r="H11" s="407"/>
      <c r="I11" s="407"/>
      <c r="J11" s="407"/>
      <c r="K11" s="407"/>
      <c r="L11" s="407"/>
      <c r="M11" s="407"/>
      <c r="N11" s="407"/>
      <c r="O11" s="407"/>
      <c r="P11" s="407"/>
      <c r="Q11" s="407"/>
      <c r="R11" s="407"/>
      <c r="S11" s="407"/>
    </row>
    <row r="12" spans="2:21" s="393" customFormat="1" ht="15.75">
      <c r="B12" s="407"/>
      <c r="C12" s="416" t="s">
        <v>445</v>
      </c>
      <c r="D12" s="417"/>
      <c r="E12" s="418"/>
      <c r="F12" s="418"/>
      <c r="G12" s="418"/>
      <c r="H12" s="419" t="s">
        <v>446</v>
      </c>
      <c r="I12" s="420"/>
      <c r="J12" s="924" t="str">
        <f>IF(AND(N17&gt;98%,'Customer Details'!I8="Trading"),"Funding Not Allowed","Utilisation Norm Met")</f>
        <v>Utilisation Norm Met</v>
      </c>
      <c r="K12" s="924"/>
      <c r="L12" s="421"/>
      <c r="M12" s="422" t="s">
        <v>447</v>
      </c>
      <c r="N12" s="423" t="e">
        <f>(H31+H44+H57+H70+H83)/(G31+G44+G57+G70+G83)</f>
        <v>#DIV/0!</v>
      </c>
      <c r="O12" s="407"/>
      <c r="P12" s="407"/>
      <c r="Q12" s="407"/>
      <c r="R12" s="407"/>
      <c r="S12" s="407"/>
    </row>
    <row r="13" spans="2:21" s="393" customFormat="1" ht="25.5">
      <c r="B13" s="407"/>
      <c r="C13" s="424" t="s">
        <v>448</v>
      </c>
      <c r="D13" s="235" t="e">
        <f ca="1">'Customer Details'!C24</f>
        <v>#DIV/0!</v>
      </c>
      <c r="E13" s="425"/>
      <c r="F13" s="425"/>
      <c r="G13" s="425"/>
      <c r="H13" s="426"/>
      <c r="I13" s="427"/>
      <c r="J13" s="428"/>
      <c r="K13" s="426"/>
      <c r="L13" s="429"/>
      <c r="M13" s="422" t="s">
        <v>449</v>
      </c>
      <c r="N13" s="423" t="e">
        <f>(D31+D44+D57+D70+D83)/(C31+C44+C57+C70+C83)</f>
        <v>#DIV/0!</v>
      </c>
      <c r="O13" s="407"/>
      <c r="P13" s="407"/>
      <c r="Q13" s="407"/>
      <c r="R13" s="407"/>
      <c r="S13" s="407"/>
    </row>
    <row r="14" spans="2:21" s="393" customFormat="1" ht="25.5">
      <c r="B14" s="407"/>
      <c r="C14" s="424" t="s">
        <v>450</v>
      </c>
      <c r="D14" s="235" t="e">
        <f>'Customer Details'!C25</f>
        <v>#DIV/0!</v>
      </c>
      <c r="E14" s="425"/>
      <c r="F14" s="425"/>
      <c r="G14" s="425"/>
      <c r="H14" s="430" t="s">
        <v>451</v>
      </c>
      <c r="I14" s="425"/>
      <c r="J14" s="425"/>
      <c r="K14" s="425"/>
      <c r="L14" s="425"/>
      <c r="M14" s="425"/>
      <c r="N14" s="431"/>
      <c r="O14" s="407"/>
      <c r="P14" s="407"/>
      <c r="Q14" s="407"/>
      <c r="R14" s="407"/>
      <c r="S14" s="407"/>
    </row>
    <row r="15" spans="2:21" s="393" customFormat="1" ht="12.75" customHeight="1">
      <c r="B15" s="407"/>
      <c r="C15" s="925" t="s">
        <v>452</v>
      </c>
      <c r="D15" s="925"/>
      <c r="E15" s="925"/>
      <c r="F15" s="432"/>
      <c r="G15" s="425"/>
      <c r="H15" s="922" t="s">
        <v>453</v>
      </c>
      <c r="I15" s="922"/>
      <c r="J15" s="922"/>
      <c r="K15" s="850" t="e">
        <f>(O3+O4-(F15/10^5))/(CAM!C10/10^5)</f>
        <v>#DIV/0!</v>
      </c>
      <c r="L15" s="425"/>
      <c r="M15" s="422" t="s">
        <v>454</v>
      </c>
      <c r="N15" s="433">
        <f>E32+E45</f>
        <v>0</v>
      </c>
      <c r="O15" s="407"/>
      <c r="P15" s="407"/>
      <c r="Q15" s="407"/>
      <c r="R15" s="407"/>
      <c r="S15" s="407"/>
    </row>
    <row r="16" spans="2:21" s="393" customFormat="1" ht="12">
      <c r="B16" s="407"/>
      <c r="C16" s="434"/>
      <c r="D16" s="425"/>
      <c r="E16" s="425"/>
      <c r="F16" s="425"/>
      <c r="G16" s="425"/>
      <c r="H16" s="425"/>
      <c r="I16" s="425"/>
      <c r="J16" s="425"/>
      <c r="K16" s="425"/>
      <c r="L16" s="425"/>
      <c r="M16" s="425"/>
      <c r="N16" s="431"/>
      <c r="O16" s="407"/>
      <c r="P16" s="407"/>
      <c r="Q16" s="407"/>
      <c r="R16" s="407"/>
      <c r="S16" s="407"/>
    </row>
    <row r="17" spans="2:19" s="393" customFormat="1" ht="12.75" customHeight="1">
      <c r="B17" s="407"/>
      <c r="C17" s="922" t="s">
        <v>455</v>
      </c>
      <c r="D17" s="922"/>
      <c r="E17" s="922"/>
      <c r="F17" s="435" t="e">
        <f>(K44+K31-(F15/10^5))/(CAM!C10/10^5)</f>
        <v>#DIV/0!</v>
      </c>
      <c r="G17" s="425"/>
      <c r="H17" s="922" t="s">
        <v>456</v>
      </c>
      <c r="I17" s="922"/>
      <c r="J17" s="922"/>
      <c r="K17" s="436" t="e">
        <f>SUM(C25:C27,C38:C40,C51:C53,C64:C66,C77:C79)/SUM(C28:C30,C41:C43,C54:C56,C67:C69,C80:C82)-100%</f>
        <v>#DIV/0!</v>
      </c>
      <c r="L17" s="425"/>
      <c r="M17" s="422" t="s">
        <v>457</v>
      </c>
      <c r="N17" s="837">
        <f>H10</f>
        <v>0</v>
      </c>
      <c r="O17" s="407"/>
      <c r="P17" s="407"/>
      <c r="Q17" s="407"/>
      <c r="R17" s="407"/>
      <c r="S17" s="407"/>
    </row>
    <row r="18" spans="2:19" s="393" customFormat="1" ht="12">
      <c r="B18" s="407"/>
      <c r="C18" s="437"/>
      <c r="D18" s="438"/>
      <c r="E18" s="438"/>
      <c r="F18" s="438"/>
      <c r="G18" s="438"/>
      <c r="H18" s="438"/>
      <c r="I18" s="438"/>
      <c r="J18" s="438"/>
      <c r="K18" s="438"/>
      <c r="L18" s="438"/>
      <c r="M18" s="438"/>
      <c r="N18" s="439"/>
      <c r="O18" s="407"/>
      <c r="P18" s="407"/>
      <c r="Q18" s="407"/>
      <c r="R18" s="407"/>
      <c r="S18" s="407"/>
    </row>
    <row r="19" spans="2:19" s="393" customFormat="1" ht="12">
      <c r="B19" s="407"/>
      <c r="C19" s="407"/>
      <c r="D19" s="407"/>
      <c r="E19" s="407"/>
      <c r="F19" s="407"/>
      <c r="G19" s="407"/>
      <c r="H19" s="407"/>
      <c r="I19" s="407"/>
      <c r="J19" s="407"/>
      <c r="K19" s="407"/>
      <c r="L19" s="407"/>
      <c r="M19" s="407"/>
      <c r="N19" s="407"/>
      <c r="O19" s="407"/>
      <c r="P19" s="407"/>
      <c r="Q19" s="407"/>
      <c r="R19" s="407"/>
      <c r="S19" s="407"/>
    </row>
    <row r="20" spans="2:19" s="226" customFormat="1">
      <c r="B20" s="440" t="s">
        <v>458</v>
      </c>
      <c r="C20" s="441"/>
      <c r="D20" s="441"/>
      <c r="E20" s="390"/>
      <c r="F20" s="390"/>
      <c r="G20" s="390"/>
      <c r="H20" s="390"/>
      <c r="I20" s="390"/>
      <c r="J20" s="390"/>
      <c r="K20" s="390"/>
      <c r="L20" s="390"/>
      <c r="M20" s="390"/>
      <c r="N20" s="390"/>
      <c r="O20" s="390"/>
      <c r="P20" s="390"/>
      <c r="Q20" s="390"/>
      <c r="R20" s="390"/>
      <c r="S20" s="390"/>
    </row>
    <row r="21" spans="2:19" s="226" customFormat="1" ht="12">
      <c r="B21" s="390"/>
      <c r="C21" s="390"/>
      <c r="D21" s="390"/>
      <c r="E21" s="390"/>
      <c r="F21" s="390"/>
      <c r="G21" s="390"/>
      <c r="H21" s="390"/>
      <c r="I21" s="390"/>
      <c r="J21" s="390"/>
      <c r="K21" s="390"/>
      <c r="L21" s="390"/>
      <c r="M21" s="390"/>
      <c r="N21" s="390"/>
      <c r="O21" s="390"/>
      <c r="P21" s="390"/>
      <c r="Q21" s="390"/>
      <c r="R21" s="390"/>
      <c r="S21" s="390"/>
    </row>
    <row r="22" spans="2:19" s="226" customFormat="1" ht="12">
      <c r="B22" s="442" t="s">
        <v>459</v>
      </c>
      <c r="C22" s="389"/>
      <c r="D22" s="915" t="s">
        <v>460</v>
      </c>
      <c r="E22" s="915"/>
      <c r="F22" s="915"/>
      <c r="G22" s="916"/>
      <c r="H22" s="916"/>
      <c r="I22" s="916"/>
      <c r="J22" s="915" t="s">
        <v>461</v>
      </c>
      <c r="K22" s="915"/>
      <c r="L22" s="915"/>
      <c r="M22" s="443"/>
      <c r="O22" s="390"/>
      <c r="P22" s="390"/>
      <c r="Q22" s="390"/>
      <c r="R22" s="390"/>
    </row>
    <row r="23" spans="2:19" s="223" customFormat="1" ht="12">
      <c r="B23" s="444" t="s">
        <v>427</v>
      </c>
      <c r="C23" s="917"/>
      <c r="D23" s="917"/>
      <c r="E23" s="446" t="s">
        <v>428</v>
      </c>
      <c r="F23" s="917"/>
      <c r="G23" s="917"/>
      <c r="H23" s="918" t="s">
        <v>462</v>
      </c>
      <c r="I23" s="918"/>
      <c r="J23" s="447"/>
      <c r="K23" s="918" t="s">
        <v>464</v>
      </c>
      <c r="L23" s="918"/>
      <c r="M23" s="445"/>
      <c r="N23" s="226"/>
    </row>
    <row r="24" spans="2:19" s="223" customFormat="1" ht="36">
      <c r="B24" s="448" t="s">
        <v>465</v>
      </c>
      <c r="C24" s="449" t="s">
        <v>466</v>
      </c>
      <c r="D24" s="449" t="s">
        <v>467</v>
      </c>
      <c r="E24" s="449" t="s">
        <v>430</v>
      </c>
      <c r="F24" s="449" t="s">
        <v>468</v>
      </c>
      <c r="G24" s="449" t="s">
        <v>469</v>
      </c>
      <c r="H24" s="449" t="s">
        <v>470</v>
      </c>
      <c r="I24" s="449" t="s">
        <v>81</v>
      </c>
      <c r="J24" s="449" t="s">
        <v>435</v>
      </c>
      <c r="K24" s="449" t="s">
        <v>471</v>
      </c>
      <c r="L24" s="449" t="s">
        <v>472</v>
      </c>
      <c r="M24" s="450" t="s">
        <v>473</v>
      </c>
    </row>
    <row r="25" spans="2:19" s="451" customFormat="1" ht="12">
      <c r="B25" s="839">
        <v>43647</v>
      </c>
      <c r="C25" s="453"/>
      <c r="D25" s="453"/>
      <c r="E25" s="454"/>
      <c r="F25" s="403" t="str">
        <f t="shared" ref="F25:F30" si="0">IF($J$23="CC/OD Account",IF(L25="","",L25/E25),"")</f>
        <v/>
      </c>
      <c r="G25" s="843"/>
      <c r="H25" s="454"/>
      <c r="I25" s="454"/>
      <c r="J25" s="454"/>
      <c r="K25" s="453"/>
      <c r="L25" s="453"/>
      <c r="M25" s="455">
        <v>0</v>
      </c>
      <c r="O25" s="456" t="s">
        <v>463</v>
      </c>
      <c r="P25" s="457"/>
      <c r="Q25" s="457"/>
    </row>
    <row r="26" spans="2:19" s="223" customFormat="1" ht="12">
      <c r="B26" s="452">
        <f>EDATE(B25,-1)</f>
        <v>43617</v>
      </c>
      <c r="C26" s="453"/>
      <c r="D26" s="453"/>
      <c r="E26" s="840"/>
      <c r="F26" s="403" t="str">
        <f t="shared" si="0"/>
        <v/>
      </c>
      <c r="G26" s="843"/>
      <c r="H26" s="454"/>
      <c r="I26" s="454"/>
      <c r="J26" s="454"/>
      <c r="K26" s="453"/>
      <c r="L26" s="453"/>
      <c r="M26" s="455">
        <v>0</v>
      </c>
      <c r="O26" s="458" t="s">
        <v>474</v>
      </c>
      <c r="P26" s="459"/>
      <c r="Q26" s="459" t="s">
        <v>475</v>
      </c>
    </row>
    <row r="27" spans="2:19" s="223" customFormat="1" ht="12">
      <c r="B27" s="452">
        <f>EDATE(B26,-1)</f>
        <v>43586</v>
      </c>
      <c r="C27" s="453"/>
      <c r="D27" s="453"/>
      <c r="E27" s="840"/>
      <c r="F27" s="403" t="str">
        <f t="shared" si="0"/>
        <v/>
      </c>
      <c r="G27" s="843"/>
      <c r="H27" s="454"/>
      <c r="I27" s="454"/>
      <c r="J27" s="454"/>
      <c r="K27" s="453"/>
      <c r="L27" s="453"/>
      <c r="M27" s="455">
        <v>0</v>
      </c>
      <c r="O27" s="459" t="s">
        <v>476</v>
      </c>
      <c r="P27" s="459"/>
      <c r="Q27" s="459" t="s">
        <v>477</v>
      </c>
    </row>
    <row r="28" spans="2:19" s="223" customFormat="1" ht="12">
      <c r="B28" s="452">
        <f>EDATE(B27,-1)</f>
        <v>43556</v>
      </c>
      <c r="C28" s="453"/>
      <c r="D28" s="453"/>
      <c r="E28" s="840"/>
      <c r="F28" s="403" t="str">
        <f t="shared" si="0"/>
        <v/>
      </c>
      <c r="G28" s="843"/>
      <c r="H28" s="454"/>
      <c r="I28" s="454"/>
      <c r="J28" s="454"/>
      <c r="K28" s="453"/>
      <c r="L28" s="453"/>
      <c r="M28" s="455">
        <v>0</v>
      </c>
    </row>
    <row r="29" spans="2:19" s="223" customFormat="1" ht="12">
      <c r="B29" s="452">
        <f>EDATE(B28,-1)</f>
        <v>43525</v>
      </c>
      <c r="C29" s="453"/>
      <c r="D29" s="453"/>
      <c r="E29" s="840"/>
      <c r="F29" s="403" t="str">
        <f t="shared" si="0"/>
        <v/>
      </c>
      <c r="G29" s="843"/>
      <c r="H29" s="454"/>
      <c r="I29" s="454"/>
      <c r="J29" s="454"/>
      <c r="K29" s="453"/>
      <c r="L29" s="453"/>
      <c r="M29" s="455">
        <v>0</v>
      </c>
    </row>
    <row r="30" spans="2:19" s="223" customFormat="1" ht="12">
      <c r="B30" s="452">
        <f>EDATE(B29,-1)</f>
        <v>43497</v>
      </c>
      <c r="C30" s="453"/>
      <c r="D30" s="453"/>
      <c r="E30" s="840"/>
      <c r="F30" s="403" t="str">
        <f t="shared" si="0"/>
        <v/>
      </c>
      <c r="G30" s="843"/>
      <c r="H30" s="454"/>
      <c r="I30" s="454"/>
      <c r="J30" s="454"/>
      <c r="K30" s="453"/>
      <c r="L30" s="453"/>
      <c r="M30" s="455">
        <v>0</v>
      </c>
    </row>
    <row r="31" spans="2:19" s="223" customFormat="1" ht="12">
      <c r="B31" s="460" t="s">
        <v>478</v>
      </c>
      <c r="C31" s="401">
        <f>SUM(C25:C30)</f>
        <v>0</v>
      </c>
      <c r="D31" s="461">
        <f>SUM(D25:D30)</f>
        <v>0</v>
      </c>
      <c r="E31" s="400"/>
      <c r="F31" s="400"/>
      <c r="G31" s="400">
        <f>SUM(G25:G30)</f>
        <v>0</v>
      </c>
      <c r="H31" s="401">
        <f>SUM(H25:H30)</f>
        <v>0</v>
      </c>
      <c r="I31" s="401">
        <f>SUM(I25:I30)</f>
        <v>0</v>
      </c>
      <c r="J31" s="401">
        <f>SUM(J25:J30)</f>
        <v>0</v>
      </c>
      <c r="K31" s="404">
        <f>IF(SUM(K25:K30)=0,0,AVERAGE(K25:K30))</f>
        <v>0</v>
      </c>
      <c r="L31" s="400">
        <f>IF(SUM(L25:L30)=0,0,AVERAGE(L25:L30))</f>
        <v>0</v>
      </c>
      <c r="M31" s="462">
        <f>IF(SUM(M25:M30)=0,0,AVERAGE(M25:M30))</f>
        <v>0</v>
      </c>
      <c r="N31" s="226"/>
      <c r="O31" s="226"/>
    </row>
    <row r="32" spans="2:19" s="223" customFormat="1" ht="12">
      <c r="B32" s="463"/>
      <c r="C32" s="464" t="s">
        <v>479</v>
      </c>
      <c r="D32" s="465"/>
      <c r="E32" s="466">
        <f>C31*2</f>
        <v>0</v>
      </c>
      <c r="F32" s="465"/>
      <c r="G32" s="465"/>
      <c r="H32" s="465"/>
      <c r="I32" s="465"/>
      <c r="J32" s="465"/>
      <c r="K32" s="914" t="s">
        <v>480</v>
      </c>
      <c r="L32" s="914"/>
      <c r="M32" s="914"/>
      <c r="N32" s="226"/>
      <c r="O32" s="226"/>
    </row>
    <row r="33" spans="2:15" s="220" customFormat="1" ht="12">
      <c r="B33" s="425"/>
      <c r="C33" s="468"/>
      <c r="D33" s="425"/>
      <c r="E33" s="425"/>
      <c r="F33" s="425"/>
      <c r="G33" s="425"/>
      <c r="H33" s="425"/>
      <c r="I33" s="425"/>
      <c r="J33" s="425"/>
      <c r="K33" s="425"/>
      <c r="L33" s="425"/>
      <c r="M33" s="425"/>
      <c r="N33" s="393"/>
      <c r="O33" s="393"/>
    </row>
    <row r="34" spans="2:15" s="220" customFormat="1" ht="12">
      <c r="B34" s="407"/>
      <c r="C34" s="407"/>
      <c r="D34" s="407"/>
      <c r="E34" s="407"/>
      <c r="F34" s="407"/>
      <c r="G34" s="407"/>
      <c r="H34" s="407"/>
      <c r="I34" s="407"/>
      <c r="J34" s="407"/>
      <c r="K34" s="407"/>
      <c r="L34" s="407"/>
      <c r="M34" s="407"/>
      <c r="N34" s="393"/>
      <c r="O34" s="393"/>
    </row>
    <row r="35" spans="2:15" s="223" customFormat="1" ht="12">
      <c r="B35" s="444" t="s">
        <v>481</v>
      </c>
      <c r="C35" s="445"/>
      <c r="D35" s="918" t="s">
        <v>460</v>
      </c>
      <c r="E35" s="918"/>
      <c r="F35" s="918"/>
      <c r="G35" s="919"/>
      <c r="H35" s="919"/>
      <c r="I35" s="919"/>
      <c r="J35" s="918" t="s">
        <v>461</v>
      </c>
      <c r="K35" s="918"/>
      <c r="L35" s="918"/>
      <c r="M35" s="469" t="s">
        <v>475</v>
      </c>
      <c r="N35" s="226"/>
    </row>
    <row r="36" spans="2:15" s="223" customFormat="1" ht="12">
      <c r="B36" s="470" t="s">
        <v>427</v>
      </c>
      <c r="C36" s="920"/>
      <c r="D36" s="920"/>
      <c r="E36" s="471" t="s">
        <v>428</v>
      </c>
      <c r="F36" s="920"/>
      <c r="G36" s="920"/>
      <c r="H36" s="921" t="s">
        <v>462</v>
      </c>
      <c r="I36" s="921"/>
      <c r="J36" s="472"/>
      <c r="K36" s="921" t="s">
        <v>464</v>
      </c>
      <c r="L36" s="921"/>
      <c r="M36" s="454"/>
      <c r="N36" s="226"/>
    </row>
    <row r="37" spans="2:15" s="220" customFormat="1" ht="36">
      <c r="B37" s="448" t="s">
        <v>465</v>
      </c>
      <c r="C37" s="449" t="s">
        <v>466</v>
      </c>
      <c r="D37" s="449" t="s">
        <v>467</v>
      </c>
      <c r="E37" s="449" t="s">
        <v>430</v>
      </c>
      <c r="F37" s="449" t="s">
        <v>468</v>
      </c>
      <c r="G37" s="449" t="s">
        <v>469</v>
      </c>
      <c r="H37" s="449" t="s">
        <v>470</v>
      </c>
      <c r="I37" s="449" t="s">
        <v>81</v>
      </c>
      <c r="J37" s="449" t="s">
        <v>435</v>
      </c>
      <c r="K37" s="449" t="s">
        <v>471</v>
      </c>
      <c r="L37" s="449" t="s">
        <v>472</v>
      </c>
      <c r="M37" s="450" t="s">
        <v>473</v>
      </c>
    </row>
    <row r="38" spans="2:15" s="223" customFormat="1" ht="12">
      <c r="B38" s="452">
        <f>B25</f>
        <v>43647</v>
      </c>
      <c r="C38" s="453"/>
      <c r="D38" s="453"/>
      <c r="E38" s="832"/>
      <c r="F38" s="403" t="str">
        <f t="shared" ref="F38:F43" si="1">IF($J$36="CC/OD Account",IF(L38="","",L38/E38),"")</f>
        <v/>
      </c>
      <c r="G38" s="832"/>
      <c r="H38" s="832"/>
      <c r="I38" s="832"/>
      <c r="J38" s="832"/>
      <c r="K38" s="453"/>
      <c r="L38" s="453"/>
      <c r="M38" s="455">
        <v>0</v>
      </c>
    </row>
    <row r="39" spans="2:15" s="223" customFormat="1" ht="12">
      <c r="B39" s="452">
        <f>EDATE(B38,-1)</f>
        <v>43617</v>
      </c>
      <c r="C39" s="453"/>
      <c r="D39" s="453"/>
      <c r="E39" s="832"/>
      <c r="F39" s="403" t="str">
        <f t="shared" si="1"/>
        <v/>
      </c>
      <c r="G39" s="832"/>
      <c r="H39" s="832"/>
      <c r="I39" s="832"/>
      <c r="J39" s="832"/>
      <c r="K39" s="453"/>
      <c r="L39" s="453"/>
      <c r="M39" s="455">
        <v>0</v>
      </c>
    </row>
    <row r="40" spans="2:15" s="223" customFormat="1" ht="12">
      <c r="B40" s="452">
        <f>EDATE(B39,-1)</f>
        <v>43586</v>
      </c>
      <c r="C40" s="453"/>
      <c r="D40" s="453"/>
      <c r="E40" s="832"/>
      <c r="F40" s="403" t="str">
        <f t="shared" si="1"/>
        <v/>
      </c>
      <c r="G40" s="832"/>
      <c r="H40" s="832"/>
      <c r="I40" s="832"/>
      <c r="J40" s="832"/>
      <c r="K40" s="453"/>
      <c r="L40" s="453"/>
      <c r="M40" s="455">
        <v>0</v>
      </c>
    </row>
    <row r="41" spans="2:15" s="223" customFormat="1" ht="12">
      <c r="B41" s="452">
        <f>EDATE(B40,-1)</f>
        <v>43556</v>
      </c>
      <c r="C41" s="453"/>
      <c r="D41" s="453"/>
      <c r="E41" s="832"/>
      <c r="F41" s="403" t="str">
        <f t="shared" si="1"/>
        <v/>
      </c>
      <c r="G41" s="832"/>
      <c r="H41" s="832"/>
      <c r="I41" s="832"/>
      <c r="J41" s="832"/>
      <c r="K41" s="453"/>
      <c r="L41" s="453"/>
      <c r="M41" s="455">
        <v>0</v>
      </c>
    </row>
    <row r="42" spans="2:15" s="223" customFormat="1" ht="12">
      <c r="B42" s="452">
        <f>EDATE(B41,-1)</f>
        <v>43525</v>
      </c>
      <c r="C42" s="453"/>
      <c r="D42" s="453"/>
      <c r="E42" s="832"/>
      <c r="F42" s="403" t="str">
        <f t="shared" si="1"/>
        <v/>
      </c>
      <c r="G42" s="832"/>
      <c r="H42" s="832"/>
      <c r="I42" s="832"/>
      <c r="J42" s="832"/>
      <c r="K42" s="453"/>
      <c r="L42" s="453"/>
      <c r="M42" s="455">
        <v>0</v>
      </c>
    </row>
    <row r="43" spans="2:15" s="223" customFormat="1" ht="12">
      <c r="B43" s="452">
        <f>EDATE(B42,-1)</f>
        <v>43497</v>
      </c>
      <c r="C43" s="453"/>
      <c r="D43" s="453"/>
      <c r="E43" s="832"/>
      <c r="F43" s="403" t="str">
        <f t="shared" si="1"/>
        <v/>
      </c>
      <c r="G43" s="832"/>
      <c r="H43" s="832"/>
      <c r="I43" s="832"/>
      <c r="J43" s="832"/>
      <c r="K43" s="453"/>
      <c r="L43" s="453"/>
      <c r="M43" s="455">
        <v>0</v>
      </c>
    </row>
    <row r="44" spans="2:15" s="220" customFormat="1" ht="12">
      <c r="B44" s="473" t="s">
        <v>478</v>
      </c>
      <c r="C44" s="401">
        <f>SUM(C38:C43)</f>
        <v>0</v>
      </c>
      <c r="D44" s="461">
        <f>SUM(D38:D43)</f>
        <v>0</v>
      </c>
      <c r="E44" s="400"/>
      <c r="F44" s="400"/>
      <c r="G44" s="400">
        <f>SUM(G38:G43)</f>
        <v>0</v>
      </c>
      <c r="H44" s="401">
        <f>SUM(H38:H43)</f>
        <v>0</v>
      </c>
      <c r="I44" s="401">
        <f>SUM(I38:I43)</f>
        <v>0</v>
      </c>
      <c r="J44" s="401">
        <f>SUM(J38:J43)</f>
        <v>0</v>
      </c>
      <c r="K44" s="404">
        <f>IF(SUM(K38:K43)=0,0,AVERAGE(K38:K43))</f>
        <v>0</v>
      </c>
      <c r="L44" s="400">
        <f>IF(SUM(L38:L43)=0,0,AVERAGE(L38:L43))</f>
        <v>0</v>
      </c>
      <c r="M44" s="462">
        <f>IF(SUM(M38:M43)=0,0,AVERAGE(M38:M43))</f>
        <v>0</v>
      </c>
      <c r="N44" s="393"/>
      <c r="O44" s="393"/>
    </row>
    <row r="45" spans="2:15" s="220" customFormat="1" ht="12">
      <c r="B45" s="463"/>
      <c r="C45" s="464" t="s">
        <v>479</v>
      </c>
      <c r="D45" s="467"/>
      <c r="E45" s="474">
        <f>C44*2</f>
        <v>0</v>
      </c>
      <c r="F45" s="467"/>
      <c r="G45" s="467"/>
      <c r="H45" s="467"/>
      <c r="I45" s="467"/>
      <c r="J45" s="467"/>
      <c r="K45" s="914" t="s">
        <v>480</v>
      </c>
      <c r="L45" s="914"/>
      <c r="M45" s="914"/>
      <c r="N45" s="393"/>
      <c r="O45" s="393"/>
    </row>
    <row r="46" spans="2:15" s="220" customFormat="1" ht="12">
      <c r="B46" s="407"/>
      <c r="C46" s="407"/>
      <c r="D46" s="407"/>
      <c r="E46" s="407"/>
      <c r="F46" s="407"/>
      <c r="G46" s="407"/>
      <c r="H46" s="407"/>
      <c r="I46" s="407"/>
      <c r="J46" s="407"/>
      <c r="K46" s="407"/>
      <c r="L46" s="407"/>
      <c r="M46" s="407"/>
      <c r="N46" s="393"/>
      <c r="O46" s="393"/>
    </row>
    <row r="47" spans="2:15" s="220" customFormat="1" ht="12">
      <c r="B47" s="407"/>
      <c r="C47" s="407"/>
      <c r="D47" s="407"/>
      <c r="E47" s="407"/>
      <c r="F47" s="407"/>
      <c r="G47" s="407"/>
      <c r="H47" s="407"/>
      <c r="I47" s="407"/>
      <c r="J47" s="407"/>
      <c r="K47" s="407"/>
      <c r="L47" s="407"/>
      <c r="M47" s="407"/>
      <c r="N47" s="393"/>
      <c r="O47" s="393"/>
    </row>
    <row r="48" spans="2:15" s="223" customFormat="1" ht="12">
      <c r="B48" s="442" t="s">
        <v>482</v>
      </c>
      <c r="C48" s="389"/>
      <c r="D48" s="915" t="s">
        <v>460</v>
      </c>
      <c r="E48" s="915"/>
      <c r="F48" s="915"/>
      <c r="G48" s="916"/>
      <c r="H48" s="916"/>
      <c r="I48" s="916"/>
      <c r="J48" s="915" t="s">
        <v>461</v>
      </c>
      <c r="K48" s="915"/>
      <c r="L48" s="915"/>
      <c r="M48" s="443"/>
      <c r="N48" s="226"/>
    </row>
    <row r="49" spans="2:15" s="223" customFormat="1" ht="12">
      <c r="B49" s="444" t="s">
        <v>427</v>
      </c>
      <c r="C49" s="917"/>
      <c r="D49" s="917"/>
      <c r="E49" s="446" t="s">
        <v>428</v>
      </c>
      <c r="F49" s="917"/>
      <c r="G49" s="917"/>
      <c r="H49" s="918" t="s">
        <v>462</v>
      </c>
      <c r="I49" s="918"/>
      <c r="J49" s="469"/>
      <c r="K49" s="918" t="s">
        <v>464</v>
      </c>
      <c r="L49" s="918"/>
      <c r="M49" s="445"/>
      <c r="N49" s="226"/>
    </row>
    <row r="50" spans="2:15" s="220" customFormat="1" ht="36">
      <c r="B50" s="448" t="s">
        <v>465</v>
      </c>
      <c r="C50" s="449" t="s">
        <v>466</v>
      </c>
      <c r="D50" s="449" t="s">
        <v>467</v>
      </c>
      <c r="E50" s="449" t="s">
        <v>430</v>
      </c>
      <c r="F50" s="449" t="s">
        <v>468</v>
      </c>
      <c r="G50" s="449" t="s">
        <v>469</v>
      </c>
      <c r="H50" s="449" t="s">
        <v>470</v>
      </c>
      <c r="I50" s="449" t="s">
        <v>81</v>
      </c>
      <c r="J50" s="449" t="s">
        <v>435</v>
      </c>
      <c r="K50" s="449" t="s">
        <v>471</v>
      </c>
      <c r="L50" s="449" t="s">
        <v>472</v>
      </c>
      <c r="M50" s="450" t="s">
        <v>473</v>
      </c>
    </row>
    <row r="51" spans="2:15" s="223" customFormat="1" ht="12">
      <c r="B51" s="452">
        <f>B38</f>
        <v>43647</v>
      </c>
      <c r="C51" s="453"/>
      <c r="D51" s="475"/>
      <c r="E51" s="454"/>
      <c r="F51" s="403" t="str">
        <f t="shared" ref="F51:F56" si="2">IF($J$49="CC/OD Account",IF(L51="","",L51/E51),"")</f>
        <v/>
      </c>
      <c r="G51" s="454"/>
      <c r="H51" s="454"/>
      <c r="I51" s="454"/>
      <c r="J51" s="454"/>
      <c r="K51" s="453"/>
      <c r="L51" s="476"/>
      <c r="M51" s="455"/>
    </row>
    <row r="52" spans="2:15" s="223" customFormat="1" ht="12">
      <c r="B52" s="452">
        <f>EDATE(B51,-1)</f>
        <v>43617</v>
      </c>
      <c r="C52" s="453"/>
      <c r="D52" s="475"/>
      <c r="E52" s="454"/>
      <c r="F52" s="403" t="str">
        <f t="shared" si="2"/>
        <v/>
      </c>
      <c r="G52" s="454"/>
      <c r="H52" s="454"/>
      <c r="I52" s="454"/>
      <c r="J52" s="454"/>
      <c r="K52" s="453"/>
      <c r="L52" s="476"/>
      <c r="M52" s="455"/>
    </row>
    <row r="53" spans="2:15" s="223" customFormat="1" ht="12">
      <c r="B53" s="452">
        <f>EDATE(B52,-1)</f>
        <v>43586</v>
      </c>
      <c r="C53" s="476"/>
      <c r="D53" s="475"/>
      <c r="E53" s="454"/>
      <c r="F53" s="403" t="str">
        <f t="shared" si="2"/>
        <v/>
      </c>
      <c r="G53" s="454"/>
      <c r="H53" s="454"/>
      <c r="I53" s="454"/>
      <c r="J53" s="454"/>
      <c r="K53" s="453"/>
      <c r="L53" s="476"/>
      <c r="M53" s="455"/>
    </row>
    <row r="54" spans="2:15" s="223" customFormat="1" ht="12">
      <c r="B54" s="452">
        <f>EDATE(B53,-1)</f>
        <v>43556</v>
      </c>
      <c r="C54" s="453"/>
      <c r="D54" s="475"/>
      <c r="E54" s="454"/>
      <c r="F54" s="403" t="str">
        <f t="shared" si="2"/>
        <v/>
      </c>
      <c r="G54" s="454"/>
      <c r="H54" s="454"/>
      <c r="I54" s="454"/>
      <c r="J54" s="454"/>
      <c r="K54" s="453"/>
      <c r="L54" s="476"/>
      <c r="M54" s="455"/>
    </row>
    <row r="55" spans="2:15" s="223" customFormat="1" ht="12">
      <c r="B55" s="452">
        <f>EDATE(B54,-1)</f>
        <v>43525</v>
      </c>
      <c r="C55" s="453"/>
      <c r="D55" s="475"/>
      <c r="E55" s="454"/>
      <c r="F55" s="403" t="str">
        <f t="shared" si="2"/>
        <v/>
      </c>
      <c r="G55" s="454"/>
      <c r="H55" s="454"/>
      <c r="I55" s="454"/>
      <c r="J55" s="454"/>
      <c r="K55" s="453"/>
      <c r="L55" s="476"/>
      <c r="M55" s="455"/>
    </row>
    <row r="56" spans="2:15" s="223" customFormat="1" ht="12">
      <c r="B56" s="452">
        <f>EDATE(B55,-1)</f>
        <v>43497</v>
      </c>
      <c r="C56" s="453"/>
      <c r="D56" s="475"/>
      <c r="E56" s="454"/>
      <c r="F56" s="403" t="str">
        <f t="shared" si="2"/>
        <v/>
      </c>
      <c r="G56" s="454"/>
      <c r="H56" s="454"/>
      <c r="I56" s="454"/>
      <c r="J56" s="454"/>
      <c r="K56" s="453"/>
      <c r="L56" s="476"/>
      <c r="M56" s="455"/>
    </row>
    <row r="57" spans="2:15" s="220" customFormat="1" ht="12">
      <c r="B57" s="473" t="s">
        <v>478</v>
      </c>
      <c r="C57" s="401">
        <f>SUM(C51:C56)</f>
        <v>0</v>
      </c>
      <c r="D57" s="461">
        <f>SUM(D51:D56)</f>
        <v>0</v>
      </c>
      <c r="E57" s="400"/>
      <c r="F57" s="400"/>
      <c r="G57" s="400">
        <f>SUM(G51:G56)</f>
        <v>0</v>
      </c>
      <c r="H57" s="401">
        <f>SUM(H51:H56)</f>
        <v>0</v>
      </c>
      <c r="I57" s="401">
        <f>SUM(I51:I56)</f>
        <v>0</v>
      </c>
      <c r="J57" s="401">
        <f>SUM(J51:J56)</f>
        <v>0</v>
      </c>
      <c r="K57" s="404">
        <f>IF(SUM(K51:K56)=0,0,AVERAGE(K51:K56))</f>
        <v>0</v>
      </c>
      <c r="L57" s="400">
        <f>IF(SUM(L51:L56)=0,0,AVERAGE(L51:L56))</f>
        <v>0</v>
      </c>
      <c r="M57" s="462">
        <f>IF(SUM(M51:M56)=0,0,AVERAGE(M51:M56))</f>
        <v>0</v>
      </c>
    </row>
    <row r="58" spans="2:15" s="220" customFormat="1" ht="12">
      <c r="B58" s="463"/>
      <c r="C58" s="464" t="s">
        <v>479</v>
      </c>
      <c r="D58" s="467"/>
      <c r="E58" s="474">
        <f>C57*2</f>
        <v>0</v>
      </c>
      <c r="F58" s="467"/>
      <c r="G58" s="467"/>
      <c r="H58" s="467"/>
      <c r="I58" s="467"/>
      <c r="J58" s="467"/>
      <c r="K58" s="914" t="s">
        <v>480</v>
      </c>
      <c r="L58" s="914"/>
      <c r="M58" s="914"/>
      <c r="N58" s="393"/>
      <c r="O58" s="393"/>
    </row>
    <row r="59" spans="2:15" s="220" customFormat="1" ht="12">
      <c r="B59" s="407"/>
      <c r="C59" s="407"/>
      <c r="D59" s="407"/>
      <c r="E59" s="407"/>
      <c r="F59" s="407"/>
      <c r="G59" s="407"/>
      <c r="H59" s="407"/>
      <c r="I59" s="407"/>
      <c r="J59" s="407"/>
      <c r="K59" s="407"/>
      <c r="L59" s="407"/>
      <c r="M59" s="407"/>
      <c r="N59" s="393"/>
      <c r="O59" s="393"/>
    </row>
    <row r="60" spans="2:15" s="220" customFormat="1" ht="12">
      <c r="B60" s="407"/>
      <c r="C60" s="407"/>
      <c r="D60" s="407"/>
      <c r="E60" s="407"/>
      <c r="F60" s="407"/>
      <c r="G60" s="407"/>
      <c r="H60" s="407"/>
      <c r="I60" s="407"/>
      <c r="J60" s="407"/>
      <c r="K60" s="407"/>
      <c r="L60" s="407"/>
      <c r="M60" s="407"/>
      <c r="N60" s="393"/>
      <c r="O60" s="393"/>
    </row>
    <row r="61" spans="2:15" s="223" customFormat="1" ht="12">
      <c r="B61" s="442" t="s">
        <v>483</v>
      </c>
      <c r="C61" s="389"/>
      <c r="D61" s="915" t="s">
        <v>460</v>
      </c>
      <c r="E61" s="915"/>
      <c r="F61" s="915"/>
      <c r="G61" s="916"/>
      <c r="H61" s="916"/>
      <c r="I61" s="916"/>
      <c r="J61" s="915" t="s">
        <v>461</v>
      </c>
      <c r="K61" s="915"/>
      <c r="L61" s="915"/>
      <c r="M61" s="443" t="s">
        <v>475</v>
      </c>
      <c r="N61" s="226"/>
    </row>
    <row r="62" spans="2:15" s="223" customFormat="1" ht="12">
      <c r="B62" s="444" t="s">
        <v>427</v>
      </c>
      <c r="C62" s="917"/>
      <c r="D62" s="917"/>
      <c r="E62" s="446" t="s">
        <v>428</v>
      </c>
      <c r="F62" s="917"/>
      <c r="G62" s="917"/>
      <c r="H62" s="918" t="s">
        <v>462</v>
      </c>
      <c r="I62" s="918"/>
      <c r="J62" s="469"/>
      <c r="K62" s="918" t="s">
        <v>464</v>
      </c>
      <c r="L62" s="918"/>
      <c r="M62" s="445"/>
      <c r="N62" s="226"/>
    </row>
    <row r="63" spans="2:15" s="220" customFormat="1" ht="36">
      <c r="B63" s="448" t="s">
        <v>465</v>
      </c>
      <c r="C63" s="449" t="s">
        <v>466</v>
      </c>
      <c r="D63" s="449" t="s">
        <v>467</v>
      </c>
      <c r="E63" s="449" t="s">
        <v>430</v>
      </c>
      <c r="F63" s="449" t="s">
        <v>468</v>
      </c>
      <c r="G63" s="449" t="s">
        <v>469</v>
      </c>
      <c r="H63" s="449" t="s">
        <v>470</v>
      </c>
      <c r="I63" s="449" t="s">
        <v>81</v>
      </c>
      <c r="J63" s="449" t="s">
        <v>435</v>
      </c>
      <c r="K63" s="449" t="s">
        <v>471</v>
      </c>
      <c r="L63" s="449" t="s">
        <v>472</v>
      </c>
      <c r="M63" s="450" t="s">
        <v>473</v>
      </c>
    </row>
    <row r="64" spans="2:15" s="223" customFormat="1" ht="12">
      <c r="B64" s="452">
        <f>B51</f>
        <v>43647</v>
      </c>
      <c r="C64" s="454"/>
      <c r="D64" s="475"/>
      <c r="E64" s="454"/>
      <c r="F64" s="403" t="str">
        <f t="shared" ref="F64:F69" si="3">IF($J$62="CC/OD Account",IF(L64="","",L64/E64),"")</f>
        <v/>
      </c>
      <c r="G64" s="454"/>
      <c r="H64" s="454"/>
      <c r="I64" s="454"/>
      <c r="J64" s="454"/>
      <c r="K64" s="453"/>
      <c r="L64" s="476"/>
      <c r="M64" s="455"/>
    </row>
    <row r="65" spans="2:15" s="223" customFormat="1" ht="12">
      <c r="B65" s="452">
        <f>EDATE(B64,-1)</f>
        <v>43617</v>
      </c>
      <c r="C65" s="454"/>
      <c r="D65" s="475"/>
      <c r="E65" s="454"/>
      <c r="F65" s="403" t="str">
        <f t="shared" si="3"/>
        <v/>
      </c>
      <c r="G65" s="454"/>
      <c r="H65" s="454"/>
      <c r="I65" s="454"/>
      <c r="J65" s="454"/>
      <c r="K65" s="453"/>
      <c r="L65" s="476"/>
      <c r="M65" s="455"/>
    </row>
    <row r="66" spans="2:15" s="223" customFormat="1" ht="12">
      <c r="B66" s="452">
        <f>EDATE(B65,-1)</f>
        <v>43586</v>
      </c>
      <c r="C66" s="454"/>
      <c r="D66" s="475"/>
      <c r="E66" s="454"/>
      <c r="F66" s="403" t="str">
        <f t="shared" si="3"/>
        <v/>
      </c>
      <c r="G66" s="454"/>
      <c r="H66" s="454"/>
      <c r="I66" s="454"/>
      <c r="J66" s="454"/>
      <c r="K66" s="453"/>
      <c r="L66" s="476"/>
      <c r="M66" s="455"/>
    </row>
    <row r="67" spans="2:15" s="223" customFormat="1" ht="12">
      <c r="B67" s="452">
        <f>EDATE(B66,-1)</f>
        <v>43556</v>
      </c>
      <c r="C67" s="454"/>
      <c r="D67" s="475"/>
      <c r="E67" s="454"/>
      <c r="F67" s="403" t="str">
        <f t="shared" si="3"/>
        <v/>
      </c>
      <c r="G67" s="454"/>
      <c r="H67" s="454"/>
      <c r="I67" s="454"/>
      <c r="J67" s="454"/>
      <c r="K67" s="453"/>
      <c r="L67" s="476"/>
      <c r="M67" s="455"/>
    </row>
    <row r="68" spans="2:15" s="223" customFormat="1" ht="12">
      <c r="B68" s="452">
        <f>EDATE(B67,-1)</f>
        <v>43525</v>
      </c>
      <c r="C68" s="454"/>
      <c r="D68" s="475"/>
      <c r="E68" s="454"/>
      <c r="F68" s="403" t="str">
        <f t="shared" si="3"/>
        <v/>
      </c>
      <c r="G68" s="454"/>
      <c r="H68" s="454"/>
      <c r="I68" s="454"/>
      <c r="J68" s="454"/>
      <c r="K68" s="453"/>
      <c r="L68" s="476"/>
      <c r="M68" s="455"/>
    </row>
    <row r="69" spans="2:15" s="223" customFormat="1" ht="12">
      <c r="B69" s="452">
        <f>EDATE(B68,-1)</f>
        <v>43497</v>
      </c>
      <c r="C69" s="454"/>
      <c r="D69" s="475"/>
      <c r="E69" s="454"/>
      <c r="F69" s="403" t="str">
        <f t="shared" si="3"/>
        <v/>
      </c>
      <c r="G69" s="454"/>
      <c r="H69" s="454"/>
      <c r="I69" s="454"/>
      <c r="J69" s="454"/>
      <c r="K69" s="453"/>
      <c r="L69" s="476"/>
      <c r="M69" s="455"/>
    </row>
    <row r="70" spans="2:15" s="220" customFormat="1" ht="12">
      <c r="B70" s="473" t="s">
        <v>478</v>
      </c>
      <c r="C70" s="401">
        <f>SUM(C64:C69)</f>
        <v>0</v>
      </c>
      <c r="D70" s="461">
        <f>SUM(D64:D69)</f>
        <v>0</v>
      </c>
      <c r="E70" s="400"/>
      <c r="F70" s="400"/>
      <c r="G70" s="400">
        <f>SUM(G64:G69)</f>
        <v>0</v>
      </c>
      <c r="H70" s="401">
        <f>SUM(H64:H69)</f>
        <v>0</v>
      </c>
      <c r="I70" s="401">
        <f>SUM(I64:I69)</f>
        <v>0</v>
      </c>
      <c r="J70" s="401">
        <f>SUM(J64:J69)</f>
        <v>0</v>
      </c>
      <c r="K70" s="404">
        <f>IF(SUM(K64:K69)=0,0,AVERAGE(K64:K69))</f>
        <v>0</v>
      </c>
      <c r="L70" s="400">
        <f>IF(SUM(L64:L69)=0,0,AVERAGE(L64:L69))</f>
        <v>0</v>
      </c>
      <c r="M70" s="462">
        <f>IF(SUM(M64:M69)=0,0,AVERAGE(M64:M69))</f>
        <v>0</v>
      </c>
      <c r="N70" s="393"/>
      <c r="O70" s="393"/>
    </row>
    <row r="71" spans="2:15" s="220" customFormat="1" ht="12">
      <c r="B71" s="463"/>
      <c r="C71" s="464" t="s">
        <v>479</v>
      </c>
      <c r="D71" s="467"/>
      <c r="E71" s="474">
        <f>C70*2</f>
        <v>0</v>
      </c>
      <c r="F71" s="467"/>
      <c r="G71" s="467"/>
      <c r="H71" s="467"/>
      <c r="I71" s="467"/>
      <c r="J71" s="467"/>
      <c r="K71" s="914" t="s">
        <v>480</v>
      </c>
      <c r="L71" s="914"/>
      <c r="M71" s="914"/>
      <c r="N71" s="393"/>
      <c r="O71" s="393"/>
    </row>
    <row r="72" spans="2:15" s="220" customFormat="1" ht="12">
      <c r="B72" s="407"/>
      <c r="C72" s="407"/>
      <c r="D72" s="407"/>
      <c r="E72" s="407"/>
      <c r="F72" s="407"/>
      <c r="G72" s="407"/>
      <c r="H72" s="407"/>
      <c r="I72" s="407"/>
      <c r="J72" s="407"/>
      <c r="K72" s="407"/>
      <c r="L72" s="407"/>
      <c r="M72" s="407"/>
      <c r="N72" s="393"/>
      <c r="O72" s="393"/>
    </row>
    <row r="73" spans="2:15" s="220" customFormat="1" ht="12">
      <c r="B73" s="407"/>
      <c r="C73" s="407"/>
      <c r="D73" s="407"/>
      <c r="E73" s="407"/>
      <c r="F73" s="407"/>
      <c r="G73" s="407"/>
      <c r="H73" s="407"/>
      <c r="I73" s="407"/>
      <c r="J73" s="407"/>
      <c r="K73" s="407"/>
      <c r="L73" s="407"/>
      <c r="M73" s="407"/>
      <c r="N73" s="393"/>
      <c r="O73" s="393"/>
    </row>
    <row r="74" spans="2:15" s="223" customFormat="1" ht="12">
      <c r="B74" s="442" t="s">
        <v>484</v>
      </c>
      <c r="C74" s="389"/>
      <c r="D74" s="915" t="s">
        <v>460</v>
      </c>
      <c r="E74" s="915"/>
      <c r="F74" s="915"/>
      <c r="G74" s="916"/>
      <c r="H74" s="916"/>
      <c r="I74" s="916"/>
      <c r="J74" s="915" t="s">
        <v>461</v>
      </c>
      <c r="K74" s="915"/>
      <c r="L74" s="915"/>
      <c r="M74" s="443" t="s">
        <v>475</v>
      </c>
      <c r="N74" s="226"/>
    </row>
    <row r="75" spans="2:15" s="223" customFormat="1" ht="12">
      <c r="B75" s="444" t="s">
        <v>427</v>
      </c>
      <c r="C75" s="917"/>
      <c r="D75" s="917"/>
      <c r="E75" s="446" t="s">
        <v>428</v>
      </c>
      <c r="F75" s="917"/>
      <c r="G75" s="917"/>
      <c r="H75" s="918" t="s">
        <v>462</v>
      </c>
      <c r="I75" s="918"/>
      <c r="J75" s="469"/>
      <c r="K75" s="918" t="s">
        <v>464</v>
      </c>
      <c r="L75" s="918"/>
      <c r="M75" s="445"/>
      <c r="N75" s="226"/>
    </row>
    <row r="76" spans="2:15" s="220" customFormat="1" ht="36">
      <c r="B76" s="448" t="s">
        <v>465</v>
      </c>
      <c r="C76" s="449" t="s">
        <v>466</v>
      </c>
      <c r="D76" s="449" t="s">
        <v>467</v>
      </c>
      <c r="E76" s="449" t="s">
        <v>430</v>
      </c>
      <c r="F76" s="449" t="s">
        <v>468</v>
      </c>
      <c r="G76" s="449" t="s">
        <v>469</v>
      </c>
      <c r="H76" s="449" t="s">
        <v>470</v>
      </c>
      <c r="I76" s="449" t="s">
        <v>81</v>
      </c>
      <c r="J76" s="449" t="s">
        <v>435</v>
      </c>
      <c r="K76" s="449" t="s">
        <v>471</v>
      </c>
      <c r="L76" s="449" t="s">
        <v>472</v>
      </c>
      <c r="M76" s="450" t="s">
        <v>473</v>
      </c>
    </row>
    <row r="77" spans="2:15" s="223" customFormat="1" ht="12">
      <c r="B77" s="452">
        <f>B64</f>
        <v>43647</v>
      </c>
      <c r="C77" s="454"/>
      <c r="D77" s="475"/>
      <c r="E77" s="454"/>
      <c r="F77" s="403" t="str">
        <f t="shared" ref="F77:F82" si="4">IF($J$75="CC/OD Account",IF(L77="","",L77/E77),"")</f>
        <v/>
      </c>
      <c r="G77" s="454"/>
      <c r="H77" s="454"/>
      <c r="I77" s="454"/>
      <c r="J77" s="454"/>
      <c r="K77" s="453"/>
      <c r="L77" s="476"/>
      <c r="M77" s="455"/>
    </row>
    <row r="78" spans="2:15" s="223" customFormat="1" ht="12">
      <c r="B78" s="452">
        <f>EDATE(B77,-1)</f>
        <v>43617</v>
      </c>
      <c r="C78" s="454"/>
      <c r="D78" s="475"/>
      <c r="E78" s="454"/>
      <c r="F78" s="403" t="str">
        <f t="shared" si="4"/>
        <v/>
      </c>
      <c r="G78" s="454"/>
      <c r="H78" s="454"/>
      <c r="I78" s="454"/>
      <c r="J78" s="454"/>
      <c r="K78" s="453"/>
      <c r="L78" s="476"/>
      <c r="M78" s="455"/>
    </row>
    <row r="79" spans="2:15" s="223" customFormat="1" ht="12">
      <c r="B79" s="452">
        <f>EDATE(B78,-1)</f>
        <v>43586</v>
      </c>
      <c r="C79" s="454"/>
      <c r="D79" s="475"/>
      <c r="E79" s="454"/>
      <c r="F79" s="403" t="str">
        <f t="shared" si="4"/>
        <v/>
      </c>
      <c r="G79" s="454"/>
      <c r="H79" s="454"/>
      <c r="I79" s="454"/>
      <c r="J79" s="454"/>
      <c r="K79" s="453"/>
      <c r="L79" s="476"/>
      <c r="M79" s="455"/>
    </row>
    <row r="80" spans="2:15" s="223" customFormat="1" ht="12">
      <c r="B80" s="452">
        <f>EDATE(B79,-1)</f>
        <v>43556</v>
      </c>
      <c r="C80" s="454"/>
      <c r="D80" s="475"/>
      <c r="E80" s="454"/>
      <c r="F80" s="403" t="str">
        <f t="shared" si="4"/>
        <v/>
      </c>
      <c r="G80" s="454"/>
      <c r="H80" s="454"/>
      <c r="I80" s="454"/>
      <c r="J80" s="454"/>
      <c r="K80" s="453"/>
      <c r="L80" s="476"/>
      <c r="M80" s="455"/>
    </row>
    <row r="81" spans="2:15" s="223" customFormat="1" ht="12">
      <c r="B81" s="452">
        <f>EDATE(B80,-1)</f>
        <v>43525</v>
      </c>
      <c r="C81" s="454"/>
      <c r="D81" s="475"/>
      <c r="E81" s="454"/>
      <c r="F81" s="403" t="str">
        <f t="shared" si="4"/>
        <v/>
      </c>
      <c r="G81" s="454"/>
      <c r="H81" s="454"/>
      <c r="I81" s="454"/>
      <c r="J81" s="454"/>
      <c r="K81" s="453"/>
      <c r="L81" s="476"/>
      <c r="M81" s="455"/>
    </row>
    <row r="82" spans="2:15" s="223" customFormat="1" ht="12">
      <c r="B82" s="452">
        <f>EDATE(B81,-1)</f>
        <v>43497</v>
      </c>
      <c r="C82" s="454"/>
      <c r="D82" s="475"/>
      <c r="E82" s="454"/>
      <c r="F82" s="403" t="str">
        <f t="shared" si="4"/>
        <v/>
      </c>
      <c r="G82" s="454"/>
      <c r="H82" s="454"/>
      <c r="I82" s="454"/>
      <c r="J82" s="454"/>
      <c r="K82" s="453"/>
      <c r="L82" s="476"/>
      <c r="M82" s="455"/>
    </row>
    <row r="83" spans="2:15" s="220" customFormat="1" ht="12">
      <c r="B83" s="473" t="s">
        <v>478</v>
      </c>
      <c r="C83" s="401">
        <f>SUM(C77:C82)</f>
        <v>0</v>
      </c>
      <c r="D83" s="461">
        <f>SUM(D77:D82)</f>
        <v>0</v>
      </c>
      <c r="E83" s="400"/>
      <c r="F83" s="400"/>
      <c r="G83" s="400">
        <f>SUM(G77:G82)</f>
        <v>0</v>
      </c>
      <c r="H83" s="401">
        <f>SUM(H77:H82)</f>
        <v>0</v>
      </c>
      <c r="I83" s="401">
        <f>SUM(I77:I82)</f>
        <v>0</v>
      </c>
      <c r="J83" s="401">
        <f>SUM(J77:J82)</f>
        <v>0</v>
      </c>
      <c r="K83" s="404">
        <f>IF(SUM(K77:K82)=0,0,AVERAGE(K77:K82))</f>
        <v>0</v>
      </c>
      <c r="L83" s="400">
        <f>IF(SUM(L77:L82)=0,0,AVERAGE(L77:L82))</f>
        <v>0</v>
      </c>
      <c r="M83" s="462">
        <f>IF(SUM(M77:M82)=0,0,AVERAGE(M77:M82))</f>
        <v>0</v>
      </c>
    </row>
    <row r="84" spans="2:15" s="220" customFormat="1" ht="12">
      <c r="B84" s="463"/>
      <c r="C84" s="464" t="s">
        <v>479</v>
      </c>
      <c r="D84" s="467"/>
      <c r="E84" s="467">
        <f>C83*2</f>
        <v>0</v>
      </c>
      <c r="F84" s="467"/>
      <c r="G84" s="467"/>
      <c r="H84" s="467"/>
      <c r="I84" s="467"/>
      <c r="J84" s="467"/>
      <c r="K84" s="914" t="s">
        <v>480</v>
      </c>
      <c r="L84" s="914"/>
      <c r="M84" s="914"/>
      <c r="N84" s="393"/>
      <c r="O84" s="393"/>
    </row>
    <row r="85" spans="2:15">
      <c r="B85" s="390"/>
      <c r="C85" s="390"/>
      <c r="D85" s="390"/>
      <c r="E85" s="390"/>
      <c r="F85" s="390"/>
      <c r="G85" s="390"/>
      <c r="H85" s="390"/>
      <c r="I85" s="390"/>
      <c r="J85" s="390"/>
      <c r="K85" s="390"/>
      <c r="L85" s="390"/>
      <c r="M85" s="390"/>
      <c r="N85" s="390"/>
    </row>
    <row r="86" spans="2:15">
      <c r="B86" s="390"/>
      <c r="C86" s="390"/>
      <c r="D86" s="390"/>
      <c r="E86" s="390"/>
      <c r="F86" s="390"/>
      <c r="G86" s="390"/>
      <c r="H86" s="390"/>
      <c r="I86" s="390"/>
      <c r="J86" s="390"/>
      <c r="K86" s="390"/>
      <c r="L86" s="390"/>
      <c r="M86" s="390"/>
      <c r="N86" s="390"/>
    </row>
    <row r="87" spans="2:15">
      <c r="B87" s="390"/>
      <c r="C87" s="390"/>
      <c r="D87" s="390"/>
      <c r="E87" s="390"/>
      <c r="F87" s="390"/>
      <c r="G87" s="390"/>
      <c r="H87" s="390"/>
      <c r="I87" s="390"/>
      <c r="J87" s="390"/>
      <c r="K87" s="390"/>
      <c r="L87" s="390"/>
      <c r="M87" s="390"/>
      <c r="N87" s="390"/>
    </row>
    <row r="88" spans="2:15">
      <c r="B88" s="390"/>
      <c r="C88" s="390"/>
      <c r="D88" s="390"/>
      <c r="E88" s="390"/>
      <c r="F88" s="390"/>
      <c r="G88" s="390"/>
      <c r="H88" s="390"/>
      <c r="I88" s="390"/>
      <c r="J88" s="390"/>
      <c r="K88" s="390"/>
      <c r="L88" s="390"/>
      <c r="M88" s="390"/>
      <c r="N88" s="390"/>
    </row>
    <row r="89" spans="2:15">
      <c r="B89" s="390"/>
      <c r="C89" s="390"/>
      <c r="D89" s="390"/>
      <c r="E89" s="390"/>
      <c r="F89" s="390"/>
      <c r="G89" s="390"/>
      <c r="H89" s="390"/>
      <c r="I89" s="390"/>
      <c r="J89" s="390"/>
      <c r="K89" s="390"/>
      <c r="L89" s="390"/>
      <c r="M89" s="390"/>
      <c r="N89" s="390"/>
    </row>
    <row r="90" spans="2:15">
      <c r="B90" s="390"/>
      <c r="C90" s="390"/>
      <c r="D90" s="390"/>
      <c r="E90" s="390"/>
      <c r="F90" s="390"/>
      <c r="G90" s="390"/>
      <c r="H90" s="390"/>
      <c r="I90" s="390"/>
      <c r="J90" s="390"/>
      <c r="K90" s="390"/>
      <c r="L90" s="390"/>
      <c r="M90" s="390"/>
      <c r="N90" s="390"/>
    </row>
    <row r="91" spans="2:15">
      <c r="B91" s="390"/>
      <c r="C91" s="390"/>
      <c r="D91" s="390"/>
      <c r="E91" s="390"/>
      <c r="F91" s="390"/>
      <c r="G91" s="390"/>
      <c r="H91" s="390"/>
      <c r="I91" s="390"/>
      <c r="J91" s="390"/>
      <c r="K91" s="390"/>
      <c r="L91" s="390"/>
      <c r="M91" s="390"/>
      <c r="N91" s="390"/>
    </row>
    <row r="92" spans="2:15"/>
    <row r="93" spans="2:15"/>
    <row r="94" spans="2:15"/>
    <row r="95" spans="2:15"/>
    <row r="96" spans="2:15"/>
    <row r="97"/>
  </sheetData>
  <sheetProtection password="857C" sheet="1" objects="1" scenarios="1" formatCells="0" formatColumns="0" formatRows="0"/>
  <mergeCells count="52">
    <mergeCell ref="K2:L2"/>
    <mergeCell ref="K3:L3"/>
    <mergeCell ref="K4:L4"/>
    <mergeCell ref="K5:L5"/>
    <mergeCell ref="K6:L6"/>
    <mergeCell ref="K7:L7"/>
    <mergeCell ref="B8:R8"/>
    <mergeCell ref="J12:K12"/>
    <mergeCell ref="C15:E15"/>
    <mergeCell ref="H15:J15"/>
    <mergeCell ref="C17:E17"/>
    <mergeCell ref="H17:J17"/>
    <mergeCell ref="D22:F22"/>
    <mergeCell ref="G22:I22"/>
    <mergeCell ref="J22:L22"/>
    <mergeCell ref="C23:D23"/>
    <mergeCell ref="F23:G23"/>
    <mergeCell ref="H23:I23"/>
    <mergeCell ref="K23:L23"/>
    <mergeCell ref="K32:M32"/>
    <mergeCell ref="D35:F35"/>
    <mergeCell ref="G35:I35"/>
    <mergeCell ref="J35:L35"/>
    <mergeCell ref="C36:D36"/>
    <mergeCell ref="F36:G36"/>
    <mergeCell ref="H36:I36"/>
    <mergeCell ref="K36:L36"/>
    <mergeCell ref="K45:M45"/>
    <mergeCell ref="D48:F48"/>
    <mergeCell ref="G48:I48"/>
    <mergeCell ref="J48:L48"/>
    <mergeCell ref="C49:D49"/>
    <mergeCell ref="F49:G49"/>
    <mergeCell ref="H49:I49"/>
    <mergeCell ref="K49:L49"/>
    <mergeCell ref="K58:M58"/>
    <mergeCell ref="D61:F61"/>
    <mergeCell ref="G61:I61"/>
    <mergeCell ref="J61:L61"/>
    <mergeCell ref="C62:D62"/>
    <mergeCell ref="F62:G62"/>
    <mergeCell ref="H62:I62"/>
    <mergeCell ref="K62:L62"/>
    <mergeCell ref="K84:M84"/>
    <mergeCell ref="K71:M71"/>
    <mergeCell ref="D74:F74"/>
    <mergeCell ref="G74:I74"/>
    <mergeCell ref="J74:L74"/>
    <mergeCell ref="C75:D75"/>
    <mergeCell ref="F75:G75"/>
    <mergeCell ref="H75:I75"/>
    <mergeCell ref="K75:L75"/>
  </mergeCells>
  <conditionalFormatting sqref="K17">
    <cfRule type="cellIs" dxfId="67" priority="2" operator="between">
      <formula>-0.1</formula>
      <formula>-0.15</formula>
    </cfRule>
    <cfRule type="cellIs" dxfId="66" priority="3" operator="lessThan">
      <formula>-0.15</formula>
    </cfRule>
  </conditionalFormatting>
  <conditionalFormatting sqref="N17">
    <cfRule type="cellIs" dxfId="65" priority="4" operator="greaterThan">
      <formula>0.9</formula>
    </cfRule>
  </conditionalFormatting>
  <conditionalFormatting sqref="K15">
    <cfRule type="cellIs" dxfId="64" priority="5" operator="lessThan">
      <formula>-0.2</formula>
    </cfRule>
  </conditionalFormatting>
  <conditionalFormatting sqref="N15">
    <cfRule type="cellIs" dxfId="63" priority="6" operator="lessThan">
      <formula>-0.2</formula>
    </cfRule>
  </conditionalFormatting>
  <conditionalFormatting sqref="N12">
    <cfRule type="cellIs" dxfId="62" priority="7" operator="lessThan">
      <formula>-0.2</formula>
    </cfRule>
  </conditionalFormatting>
  <conditionalFormatting sqref="N13">
    <cfRule type="cellIs" dxfId="61" priority="8" operator="lessThan">
      <formula>-0.2</formula>
    </cfRule>
  </conditionalFormatting>
  <conditionalFormatting sqref="D13">
    <cfRule type="cellIs" dxfId="60" priority="9" operator="equal">
      <formula>"No Go"</formula>
    </cfRule>
    <cfRule type="cellIs" dxfId="59" priority="10" operator="equal">
      <formula>"No Go"</formula>
    </cfRule>
  </conditionalFormatting>
  <conditionalFormatting sqref="D14">
    <cfRule type="cellIs" dxfId="58" priority="11" operator="equal">
      <formula>"No Go"</formula>
    </cfRule>
  </conditionalFormatting>
  <dataValidations count="3">
    <dataValidation type="list" allowBlank="1" showInputMessage="1" showErrorMessage="1" sqref="G22:I22 G35:I35 G48:I48 G61:I61 G74:I74" xr:uid="{00000000-0002-0000-0800-000000000000}">
      <formula1>Accnt_Holder</formula1>
      <formula2>0</formula2>
    </dataValidation>
    <dataValidation type="list" allowBlank="1" showInputMessage="1" showErrorMessage="1" sqref="M22 M35 M48 M61 M74" xr:uid="{00000000-0002-0000-0800-000001000000}">
      <formula1>N</formula1>
      <formula2>0</formula2>
    </dataValidation>
    <dataValidation type="list" allowBlank="1" showInputMessage="1" showErrorMessage="1" sqref="J23 J36 J49 J62 J75" xr:uid="{00000000-0002-0000-0800-000002000000}">
      <formula1>BankNames</formula1>
      <formula2>0</formula2>
    </dataValidation>
  </dataValidations>
  <pageMargins left="0.69930555555555496" right="0.69930555555555496"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0"/>
  <sheetViews>
    <sheetView zoomScaleNormal="100" workbookViewId="0"/>
  </sheetViews>
  <sheetFormatPr defaultRowHeight="15" zeroHeight="1"/>
  <cols>
    <col min="1" max="1" width="29" style="345" customWidth="1"/>
    <col min="2" max="2" width="29.42578125" style="536" customWidth="1"/>
    <col min="3" max="4" width="25.140625" style="537" customWidth="1"/>
    <col min="5" max="5" width="9.140625" style="537" customWidth="1"/>
    <col min="6" max="1025" width="9.140625" style="537" hidden="1" customWidth="1"/>
  </cols>
  <sheetData>
    <row r="1" spans="1:9" s="345" customFormat="1">
      <c r="A1" s="538"/>
      <c r="B1" s="539" t="s">
        <v>549</v>
      </c>
      <c r="C1" s="539" t="s">
        <v>549</v>
      </c>
      <c r="D1" s="539" t="s">
        <v>549</v>
      </c>
    </row>
    <row r="2" spans="1:9">
      <c r="A2" s="538" t="s">
        <v>166</v>
      </c>
      <c r="B2" s="540"/>
      <c r="C2" s="540"/>
      <c r="D2" s="540"/>
    </row>
    <row r="3" spans="1:9">
      <c r="A3" s="538" t="s">
        <v>550</v>
      </c>
      <c r="B3" s="354" t="s">
        <v>551</v>
      </c>
      <c r="C3" s="354" t="s">
        <v>551</v>
      </c>
      <c r="D3" s="354"/>
    </row>
    <row r="4" spans="1:9">
      <c r="A4" s="347" t="s">
        <v>552</v>
      </c>
      <c r="B4" s="541"/>
      <c r="C4" s="541"/>
      <c r="D4" s="842">
        <v>43191</v>
      </c>
      <c r="I4" s="537" t="s">
        <v>551</v>
      </c>
    </row>
    <row r="5" spans="1:9">
      <c r="A5" s="347" t="s">
        <v>553</v>
      </c>
      <c r="B5" s="541"/>
      <c r="C5" s="541"/>
      <c r="D5" s="842">
        <v>43221</v>
      </c>
      <c r="I5" s="537" t="s">
        <v>554</v>
      </c>
    </row>
    <row r="6" spans="1:9">
      <c r="A6" s="347" t="s">
        <v>555</v>
      </c>
      <c r="B6" s="541"/>
      <c r="C6" s="541"/>
      <c r="D6" s="842">
        <v>43252</v>
      </c>
    </row>
    <row r="7" spans="1:9">
      <c r="A7" s="347" t="s">
        <v>556</v>
      </c>
      <c r="B7" s="541"/>
      <c r="C7" s="541"/>
      <c r="D7" s="842">
        <v>43282</v>
      </c>
    </row>
    <row r="8" spans="1:9">
      <c r="A8" s="347" t="s">
        <v>557</v>
      </c>
      <c r="B8" s="541"/>
      <c r="C8" s="541"/>
      <c r="D8" s="842">
        <v>43313</v>
      </c>
    </row>
    <row r="9" spans="1:9">
      <c r="A9" s="347" t="s">
        <v>558</v>
      </c>
      <c r="B9" s="541"/>
      <c r="C9" s="541"/>
      <c r="D9" s="842">
        <v>43344</v>
      </c>
    </row>
    <row r="10" spans="1:9">
      <c r="A10" s="347" t="s">
        <v>559</v>
      </c>
      <c r="B10" s="541"/>
      <c r="C10" s="541"/>
      <c r="D10" s="842">
        <v>43374</v>
      </c>
    </row>
    <row r="11" spans="1:9">
      <c r="A11" s="347" t="s">
        <v>560</v>
      </c>
      <c r="B11" s="541"/>
      <c r="C11" s="541"/>
      <c r="D11" s="842">
        <v>43405</v>
      </c>
    </row>
    <row r="12" spans="1:9">
      <c r="A12" s="347" t="s">
        <v>561</v>
      </c>
      <c r="B12" s="541"/>
      <c r="C12" s="541"/>
      <c r="D12" s="842">
        <v>43435</v>
      </c>
    </row>
    <row r="13" spans="1:9">
      <c r="A13" s="347" t="s">
        <v>562</v>
      </c>
      <c r="B13" s="541"/>
      <c r="C13" s="541"/>
      <c r="D13" s="842">
        <v>43466</v>
      </c>
    </row>
    <row r="14" spans="1:9">
      <c r="A14" s="347" t="s">
        <v>563</v>
      </c>
      <c r="B14" s="541"/>
      <c r="C14" s="541"/>
      <c r="D14" s="842">
        <v>43497</v>
      </c>
    </row>
    <row r="15" spans="1:9">
      <c r="A15" s="347" t="s">
        <v>564</v>
      </c>
      <c r="B15" s="541"/>
      <c r="C15" s="541"/>
      <c r="D15" s="842">
        <v>43525</v>
      </c>
    </row>
    <row r="16" spans="1:9">
      <c r="A16" s="347" t="s">
        <v>565</v>
      </c>
      <c r="B16" s="542">
        <f>IF(SUM(B4:B15)=0,0,IF(B3="Monthly",AVERAGE(B4:B15)*12,IF(B3="Quarterly",AVERAGE(B4:B7)*4,"")))</f>
        <v>0</v>
      </c>
      <c r="C16" s="543" t="str">
        <f>IF(SUM(C4:C15)=0,"",IF(C3="Monthly",AVERAGE(C4:C15)*12,IF(C3="Quarterly",AVERAGE(C4:C7)*4,"")))</f>
        <v/>
      </c>
      <c r="D16" s="543" t="str">
        <f>IF(SUM(D4:D15)=0,"",IF(D3="Monthly",AVERAGE(D4:D15)*12,IF(D3="Quarterly",AVERAGE(D4:D7)*4,"")))</f>
        <v/>
      </c>
    </row>
    <row r="17" spans="1:5" s="345" customFormat="1">
      <c r="A17" s="544" t="s">
        <v>566</v>
      </c>
      <c r="B17" s="545"/>
      <c r="C17" s="544"/>
    </row>
    <row r="18" spans="1:5" s="345" customFormat="1">
      <c r="A18" s="544" t="s">
        <v>567</v>
      </c>
      <c r="B18" s="545"/>
      <c r="C18" s="544"/>
      <c r="D18" s="544"/>
      <c r="E18" s="544"/>
    </row>
    <row r="19" spans="1:5" s="345" customFormat="1">
      <c r="B19" s="546"/>
    </row>
    <row r="20" spans="1:5"/>
  </sheetData>
  <sheetProtection password="857C" sheet="1" objects="1" scenarios="1" formatCells="0" formatColumns="0" formatRows="0"/>
  <dataValidations count="2">
    <dataValidation type="list" allowBlank="1" showInputMessage="1" showErrorMessage="1" sqref="B2:D2" xr:uid="{00000000-0002-0000-0900-000000000000}">
      <formula1>Accnt_Holder</formula1>
      <formula2>0</formula2>
    </dataValidation>
    <dataValidation type="list" allowBlank="1" showInputMessage="1" showErrorMessage="1" sqref="B3:D3" xr:uid="{00000000-0002-0000-0900-000001000000}">
      <formula1>Period</formula1>
      <formula2>0</formula2>
    </dataValidation>
  </dataValidations>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143"/>
  <sheetViews>
    <sheetView showGridLines="0" zoomScaleNormal="100" workbookViewId="0">
      <selection sqref="A1:B1"/>
    </sheetView>
  </sheetViews>
  <sheetFormatPr defaultRowHeight="15"/>
  <cols>
    <col min="1" max="1" width="3.7109375" style="220" customWidth="1"/>
    <col min="2" max="2" width="21.85546875" style="220" customWidth="1"/>
    <col min="3" max="3" width="22" style="223" customWidth="1"/>
    <col min="4" max="4" width="22.28515625" style="389" customWidth="1"/>
    <col min="5" max="5" width="18.85546875" style="389" customWidth="1"/>
    <col min="6" max="6" width="20.28515625" style="389" customWidth="1"/>
    <col min="7" max="7" width="10.7109375" style="389" customWidth="1"/>
    <col min="8" max="8" width="10.85546875" style="223" customWidth="1"/>
    <col min="9" max="9" width="9.140625" style="223" customWidth="1"/>
    <col min="10" max="10" width="14.28515625" style="223" customWidth="1"/>
    <col min="11" max="11" width="10" style="223" customWidth="1"/>
    <col min="12" max="12" width="10.7109375" style="389" customWidth="1"/>
    <col min="13" max="14" width="9.140625" style="223" customWidth="1"/>
    <col min="15" max="15" width="17.7109375" style="223" customWidth="1"/>
    <col min="16" max="16" width="7.5703125" style="223" customWidth="1"/>
    <col min="17" max="22" width="9.140625" style="223" customWidth="1"/>
    <col min="23" max="23" width="15" style="223" customWidth="1"/>
    <col min="24" max="24" width="33.42578125" style="226" customWidth="1"/>
    <col min="25" max="30" width="9.140625" style="226" customWidth="1"/>
    <col min="31" max="31" width="27" style="226" customWidth="1"/>
    <col min="32" max="33" width="21" style="226" customWidth="1"/>
    <col min="34" max="1025" width="9.140625" style="226" customWidth="1"/>
  </cols>
  <sheetData>
    <row r="1" spans="1:33" s="393" customFormat="1" ht="12" customHeight="1">
      <c r="A1" s="927" t="s">
        <v>485</v>
      </c>
      <c r="B1" s="927"/>
      <c r="C1" s="547">
        <f>'Customer Details'!C3</f>
        <v>0</v>
      </c>
      <c r="D1" s="548"/>
      <c r="E1" s="928" t="s">
        <v>568</v>
      </c>
      <c r="F1" s="928"/>
      <c r="G1" s="476"/>
      <c r="H1" s="227"/>
      <c r="I1" s="929" t="s">
        <v>569</v>
      </c>
      <c r="J1" s="929"/>
      <c r="K1" s="929"/>
      <c r="L1" s="476">
        <v>0</v>
      </c>
      <c r="M1" s="227"/>
      <c r="N1" s="227"/>
      <c r="O1" s="227"/>
      <c r="P1" s="227"/>
      <c r="Q1" s="227"/>
      <c r="R1" s="227"/>
      <c r="S1" s="227"/>
      <c r="T1" s="227"/>
      <c r="U1" s="227"/>
      <c r="V1" s="227"/>
      <c r="W1" s="227"/>
    </row>
    <row r="2" spans="1:33" s="393" customFormat="1" ht="12">
      <c r="A2" s="549"/>
      <c r="B2" s="549"/>
      <c r="C2" s="550"/>
      <c r="D2" s="548"/>
      <c r="E2" s="928" t="s">
        <v>570</v>
      </c>
      <c r="F2" s="928"/>
      <c r="G2" s="476"/>
      <c r="H2" s="227"/>
      <c r="I2" s="929" t="s">
        <v>571</v>
      </c>
      <c r="J2" s="929"/>
      <c r="K2" s="929"/>
      <c r="L2" s="551">
        <f>COUNTIF(Q4:V135,"Bounce")</f>
        <v>0</v>
      </c>
      <c r="M2" s="227"/>
      <c r="N2" s="227"/>
      <c r="O2" s="227"/>
      <c r="P2" s="227"/>
      <c r="Q2" s="227"/>
      <c r="R2" s="227"/>
      <c r="S2" s="227"/>
      <c r="T2" s="227"/>
      <c r="U2" s="227"/>
      <c r="V2" s="227"/>
      <c r="W2" s="227"/>
    </row>
    <row r="3" spans="1:33" s="554" customFormat="1" ht="48">
      <c r="A3" s="552" t="s">
        <v>312</v>
      </c>
      <c r="B3" s="552" t="s">
        <v>572</v>
      </c>
      <c r="C3" s="552" t="s">
        <v>573</v>
      </c>
      <c r="D3" s="552" t="s">
        <v>574</v>
      </c>
      <c r="E3" s="552" t="s">
        <v>575</v>
      </c>
      <c r="F3" s="552" t="s">
        <v>576</v>
      </c>
      <c r="G3" s="552" t="s">
        <v>486</v>
      </c>
      <c r="H3" s="552" t="s">
        <v>577</v>
      </c>
      <c r="I3" s="552" t="s">
        <v>578</v>
      </c>
      <c r="J3" s="552" t="s">
        <v>399</v>
      </c>
      <c r="K3" s="552" t="s">
        <v>579</v>
      </c>
      <c r="L3" s="552" t="s">
        <v>580</v>
      </c>
      <c r="M3" s="552" t="s">
        <v>581</v>
      </c>
      <c r="N3" s="552" t="s">
        <v>582</v>
      </c>
      <c r="O3" s="552" t="s">
        <v>583</v>
      </c>
      <c r="P3" s="552" t="s">
        <v>584</v>
      </c>
      <c r="Q3" s="553" t="e">
        <f>EDATE(C1,-1)</f>
        <v>#NUM!</v>
      </c>
      <c r="R3" s="553" t="e">
        <f>EDATE(Q3,-1)</f>
        <v>#NUM!</v>
      </c>
      <c r="S3" s="553" t="e">
        <f>EDATE(R3,-1)</f>
        <v>#NUM!</v>
      </c>
      <c r="T3" s="553" t="e">
        <f>EDATE(S3,-1)</f>
        <v>#NUM!</v>
      </c>
      <c r="U3" s="553" t="e">
        <f>EDATE(T3,-1)</f>
        <v>#NUM!</v>
      </c>
      <c r="V3" s="553" t="e">
        <f>EDATE(U3,-1)</f>
        <v>#NUM!</v>
      </c>
      <c r="W3" s="552" t="s">
        <v>585</v>
      </c>
    </row>
    <row r="4" spans="1:33">
      <c r="A4" s="400">
        <v>1</v>
      </c>
      <c r="B4" s="472"/>
      <c r="C4" s="454"/>
      <c r="D4" s="472"/>
      <c r="E4" s="472"/>
      <c r="F4" s="472"/>
      <c r="G4" s="845"/>
      <c r="H4" s="555"/>
      <c r="I4" s="556"/>
      <c r="J4" s="454"/>
      <c r="K4" s="557"/>
      <c r="L4" s="558" t="str">
        <f t="shared" ref="L4:L35" si="0">IF(AND(J4&gt;0,K4&gt;0),DATE(YEAR(K4),MONTH(K4)+J4+IF(DAY(K4)&lt;=15,0,1),DAY(K4)),"")</f>
        <v/>
      </c>
      <c r="M4" s="401" t="str">
        <f>IF(ISERROR(IF(K4&gt;0,DATEDIF(K4,MIN('Existing Loans'!$C$1,L4),"m"),"")),0,IF(K4&gt;0,DATEDIF(K4,MIN('Existing Loans'!$C$1,L4),"m")+0,""))</f>
        <v/>
      </c>
      <c r="N4" s="401" t="str">
        <f t="shared" ref="N4:N35" si="1">IF(J4="","",J4-M4)</f>
        <v/>
      </c>
      <c r="O4" s="559"/>
      <c r="P4" s="454"/>
      <c r="Q4" s="832"/>
      <c r="R4" s="841"/>
      <c r="S4" s="841"/>
      <c r="T4" s="841"/>
      <c r="U4" s="841"/>
      <c r="V4" s="841"/>
      <c r="W4" s="560">
        <f t="shared" ref="W4:W35" si="2">IF(AND(F4="Live",N4&gt;6),H4,0)</f>
        <v>0</v>
      </c>
      <c r="X4" s="226" t="str">
        <f t="shared" ref="X4:X35" si="3">B4&amp;E4</f>
        <v/>
      </c>
      <c r="AE4" s="226" t="s">
        <v>589</v>
      </c>
      <c r="AG4" s="226" t="s">
        <v>591</v>
      </c>
    </row>
    <row r="5" spans="1:33">
      <c r="A5" s="400">
        <v>2</v>
      </c>
      <c r="B5" s="472"/>
      <c r="C5" s="454"/>
      <c r="D5" s="472"/>
      <c r="E5" s="472"/>
      <c r="F5" s="472"/>
      <c r="G5" s="845"/>
      <c r="H5" s="555"/>
      <c r="I5" s="556"/>
      <c r="J5" s="454"/>
      <c r="K5" s="557"/>
      <c r="L5" s="558" t="str">
        <f t="shared" si="0"/>
        <v/>
      </c>
      <c r="M5" s="401" t="str">
        <f>IF(ISERROR(IF(K5&gt;0,DATEDIF(K5,MIN('Existing Loans'!$C$1,L5),"m"),"")),0,IF(K5&gt;0,DATEDIF(K5,MIN('Existing Loans'!$C$1,L5),"m")+0,""))</f>
        <v/>
      </c>
      <c r="N5" s="401" t="str">
        <f t="shared" si="1"/>
        <v/>
      </c>
      <c r="O5" s="559"/>
      <c r="P5" s="454"/>
      <c r="Q5" s="832"/>
      <c r="R5" s="832"/>
      <c r="S5" s="832"/>
      <c r="T5" s="832"/>
      <c r="U5" s="832"/>
      <c r="V5" s="832"/>
      <c r="W5" s="560">
        <f t="shared" si="2"/>
        <v>0</v>
      </c>
      <c r="X5" s="226" t="str">
        <f t="shared" si="3"/>
        <v/>
      </c>
      <c r="AE5" s="226" t="s">
        <v>592</v>
      </c>
      <c r="AF5" s="226" t="s">
        <v>587</v>
      </c>
      <c r="AG5" s="226" t="s">
        <v>2293</v>
      </c>
    </row>
    <row r="6" spans="1:33">
      <c r="A6" s="400">
        <v>3</v>
      </c>
      <c r="B6" s="472"/>
      <c r="C6" s="841"/>
      <c r="D6" s="472"/>
      <c r="E6" s="472"/>
      <c r="F6" s="472"/>
      <c r="G6" s="845"/>
      <c r="H6" s="454"/>
      <c r="I6" s="556"/>
      <c r="J6" s="841"/>
      <c r="K6" s="557"/>
      <c r="L6" s="558" t="str">
        <f t="shared" si="0"/>
        <v/>
      </c>
      <c r="M6" s="401" t="str">
        <f>IF(ISERROR(IF(K6&gt;0,DATEDIF(K6,MIN('Existing Loans'!$C$1,L6),"m"),"")),0,IF(K6&gt;0,DATEDIF(K6,MIN('Existing Loans'!$C$1,L6),"m")+0,""))</f>
        <v/>
      </c>
      <c r="N6" s="401" t="str">
        <f t="shared" si="1"/>
        <v/>
      </c>
      <c r="O6" s="559"/>
      <c r="P6" s="454"/>
      <c r="Q6" s="832"/>
      <c r="R6" s="832"/>
      <c r="S6" s="832"/>
      <c r="T6" s="832"/>
      <c r="U6" s="832"/>
      <c r="V6" s="832"/>
      <c r="W6" s="560">
        <f t="shared" si="2"/>
        <v>0</v>
      </c>
      <c r="X6" s="226" t="str">
        <f t="shared" si="3"/>
        <v/>
      </c>
      <c r="AE6" s="226" t="s">
        <v>593</v>
      </c>
      <c r="AF6" s="226" t="s">
        <v>590</v>
      </c>
    </row>
    <row r="7" spans="1:33">
      <c r="A7" s="400">
        <v>4</v>
      </c>
      <c r="B7" s="472"/>
      <c r="C7" s="841"/>
      <c r="D7" s="472"/>
      <c r="E7" s="472"/>
      <c r="F7" s="472"/>
      <c r="G7" s="845"/>
      <c r="H7" s="454"/>
      <c r="I7" s="556"/>
      <c r="J7" s="454"/>
      <c r="K7" s="557"/>
      <c r="L7" s="558" t="str">
        <f t="shared" si="0"/>
        <v/>
      </c>
      <c r="M7" s="401" t="str">
        <f>IF(ISERROR(IF(K7&gt;0,DATEDIF(K7,MIN('Existing Loans'!$C$1,L7),"m"),"")),0,IF(K7&gt;0,DATEDIF(K7,MIN('Existing Loans'!$C$1,L7),"m")+0,""))</f>
        <v/>
      </c>
      <c r="N7" s="401" t="str">
        <f t="shared" si="1"/>
        <v/>
      </c>
      <c r="O7" s="559"/>
      <c r="P7" s="454"/>
      <c r="Q7" s="832"/>
      <c r="R7" s="832"/>
      <c r="S7" s="832"/>
      <c r="T7" s="832"/>
      <c r="U7" s="832"/>
      <c r="V7" s="832"/>
      <c r="W7" s="560">
        <f t="shared" si="2"/>
        <v>0</v>
      </c>
      <c r="X7" s="226" t="str">
        <f t="shared" si="3"/>
        <v/>
      </c>
      <c r="AE7" s="226" t="s">
        <v>594</v>
      </c>
    </row>
    <row r="8" spans="1:33">
      <c r="A8" s="400">
        <v>5</v>
      </c>
      <c r="B8" s="472"/>
      <c r="C8" s="454"/>
      <c r="D8" s="472"/>
      <c r="E8" s="472"/>
      <c r="F8" s="472"/>
      <c r="G8" s="845"/>
      <c r="H8" s="555"/>
      <c r="I8" s="556"/>
      <c r="J8" s="841"/>
      <c r="K8" s="557"/>
      <c r="L8" s="558" t="str">
        <f t="shared" si="0"/>
        <v/>
      </c>
      <c r="M8" s="401" t="str">
        <f>IF(ISERROR(IF(K8&gt;0,DATEDIF(K8,MIN('Existing Loans'!$C$1,L8),"m"),"")),0,IF(K8&gt;0,DATEDIF(K8,MIN('Existing Loans'!$C$1,L8),"m")+0,""))</f>
        <v/>
      </c>
      <c r="N8" s="401" t="str">
        <f t="shared" si="1"/>
        <v/>
      </c>
      <c r="O8" s="559"/>
      <c r="P8" s="454"/>
      <c r="Q8" s="832"/>
      <c r="R8" s="841"/>
      <c r="S8" s="841"/>
      <c r="T8" s="841"/>
      <c r="U8" s="841"/>
      <c r="V8" s="841"/>
      <c r="W8" s="560">
        <f t="shared" si="2"/>
        <v>0</v>
      </c>
      <c r="X8" s="226" t="str">
        <f t="shared" si="3"/>
        <v/>
      </c>
      <c r="AE8" s="226" t="s">
        <v>488</v>
      </c>
    </row>
    <row r="9" spans="1:33">
      <c r="A9" s="400">
        <v>6</v>
      </c>
      <c r="B9" s="472"/>
      <c r="C9" s="454"/>
      <c r="D9" s="472"/>
      <c r="E9" s="472"/>
      <c r="F9" s="472"/>
      <c r="G9" s="845"/>
      <c r="H9" s="454"/>
      <c r="I9" s="556"/>
      <c r="J9" s="454"/>
      <c r="K9" s="557"/>
      <c r="L9" s="558" t="str">
        <f t="shared" si="0"/>
        <v/>
      </c>
      <c r="M9" s="401" t="str">
        <f>IF(ISERROR(IF(K9&gt;0,DATEDIF(K9,MIN('Existing Loans'!$C$1,L9),"m"),"")),0,IF(K9&gt;0,DATEDIF(K9,MIN('Existing Loans'!$C$1,L9),"m")+0,""))</f>
        <v/>
      </c>
      <c r="N9" s="401" t="str">
        <f t="shared" si="1"/>
        <v/>
      </c>
      <c r="O9" s="559"/>
      <c r="P9" s="454"/>
      <c r="Q9" s="841"/>
      <c r="R9" s="841"/>
      <c r="S9" s="841"/>
      <c r="T9" s="841"/>
      <c r="U9" s="841"/>
      <c r="V9" s="841"/>
      <c r="W9" s="560">
        <f t="shared" si="2"/>
        <v>0</v>
      </c>
      <c r="X9" s="226" t="str">
        <f t="shared" si="3"/>
        <v/>
      </c>
    </row>
    <row r="10" spans="1:33">
      <c r="A10" s="400">
        <v>7</v>
      </c>
      <c r="B10" s="472"/>
      <c r="C10" s="454"/>
      <c r="D10" s="472"/>
      <c r="E10" s="472"/>
      <c r="F10" s="472"/>
      <c r="G10" s="845"/>
      <c r="H10" s="454"/>
      <c r="I10" s="556"/>
      <c r="J10" s="454"/>
      <c r="K10" s="557"/>
      <c r="L10" s="558" t="str">
        <f t="shared" si="0"/>
        <v/>
      </c>
      <c r="M10" s="401" t="str">
        <f>IF(ISERROR(IF(K10&gt;0,DATEDIF(K10,MIN('Existing Loans'!$C$1,L10),"m"),"")),0,IF(K10&gt;0,DATEDIF(K10,MIN('Existing Loans'!$C$1,L10),"m")+0,""))</f>
        <v/>
      </c>
      <c r="N10" s="401" t="str">
        <f t="shared" si="1"/>
        <v/>
      </c>
      <c r="O10" s="559"/>
      <c r="P10" s="454"/>
      <c r="Q10" s="832"/>
      <c r="R10" s="841"/>
      <c r="S10" s="841"/>
      <c r="T10" s="841"/>
      <c r="U10" s="841"/>
      <c r="V10" s="841"/>
      <c r="W10" s="560">
        <f t="shared" si="2"/>
        <v>0</v>
      </c>
      <c r="X10" s="226" t="str">
        <f t="shared" si="3"/>
        <v/>
      </c>
    </row>
    <row r="11" spans="1:33">
      <c r="A11" s="400">
        <v>8</v>
      </c>
      <c r="B11" s="472"/>
      <c r="C11" s="454"/>
      <c r="D11" s="472"/>
      <c r="E11" s="472"/>
      <c r="F11" s="472"/>
      <c r="G11" s="846"/>
      <c r="H11" s="454"/>
      <c r="I11" s="556"/>
      <c r="J11" s="454"/>
      <c r="K11" s="557"/>
      <c r="L11" s="558" t="str">
        <f t="shared" si="0"/>
        <v/>
      </c>
      <c r="M11" s="401" t="str">
        <f>IF(ISERROR(IF(K11&gt;0,DATEDIF(K11,MIN('Existing Loans'!$C$1,L11),"m"),"")),0,IF(K11&gt;0,DATEDIF(K11,MIN('Existing Loans'!$C$1,L11),"m")+0,""))</f>
        <v/>
      </c>
      <c r="N11" s="401" t="str">
        <f t="shared" si="1"/>
        <v/>
      </c>
      <c r="O11" s="559"/>
      <c r="P11" s="454"/>
      <c r="Q11" s="832"/>
      <c r="R11" s="841"/>
      <c r="S11" s="841"/>
      <c r="T11" s="841"/>
      <c r="U11" s="841"/>
      <c r="V11" s="843"/>
      <c r="W11" s="560">
        <f t="shared" si="2"/>
        <v>0</v>
      </c>
      <c r="X11" s="226" t="str">
        <f t="shared" si="3"/>
        <v/>
      </c>
    </row>
    <row r="12" spans="1:33">
      <c r="A12" s="400">
        <v>9</v>
      </c>
      <c r="B12" s="472"/>
      <c r="C12" s="841"/>
      <c r="D12" s="472"/>
      <c r="E12" s="472"/>
      <c r="F12" s="472"/>
      <c r="G12" s="846"/>
      <c r="H12" s="454"/>
      <c r="I12" s="556"/>
      <c r="J12" s="841"/>
      <c r="K12" s="557"/>
      <c r="L12" s="558" t="str">
        <f t="shared" si="0"/>
        <v/>
      </c>
      <c r="M12" s="401" t="str">
        <f>IF(ISERROR(IF(K12&gt;0,DATEDIF(K12,MIN('Existing Loans'!$C$1,L12),"m"),"")),0,IF(K12&gt;0,DATEDIF(K12,MIN('Existing Loans'!$C$1,L12),"m")+0,""))</f>
        <v/>
      </c>
      <c r="N12" s="401" t="str">
        <f t="shared" si="1"/>
        <v/>
      </c>
      <c r="O12" s="559"/>
      <c r="P12" s="454"/>
      <c r="Q12" s="832"/>
      <c r="R12" s="841"/>
      <c r="S12" s="841"/>
      <c r="T12" s="841"/>
      <c r="U12" s="841"/>
      <c r="V12" s="841"/>
      <c r="W12" s="560">
        <f t="shared" si="2"/>
        <v>0</v>
      </c>
      <c r="X12" s="226" t="str">
        <f t="shared" si="3"/>
        <v/>
      </c>
    </row>
    <row r="13" spans="1:33">
      <c r="A13" s="400">
        <v>10</v>
      </c>
      <c r="B13" s="472"/>
      <c r="C13" s="841"/>
      <c r="D13" s="472"/>
      <c r="E13" s="472"/>
      <c r="F13" s="472"/>
      <c r="G13" s="846"/>
      <c r="H13" s="454"/>
      <c r="I13" s="556"/>
      <c r="J13" s="454"/>
      <c r="K13" s="557"/>
      <c r="L13" s="558" t="str">
        <f t="shared" si="0"/>
        <v/>
      </c>
      <c r="M13" s="401" t="str">
        <f>IF(ISERROR(IF(K13&gt;0,DATEDIF(K13,MIN('Existing Loans'!$C$1,L13),"m"),"")),0,IF(K13&gt;0,DATEDIF(K13,MIN('Existing Loans'!$C$1,L13),"m")+0,""))</f>
        <v/>
      </c>
      <c r="N13" s="401" t="str">
        <f t="shared" si="1"/>
        <v/>
      </c>
      <c r="O13" s="559"/>
      <c r="P13" s="454"/>
      <c r="Q13" s="832"/>
      <c r="R13" s="841"/>
      <c r="S13" s="841"/>
      <c r="T13" s="841"/>
      <c r="U13" s="841"/>
      <c r="V13" s="841"/>
      <c r="W13" s="560">
        <f t="shared" si="2"/>
        <v>0</v>
      </c>
      <c r="X13" s="226" t="str">
        <f t="shared" si="3"/>
        <v/>
      </c>
    </row>
    <row r="14" spans="1:33">
      <c r="A14" s="400">
        <v>11</v>
      </c>
      <c r="B14" s="472"/>
      <c r="C14" s="841"/>
      <c r="D14" s="472"/>
      <c r="E14" s="472"/>
      <c r="F14" s="472"/>
      <c r="G14" s="846"/>
      <c r="H14" s="454"/>
      <c r="I14" s="556"/>
      <c r="J14" s="841"/>
      <c r="K14" s="557"/>
      <c r="L14" s="558" t="str">
        <f t="shared" si="0"/>
        <v/>
      </c>
      <c r="M14" s="401" t="str">
        <f>IF(ISERROR(IF(K14&gt;0,DATEDIF(K14,MIN('Existing Loans'!$C$1,L14),"m"),"")),0,IF(K14&gt;0,DATEDIF(K14,MIN('Existing Loans'!$C$1,L14),"m")+0,""))</f>
        <v/>
      </c>
      <c r="N14" s="401" t="str">
        <f t="shared" si="1"/>
        <v/>
      </c>
      <c r="O14" s="559"/>
      <c r="P14" s="454"/>
      <c r="Q14" s="832"/>
      <c r="R14" s="841"/>
      <c r="S14" s="841"/>
      <c r="T14" s="841"/>
      <c r="U14" s="841"/>
      <c r="V14" s="841"/>
      <c r="W14" s="560">
        <f t="shared" si="2"/>
        <v>0</v>
      </c>
      <c r="X14" s="226" t="str">
        <f t="shared" si="3"/>
        <v/>
      </c>
      <c r="AE14" s="226" t="s">
        <v>595</v>
      </c>
    </row>
    <row r="15" spans="1:33">
      <c r="A15" s="400">
        <v>12</v>
      </c>
      <c r="B15" s="472"/>
      <c r="C15" s="841"/>
      <c r="D15" s="472"/>
      <c r="E15" s="472"/>
      <c r="F15" s="472"/>
      <c r="G15" s="846"/>
      <c r="H15" s="454"/>
      <c r="I15" s="556"/>
      <c r="J15" s="454"/>
      <c r="K15" s="557"/>
      <c r="L15" s="558" t="str">
        <f t="shared" si="0"/>
        <v/>
      </c>
      <c r="M15" s="401" t="str">
        <f>IF(ISERROR(IF(K15&gt;0,DATEDIF(K15,MIN('Existing Loans'!$C$1,L15),"m"),"")),0,IF(K15&gt;0,DATEDIF(K15,MIN('Existing Loans'!$C$1,L15),"m")+0,""))</f>
        <v/>
      </c>
      <c r="N15" s="401" t="str">
        <f t="shared" si="1"/>
        <v/>
      </c>
      <c r="O15" s="559"/>
      <c r="P15" s="454"/>
      <c r="Q15" s="832"/>
      <c r="R15" s="841"/>
      <c r="S15" s="841"/>
      <c r="T15" s="841"/>
      <c r="U15" s="841"/>
      <c r="V15" s="841"/>
      <c r="W15" s="560">
        <f t="shared" si="2"/>
        <v>0</v>
      </c>
      <c r="X15" s="226" t="str">
        <f t="shared" si="3"/>
        <v/>
      </c>
      <c r="AE15" s="226" t="s">
        <v>596</v>
      </c>
    </row>
    <row r="16" spans="1:33">
      <c r="A16" s="400">
        <v>13</v>
      </c>
      <c r="B16" s="472"/>
      <c r="C16" s="555"/>
      <c r="D16" s="472"/>
      <c r="E16" s="472"/>
      <c r="F16" s="472"/>
      <c r="G16" s="845"/>
      <c r="H16" s="454"/>
      <c r="I16" s="556"/>
      <c r="J16" s="841"/>
      <c r="K16" s="557"/>
      <c r="L16" s="558" t="str">
        <f t="shared" si="0"/>
        <v/>
      </c>
      <c r="M16" s="401" t="str">
        <f>IF(ISERROR(IF(K16&gt;0,DATEDIF(K16,MIN('Existing Loans'!$C$1,L16),"m"),"")),0,IF(K16&gt;0,DATEDIF(K16,MIN('Existing Loans'!$C$1,L16),"m")+0,""))</f>
        <v/>
      </c>
      <c r="N16" s="401" t="str">
        <f t="shared" si="1"/>
        <v/>
      </c>
      <c r="O16" s="559"/>
      <c r="P16" s="454"/>
      <c r="Q16" s="832"/>
      <c r="R16" s="841"/>
      <c r="S16" s="841"/>
      <c r="T16" s="841"/>
      <c r="U16" s="841"/>
      <c r="V16" s="841"/>
      <c r="W16" s="560">
        <f t="shared" si="2"/>
        <v>0</v>
      </c>
      <c r="X16" s="226" t="str">
        <f t="shared" si="3"/>
        <v/>
      </c>
      <c r="AE16" s="226" t="s">
        <v>597</v>
      </c>
    </row>
    <row r="17" spans="1:32">
      <c r="A17" s="400">
        <v>14</v>
      </c>
      <c r="B17" s="472"/>
      <c r="C17" s="555"/>
      <c r="D17" s="472"/>
      <c r="E17" s="472"/>
      <c r="F17" s="472"/>
      <c r="G17" s="845"/>
      <c r="H17" s="454"/>
      <c r="I17" s="556"/>
      <c r="J17" s="841"/>
      <c r="K17" s="557"/>
      <c r="L17" s="558" t="str">
        <f t="shared" si="0"/>
        <v/>
      </c>
      <c r="M17" s="401" t="str">
        <f>IF(ISERROR(IF(K17&gt;0,DATEDIF(K17,MIN('Existing Loans'!$C$1,L17),"m"),"")),0,IF(K17&gt;0,DATEDIF(K17,MIN('Existing Loans'!$C$1,L17),"m")+0,""))</f>
        <v/>
      </c>
      <c r="N17" s="401" t="str">
        <f t="shared" si="1"/>
        <v/>
      </c>
      <c r="O17" s="559"/>
      <c r="P17" s="454"/>
      <c r="Q17" s="832"/>
      <c r="R17" s="841"/>
      <c r="S17" s="841"/>
      <c r="T17" s="841"/>
      <c r="U17" s="841"/>
      <c r="V17" s="841"/>
      <c r="W17" s="560">
        <f t="shared" si="2"/>
        <v>0</v>
      </c>
      <c r="X17" s="226" t="str">
        <f t="shared" si="3"/>
        <v/>
      </c>
      <c r="AE17" s="226" t="s">
        <v>598</v>
      </c>
      <c r="AF17" s="226" t="s">
        <v>588</v>
      </c>
    </row>
    <row r="18" spans="1:32">
      <c r="A18" s="400">
        <v>15</v>
      </c>
      <c r="B18" s="472"/>
      <c r="C18" s="454"/>
      <c r="D18" s="472"/>
      <c r="E18" s="472"/>
      <c r="F18" s="472"/>
      <c r="G18" s="845"/>
      <c r="H18" s="454"/>
      <c r="I18" s="556"/>
      <c r="J18" s="841"/>
      <c r="K18" s="557"/>
      <c r="L18" s="558" t="str">
        <f t="shared" si="0"/>
        <v/>
      </c>
      <c r="M18" s="401" t="str">
        <f>IF(ISERROR(IF(K18&gt;0,DATEDIF(K18,MIN('Existing Loans'!$C$1,L18),"m"),"")),0,IF(K18&gt;0,DATEDIF(K18,MIN('Existing Loans'!$C$1,L18),"m")+0,""))</f>
        <v/>
      </c>
      <c r="N18" s="401" t="str">
        <f t="shared" si="1"/>
        <v/>
      </c>
      <c r="O18" s="559"/>
      <c r="P18" s="454"/>
      <c r="Q18" s="832"/>
      <c r="R18" s="841"/>
      <c r="S18" s="841"/>
      <c r="T18" s="841"/>
      <c r="U18" s="841"/>
      <c r="V18" s="841"/>
      <c r="W18" s="560">
        <f t="shared" si="2"/>
        <v>0</v>
      </c>
      <c r="X18" s="226" t="str">
        <f t="shared" si="3"/>
        <v/>
      </c>
      <c r="AE18" s="226" t="s">
        <v>599</v>
      </c>
      <c r="AF18" s="226" t="s">
        <v>600</v>
      </c>
    </row>
    <row r="19" spans="1:32">
      <c r="A19" s="400">
        <v>16</v>
      </c>
      <c r="B19" s="472"/>
      <c r="C19" s="454"/>
      <c r="D19" s="472"/>
      <c r="E19" s="472"/>
      <c r="F19" s="472"/>
      <c r="G19" s="845"/>
      <c r="H19" s="454"/>
      <c r="I19" s="556"/>
      <c r="J19" s="454"/>
      <c r="K19" s="557"/>
      <c r="L19" s="558" t="str">
        <f t="shared" si="0"/>
        <v/>
      </c>
      <c r="M19" s="401" t="str">
        <f>IF(ISERROR(IF(K19&gt;0,DATEDIF(K19,MIN('Existing Loans'!$C$1,L19),"m"),"")),0,IF(K19&gt;0,DATEDIF(K19,MIN('Existing Loans'!$C$1,L19),"m")+0,""))</f>
        <v/>
      </c>
      <c r="N19" s="401" t="str">
        <f t="shared" si="1"/>
        <v/>
      </c>
      <c r="O19" s="559"/>
      <c r="P19" s="454"/>
      <c r="Q19" s="832"/>
      <c r="R19" s="841"/>
      <c r="S19" s="841"/>
      <c r="T19" s="841"/>
      <c r="U19" s="841"/>
      <c r="V19" s="841"/>
      <c r="W19" s="560">
        <f t="shared" si="2"/>
        <v>0</v>
      </c>
      <c r="X19" s="226" t="str">
        <f t="shared" si="3"/>
        <v/>
      </c>
      <c r="AE19" s="226" t="s">
        <v>601</v>
      </c>
      <c r="AF19" s="226" t="s">
        <v>602</v>
      </c>
    </row>
    <row r="20" spans="1:32">
      <c r="A20" s="400">
        <v>17</v>
      </c>
      <c r="B20" s="472"/>
      <c r="C20" s="454"/>
      <c r="D20" s="472"/>
      <c r="E20" s="472"/>
      <c r="F20" s="472"/>
      <c r="G20" s="845"/>
      <c r="H20" s="454"/>
      <c r="I20" s="556"/>
      <c r="J20" s="454"/>
      <c r="K20" s="557"/>
      <c r="L20" s="558" t="str">
        <f t="shared" si="0"/>
        <v/>
      </c>
      <c r="M20" s="401" t="str">
        <f>IF(ISERROR(IF(K20&gt;0,DATEDIF(K20,MIN('Existing Loans'!$C$1,L20),"m"),"")),0,IF(K20&gt;0,DATEDIF(K20,MIN('Existing Loans'!$C$1,L20),"m")+0,""))</f>
        <v/>
      </c>
      <c r="N20" s="401" t="str">
        <f t="shared" si="1"/>
        <v/>
      </c>
      <c r="O20" s="559"/>
      <c r="P20" s="454"/>
      <c r="Q20" s="832"/>
      <c r="R20" s="841"/>
      <c r="S20" s="841"/>
      <c r="T20" s="841"/>
      <c r="U20" s="841"/>
      <c r="V20" s="841"/>
      <c r="W20" s="560">
        <f t="shared" si="2"/>
        <v>0</v>
      </c>
      <c r="X20" s="226" t="str">
        <f t="shared" si="3"/>
        <v/>
      </c>
      <c r="AE20" s="226" t="s">
        <v>603</v>
      </c>
      <c r="AF20" s="226" t="s">
        <v>604</v>
      </c>
    </row>
    <row r="21" spans="1:32">
      <c r="A21" s="400">
        <v>18</v>
      </c>
      <c r="B21" s="472"/>
      <c r="C21" s="454"/>
      <c r="D21" s="472"/>
      <c r="E21" s="472"/>
      <c r="F21" s="472"/>
      <c r="G21" s="845"/>
      <c r="H21" s="454"/>
      <c r="I21" s="556"/>
      <c r="J21" s="454"/>
      <c r="K21" s="557"/>
      <c r="L21" s="558" t="str">
        <f t="shared" si="0"/>
        <v/>
      </c>
      <c r="M21" s="401" t="str">
        <f>IF(ISERROR(IF(K21&gt;0,DATEDIF(K21,MIN('Existing Loans'!$C$1,L21),"m"),"")),0,IF(K21&gt;0,DATEDIF(K21,MIN('Existing Loans'!$C$1,L21),"m")+0,""))</f>
        <v/>
      </c>
      <c r="N21" s="401" t="str">
        <f t="shared" si="1"/>
        <v/>
      </c>
      <c r="O21" s="559"/>
      <c r="P21" s="454"/>
      <c r="Q21" s="832"/>
      <c r="R21" s="841"/>
      <c r="S21" s="841"/>
      <c r="T21" s="841"/>
      <c r="U21" s="841"/>
      <c r="V21" s="841"/>
      <c r="W21" s="560">
        <f t="shared" si="2"/>
        <v>0</v>
      </c>
      <c r="X21" s="226" t="str">
        <f t="shared" si="3"/>
        <v/>
      </c>
      <c r="AE21" s="226" t="s">
        <v>586</v>
      </c>
      <c r="AF21" s="226" t="s">
        <v>605</v>
      </c>
    </row>
    <row r="22" spans="1:32">
      <c r="A22" s="400">
        <v>19</v>
      </c>
      <c r="B22" s="472"/>
      <c r="C22" s="454"/>
      <c r="D22" s="472"/>
      <c r="E22" s="472"/>
      <c r="F22" s="472"/>
      <c r="G22" s="845"/>
      <c r="H22" s="454"/>
      <c r="I22" s="556"/>
      <c r="J22" s="841"/>
      <c r="K22" s="557"/>
      <c r="L22" s="558" t="str">
        <f t="shared" si="0"/>
        <v/>
      </c>
      <c r="M22" s="401" t="str">
        <f>IF(ISERROR(IF(K22&gt;0,DATEDIF(K22,MIN('Existing Loans'!$C$1,L22),"m"),"")),0,IF(K22&gt;0,DATEDIF(K22,MIN('Existing Loans'!$C$1,L22),"m")+0,""))</f>
        <v/>
      </c>
      <c r="N22" s="401" t="str">
        <f t="shared" si="1"/>
        <v/>
      </c>
      <c r="O22" s="559"/>
      <c r="P22" s="841"/>
      <c r="Q22" s="841"/>
      <c r="R22" s="841"/>
      <c r="S22" s="841"/>
      <c r="T22" s="841"/>
      <c r="U22" s="841"/>
      <c r="V22" s="841"/>
      <c r="W22" s="560">
        <f t="shared" si="2"/>
        <v>0</v>
      </c>
      <c r="X22" s="226" t="str">
        <f t="shared" si="3"/>
        <v/>
      </c>
      <c r="AE22" s="226" t="s">
        <v>606</v>
      </c>
    </row>
    <row r="23" spans="1:32">
      <c r="A23" s="400">
        <v>21</v>
      </c>
      <c r="B23" s="472"/>
      <c r="C23" s="454"/>
      <c r="D23" s="472"/>
      <c r="E23" s="472"/>
      <c r="F23" s="472"/>
      <c r="G23" s="845"/>
      <c r="H23" s="454"/>
      <c r="I23" s="556"/>
      <c r="J23" s="454"/>
      <c r="K23" s="557"/>
      <c r="L23" s="558" t="str">
        <f t="shared" si="0"/>
        <v/>
      </c>
      <c r="M23" s="401" t="str">
        <f>IF(ISERROR(IF(K23&gt;0,DATEDIF(K23,MIN('Existing Loans'!$C$1,L23),"m"),"")),0,IF(K23&gt;0,DATEDIF(K23,MIN('Existing Loans'!$C$1,L23),"m")+0,""))</f>
        <v/>
      </c>
      <c r="N23" s="401" t="str">
        <f t="shared" si="1"/>
        <v/>
      </c>
      <c r="O23" s="559"/>
      <c r="P23" s="454"/>
      <c r="Q23" s="832"/>
      <c r="R23" s="841"/>
      <c r="S23" s="841"/>
      <c r="T23" s="841"/>
      <c r="U23" s="841"/>
      <c r="V23" s="841"/>
      <c r="W23" s="560">
        <f t="shared" si="2"/>
        <v>0</v>
      </c>
      <c r="X23" s="226" t="str">
        <f t="shared" si="3"/>
        <v/>
      </c>
      <c r="AE23" s="226" t="s">
        <v>607</v>
      </c>
    </row>
    <row r="24" spans="1:32">
      <c r="A24" s="400">
        <v>22</v>
      </c>
      <c r="B24" s="472"/>
      <c r="C24" s="454"/>
      <c r="D24" s="472"/>
      <c r="E24" s="472"/>
      <c r="F24" s="472"/>
      <c r="G24" s="845"/>
      <c r="H24" s="454"/>
      <c r="I24" s="556"/>
      <c r="J24" s="454"/>
      <c r="K24" s="557"/>
      <c r="L24" s="558" t="str">
        <f t="shared" si="0"/>
        <v/>
      </c>
      <c r="M24" s="401" t="str">
        <f>IF(ISERROR(IF(K24&gt;0,DATEDIF(K24,MIN('Existing Loans'!$C$1,L24),"m"),"")),0,IF(K24&gt;0,DATEDIF(K24,MIN('Existing Loans'!$C$1,L24),"m")+0,""))</f>
        <v/>
      </c>
      <c r="N24" s="401" t="str">
        <f t="shared" si="1"/>
        <v/>
      </c>
      <c r="O24" s="559"/>
      <c r="P24" s="454"/>
      <c r="Q24" s="832"/>
      <c r="R24" s="841"/>
      <c r="S24" s="841"/>
      <c r="T24" s="841"/>
      <c r="U24" s="841"/>
      <c r="V24" s="841"/>
      <c r="W24" s="560">
        <f t="shared" si="2"/>
        <v>0</v>
      </c>
      <c r="X24" s="226" t="str">
        <f t="shared" si="3"/>
        <v/>
      </c>
      <c r="AE24" s="226" t="s">
        <v>608</v>
      </c>
    </row>
    <row r="25" spans="1:32">
      <c r="A25" s="400">
        <v>23</v>
      </c>
      <c r="B25" s="472"/>
      <c r="C25" s="841"/>
      <c r="D25" s="472"/>
      <c r="E25" s="472"/>
      <c r="F25" s="472"/>
      <c r="G25" s="845"/>
      <c r="H25" s="389"/>
      <c r="I25" s="556"/>
      <c r="J25" s="841"/>
      <c r="K25" s="557"/>
      <c r="L25" s="558" t="str">
        <f t="shared" si="0"/>
        <v/>
      </c>
      <c r="M25" s="401" t="str">
        <f>IF(ISERROR(IF(K25&gt;0,DATEDIF(K25,MIN('Existing Loans'!$C$1,L25),"m"),"")),0,IF(K25&gt;0,DATEDIF(K25,MIN('Existing Loans'!$C$1,L25),"m")+0,""))</f>
        <v/>
      </c>
      <c r="N25" s="401" t="str">
        <f t="shared" si="1"/>
        <v/>
      </c>
      <c r="O25" s="559"/>
      <c r="P25" s="454"/>
      <c r="Q25" s="832"/>
      <c r="R25" s="841"/>
      <c r="S25" s="841"/>
      <c r="T25" s="841"/>
      <c r="U25" s="841"/>
      <c r="V25" s="841"/>
      <c r="W25" s="560">
        <f t="shared" si="2"/>
        <v>0</v>
      </c>
      <c r="X25" s="226" t="str">
        <f t="shared" si="3"/>
        <v/>
      </c>
      <c r="AE25" s="226" t="s">
        <v>247</v>
      </c>
    </row>
    <row r="26" spans="1:32">
      <c r="A26" s="400">
        <v>24</v>
      </c>
      <c r="B26" s="472"/>
      <c r="C26" s="454"/>
      <c r="D26" s="472"/>
      <c r="E26" s="472"/>
      <c r="F26" s="472"/>
      <c r="G26" s="845"/>
      <c r="H26" s="454"/>
      <c r="I26" s="556"/>
      <c r="J26" s="454"/>
      <c r="K26" s="557"/>
      <c r="L26" s="558" t="str">
        <f t="shared" si="0"/>
        <v/>
      </c>
      <c r="M26" s="401" t="str">
        <f>IF(ISERROR(IF(K26&gt;0,DATEDIF(K26,MIN('Existing Loans'!$C$1,L26),"m"),"")),0,IF(K26&gt;0,DATEDIF(K26,MIN('Existing Loans'!$C$1,L26),"m")+0,""))</f>
        <v/>
      </c>
      <c r="N26" s="401" t="str">
        <f t="shared" si="1"/>
        <v/>
      </c>
      <c r="O26" s="559"/>
      <c r="P26" s="454"/>
      <c r="Q26" s="832"/>
      <c r="R26" s="832"/>
      <c r="S26" s="832"/>
      <c r="T26" s="832"/>
      <c r="U26" s="832"/>
      <c r="V26" s="832"/>
      <c r="W26" s="560">
        <f t="shared" si="2"/>
        <v>0</v>
      </c>
      <c r="X26" s="226" t="str">
        <f t="shared" si="3"/>
        <v/>
      </c>
    </row>
    <row r="27" spans="1:32">
      <c r="A27" s="400">
        <v>25</v>
      </c>
      <c r="B27" s="472"/>
      <c r="C27" s="841"/>
      <c r="D27" s="472"/>
      <c r="E27" s="472"/>
      <c r="F27" s="472"/>
      <c r="G27" s="847"/>
      <c r="H27" s="841"/>
      <c r="I27" s="556"/>
      <c r="J27" s="841"/>
      <c r="K27" s="557"/>
      <c r="L27" s="558" t="str">
        <f t="shared" si="0"/>
        <v/>
      </c>
      <c r="M27" s="401" t="str">
        <f>IF(ISERROR(IF(K27&gt;0,DATEDIF(K27,MIN('Existing Loans'!$C$1,L27),"m"),"")),0,IF(K27&gt;0,DATEDIF(K27,MIN('Existing Loans'!$C$1,L27),"m")+0,""))</f>
        <v/>
      </c>
      <c r="N27" s="401" t="str">
        <f t="shared" si="1"/>
        <v/>
      </c>
      <c r="O27" s="559"/>
      <c r="P27" s="454"/>
      <c r="Q27" s="832"/>
      <c r="R27" s="832"/>
      <c r="S27" s="832"/>
      <c r="T27" s="832"/>
      <c r="U27" s="832"/>
      <c r="V27" s="832"/>
      <c r="W27" s="560">
        <f t="shared" si="2"/>
        <v>0</v>
      </c>
      <c r="X27" s="226" t="str">
        <f t="shared" si="3"/>
        <v/>
      </c>
    </row>
    <row r="28" spans="1:32">
      <c r="A28" s="400">
        <v>26</v>
      </c>
      <c r="B28" s="472"/>
      <c r="C28" s="841"/>
      <c r="D28" s="472"/>
      <c r="E28" s="472"/>
      <c r="F28" s="472"/>
      <c r="G28" s="847"/>
      <c r="H28" s="454"/>
      <c r="I28" s="556"/>
      <c r="J28" s="841"/>
      <c r="K28" s="557"/>
      <c r="L28" s="558" t="str">
        <f t="shared" si="0"/>
        <v/>
      </c>
      <c r="M28" s="401" t="str">
        <f>IF(ISERROR(IF(K28&gt;0,DATEDIF(K28,MIN('Existing Loans'!$C$1,L28),"m"),"")),0,IF(K28&gt;0,DATEDIF(K28,MIN('Existing Loans'!$C$1,L28),"m")+0,""))</f>
        <v/>
      </c>
      <c r="N28" s="401" t="str">
        <f t="shared" si="1"/>
        <v/>
      </c>
      <c r="O28" s="559"/>
      <c r="P28" s="454"/>
      <c r="Q28" s="832"/>
      <c r="R28" s="832"/>
      <c r="S28" s="832"/>
      <c r="T28" s="832"/>
      <c r="U28" s="832"/>
      <c r="V28" s="832"/>
      <c r="W28" s="560">
        <f t="shared" si="2"/>
        <v>0</v>
      </c>
      <c r="X28" s="226" t="str">
        <f t="shared" si="3"/>
        <v/>
      </c>
    </row>
    <row r="29" spans="1:32">
      <c r="A29" s="400">
        <v>27</v>
      </c>
      <c r="B29" s="472"/>
      <c r="C29" s="454"/>
      <c r="D29" s="472"/>
      <c r="E29" s="472"/>
      <c r="F29" s="472"/>
      <c r="G29" s="454"/>
      <c r="H29" s="454"/>
      <c r="I29" s="561"/>
      <c r="J29" s="454"/>
      <c r="K29" s="557"/>
      <c r="L29" s="558" t="str">
        <f t="shared" si="0"/>
        <v/>
      </c>
      <c r="M29" s="401" t="str">
        <f>IF(ISERROR(IF(K29&gt;0,DATEDIF(K29,MIN('Existing Loans'!$C$1,L29),"m"),"")),0,IF(K29&gt;0,DATEDIF(K29,MIN('Existing Loans'!$C$1,L29),"m")+0,""))</f>
        <v/>
      </c>
      <c r="N29" s="401" t="str">
        <f t="shared" si="1"/>
        <v/>
      </c>
      <c r="O29" s="559"/>
      <c r="P29" s="454"/>
      <c r="Q29" s="832"/>
      <c r="R29" s="832"/>
      <c r="S29" s="832"/>
      <c r="T29" s="832"/>
      <c r="U29" s="832"/>
      <c r="V29" s="832"/>
      <c r="W29" s="560">
        <f t="shared" si="2"/>
        <v>0</v>
      </c>
      <c r="X29" s="226" t="str">
        <f t="shared" si="3"/>
        <v/>
      </c>
    </row>
    <row r="30" spans="1:32">
      <c r="A30" s="400">
        <v>28</v>
      </c>
      <c r="B30" s="472"/>
      <c r="C30" s="454"/>
      <c r="D30" s="472"/>
      <c r="E30" s="472"/>
      <c r="F30" s="472"/>
      <c r="G30" s="454"/>
      <c r="H30" s="851"/>
      <c r="I30" s="851"/>
      <c r="J30" s="851"/>
      <c r="K30" s="557"/>
      <c r="L30" s="558" t="str">
        <f t="shared" si="0"/>
        <v/>
      </c>
      <c r="M30" s="401" t="str">
        <f>IF(ISERROR(IF(K30&gt;0,DATEDIF(K30,MIN('Existing Loans'!$C$1,L30),"m"),"")),0,IF(K30&gt;0,DATEDIF(K30,MIN('Existing Loans'!$C$1,L30),"m")+0,""))</f>
        <v/>
      </c>
      <c r="N30" s="401" t="str">
        <f t="shared" si="1"/>
        <v/>
      </c>
      <c r="O30" s="454"/>
      <c r="P30" s="454"/>
      <c r="Q30" s="832"/>
      <c r="R30" s="832"/>
      <c r="S30" s="832"/>
      <c r="T30" s="832"/>
      <c r="U30" s="832"/>
      <c r="V30" s="832"/>
      <c r="W30" s="560">
        <f t="shared" si="2"/>
        <v>0</v>
      </c>
      <c r="X30" s="226" t="str">
        <f t="shared" si="3"/>
        <v/>
      </c>
    </row>
    <row r="31" spans="1:32">
      <c r="A31" s="400">
        <v>29</v>
      </c>
      <c r="B31" s="472"/>
      <c r="C31" s="841"/>
      <c r="D31" s="472"/>
      <c r="E31" s="472"/>
      <c r="F31" s="472"/>
      <c r="G31" s="454"/>
      <c r="H31" s="851"/>
      <c r="I31" s="851"/>
      <c r="J31" s="851"/>
      <c r="K31" s="557"/>
      <c r="L31" s="558" t="str">
        <f t="shared" si="0"/>
        <v/>
      </c>
      <c r="M31" s="401" t="str">
        <f>IF(ISERROR(IF(K31&gt;0,DATEDIF(K31,MIN('Existing Loans'!$C$1,L31),"m"),"")),0,IF(K31&gt;0,DATEDIF(K31,MIN('Existing Loans'!$C$1,L31),"m")+0,""))</f>
        <v/>
      </c>
      <c r="N31" s="401" t="str">
        <f t="shared" si="1"/>
        <v/>
      </c>
      <c r="O31" s="841"/>
      <c r="P31" s="454"/>
      <c r="Q31" s="832"/>
      <c r="R31" s="832"/>
      <c r="S31" s="832"/>
      <c r="T31" s="832"/>
      <c r="U31" s="832"/>
      <c r="V31" s="832"/>
      <c r="W31" s="560">
        <f t="shared" si="2"/>
        <v>0</v>
      </c>
      <c r="X31" s="226" t="str">
        <f t="shared" si="3"/>
        <v/>
      </c>
    </row>
    <row r="32" spans="1:32">
      <c r="A32" s="400">
        <v>30</v>
      </c>
      <c r="B32" s="472"/>
      <c r="C32" s="841"/>
      <c r="D32" s="472"/>
      <c r="E32" s="472"/>
      <c r="F32" s="472"/>
      <c r="G32" s="846"/>
      <c r="H32" s="851"/>
      <c r="I32" s="851"/>
      <c r="J32" s="851"/>
      <c r="K32" s="557"/>
      <c r="L32" s="558" t="str">
        <f t="shared" si="0"/>
        <v/>
      </c>
      <c r="M32" s="401" t="str">
        <f>IF(ISERROR(IF(K32&gt;0,DATEDIF(K32,MIN('Existing Loans'!$C$1,L32),"m"),"")),0,IF(K32&gt;0,DATEDIF(K32,MIN('Existing Loans'!$C$1,L32),"m")+0,""))</f>
        <v/>
      </c>
      <c r="N32" s="401" t="str">
        <f t="shared" si="1"/>
        <v/>
      </c>
      <c r="O32" s="559"/>
      <c r="P32" s="454"/>
      <c r="Q32" s="832"/>
      <c r="R32" s="841"/>
      <c r="S32" s="841"/>
      <c r="T32" s="841"/>
      <c r="U32" s="841"/>
      <c r="V32" s="841"/>
      <c r="W32" s="560">
        <f t="shared" si="2"/>
        <v>0</v>
      </c>
      <c r="X32" s="226" t="str">
        <f t="shared" si="3"/>
        <v/>
      </c>
    </row>
    <row r="33" spans="1:24">
      <c r="A33" s="400">
        <v>31</v>
      </c>
      <c r="B33" s="472"/>
      <c r="C33" s="454"/>
      <c r="D33" s="472"/>
      <c r="E33" s="472"/>
      <c r="F33" s="472"/>
      <c r="G33" s="454"/>
      <c r="H33" s="454"/>
      <c r="I33" s="561"/>
      <c r="J33" s="454"/>
      <c r="K33" s="454"/>
      <c r="L33" s="558" t="str">
        <f t="shared" si="0"/>
        <v/>
      </c>
      <c r="M33" s="401" t="str">
        <f>IF(ISERROR(IF(K33&gt;0,DATEDIF(K33,MIN('Existing Loans'!$C$1,L33),"m"),"")),0,IF(K33&gt;0,DATEDIF(K33,MIN('Existing Loans'!$C$1,L33),"m")+0,""))</f>
        <v/>
      </c>
      <c r="N33" s="401" t="str">
        <f t="shared" si="1"/>
        <v/>
      </c>
      <c r="O33" s="454"/>
      <c r="P33" s="454"/>
      <c r="Q33" s="832"/>
      <c r="R33" s="832"/>
      <c r="S33" s="832"/>
      <c r="T33" s="832"/>
      <c r="U33" s="832"/>
      <c r="V33" s="832"/>
      <c r="W33" s="560">
        <f t="shared" si="2"/>
        <v>0</v>
      </c>
      <c r="X33" s="226" t="str">
        <f t="shared" si="3"/>
        <v/>
      </c>
    </row>
    <row r="34" spans="1:24">
      <c r="A34" s="400">
        <v>32</v>
      </c>
      <c r="B34" s="472"/>
      <c r="C34" s="454"/>
      <c r="D34" s="472"/>
      <c r="E34" s="472"/>
      <c r="F34" s="472"/>
      <c r="G34" s="454"/>
      <c r="H34" s="454"/>
      <c r="I34" s="561"/>
      <c r="J34" s="454"/>
      <c r="K34" s="454"/>
      <c r="L34" s="558" t="str">
        <f t="shared" si="0"/>
        <v/>
      </c>
      <c r="M34" s="401" t="str">
        <f>IF(ISERROR(IF(K34&gt;0,DATEDIF(K34,MIN('Existing Loans'!$C$1,L34),"m"),"")),0,IF(K34&gt;0,DATEDIF(K34,MIN('Existing Loans'!$C$1,L34),"m")+0,""))</f>
        <v/>
      </c>
      <c r="N34" s="401" t="str">
        <f t="shared" si="1"/>
        <v/>
      </c>
      <c r="O34" s="454"/>
      <c r="P34" s="454"/>
      <c r="Q34" s="832"/>
      <c r="R34" s="832"/>
      <c r="S34" s="832"/>
      <c r="T34" s="832"/>
      <c r="U34" s="832"/>
      <c r="V34" s="832"/>
      <c r="W34" s="560">
        <f t="shared" si="2"/>
        <v>0</v>
      </c>
      <c r="X34" s="226" t="str">
        <f t="shared" si="3"/>
        <v/>
      </c>
    </row>
    <row r="35" spans="1:24">
      <c r="A35" s="400">
        <v>33</v>
      </c>
      <c r="B35" s="472"/>
      <c r="C35" s="454"/>
      <c r="D35" s="472"/>
      <c r="E35" s="472"/>
      <c r="F35" s="472"/>
      <c r="G35" s="454"/>
      <c r="H35" s="454"/>
      <c r="I35" s="561"/>
      <c r="J35" s="454"/>
      <c r="K35" s="454"/>
      <c r="L35" s="558" t="str">
        <f t="shared" si="0"/>
        <v/>
      </c>
      <c r="M35" s="401" t="str">
        <f>IF(ISERROR(IF(K35&gt;0,DATEDIF(K35,MIN('Existing Loans'!$C$1,L35),"m"),"")),0,IF(K35&gt;0,DATEDIF(K35,MIN('Existing Loans'!$C$1,L35),"m")+0,""))</f>
        <v/>
      </c>
      <c r="N35" s="401" t="str">
        <f t="shared" si="1"/>
        <v/>
      </c>
      <c r="O35" s="454"/>
      <c r="P35" s="454"/>
      <c r="Q35" s="832"/>
      <c r="R35" s="832"/>
      <c r="S35" s="832"/>
      <c r="T35" s="832"/>
      <c r="U35" s="832"/>
      <c r="V35" s="832"/>
      <c r="W35" s="560">
        <f t="shared" si="2"/>
        <v>0</v>
      </c>
      <c r="X35" s="226" t="str">
        <f t="shared" si="3"/>
        <v/>
      </c>
    </row>
    <row r="36" spans="1:24">
      <c r="A36" s="400">
        <v>34</v>
      </c>
      <c r="B36" s="472"/>
      <c r="C36" s="454"/>
      <c r="D36" s="472"/>
      <c r="E36" s="472"/>
      <c r="F36" s="472"/>
      <c r="G36" s="454"/>
      <c r="H36" s="454"/>
      <c r="I36" s="561"/>
      <c r="J36" s="454"/>
      <c r="K36" s="454"/>
      <c r="L36" s="558" t="str">
        <f t="shared" ref="L36:L67" si="4">IF(AND(J36&gt;0,K36&gt;0),DATE(YEAR(K36),MONTH(K36)+J36+IF(DAY(K36)&lt;=15,0,1),DAY(K36)),"")</f>
        <v/>
      </c>
      <c r="M36" s="401" t="str">
        <f>IF(ISERROR(IF(K36&gt;0,DATEDIF(K36,MIN('Existing Loans'!$C$1,L36),"m"),"")),0,IF(K36&gt;0,DATEDIF(K36,MIN('Existing Loans'!$C$1,L36),"m")+0,""))</f>
        <v/>
      </c>
      <c r="N36" s="401" t="str">
        <f t="shared" ref="N36:N67" si="5">IF(J36="","",J36-M36)</f>
        <v/>
      </c>
      <c r="O36" s="454"/>
      <c r="P36" s="454"/>
      <c r="Q36" s="832"/>
      <c r="R36" s="832"/>
      <c r="S36" s="832"/>
      <c r="T36" s="832"/>
      <c r="U36" s="832"/>
      <c r="V36" s="832"/>
      <c r="W36" s="560">
        <f t="shared" ref="W36:W67" si="6">IF(AND(F36="Live",N36&gt;6),H36,0)</f>
        <v>0</v>
      </c>
      <c r="X36" s="226" t="str">
        <f t="shared" ref="X36:X67" si="7">B36&amp;E36</f>
        <v/>
      </c>
    </row>
    <row r="37" spans="1:24">
      <c r="A37" s="400">
        <v>35</v>
      </c>
      <c r="B37" s="472"/>
      <c r="C37" s="454"/>
      <c r="D37" s="472"/>
      <c r="E37" s="472"/>
      <c r="F37" s="472"/>
      <c r="G37" s="454"/>
      <c r="H37" s="454"/>
      <c r="I37" s="561"/>
      <c r="J37" s="454"/>
      <c r="K37" s="454"/>
      <c r="L37" s="558" t="str">
        <f t="shared" si="4"/>
        <v/>
      </c>
      <c r="M37" s="401" t="str">
        <f>IF(ISERROR(IF(K37&gt;0,DATEDIF(K37,MIN('Existing Loans'!$C$1,L37),"m"),"")),0,IF(K37&gt;0,DATEDIF(K37,MIN('Existing Loans'!$C$1,L37),"m")+0,""))</f>
        <v/>
      </c>
      <c r="N37" s="401" t="str">
        <f t="shared" si="5"/>
        <v/>
      </c>
      <c r="O37" s="454"/>
      <c r="P37" s="454"/>
      <c r="Q37" s="832"/>
      <c r="R37" s="832"/>
      <c r="S37" s="832"/>
      <c r="T37" s="832"/>
      <c r="U37" s="832"/>
      <c r="V37" s="832"/>
      <c r="W37" s="560">
        <f t="shared" si="6"/>
        <v>0</v>
      </c>
      <c r="X37" s="226" t="str">
        <f t="shared" si="7"/>
        <v/>
      </c>
    </row>
    <row r="38" spans="1:24">
      <c r="A38" s="400">
        <v>36</v>
      </c>
      <c r="B38" s="472"/>
      <c r="C38" s="454"/>
      <c r="D38" s="472"/>
      <c r="E38" s="472"/>
      <c r="F38" s="472"/>
      <c r="G38" s="454"/>
      <c r="H38" s="454"/>
      <c r="I38" s="561"/>
      <c r="J38" s="454"/>
      <c r="K38" s="454"/>
      <c r="L38" s="558" t="str">
        <f t="shared" si="4"/>
        <v/>
      </c>
      <c r="M38" s="401" t="str">
        <f>IF(ISERROR(IF(K38&gt;0,DATEDIF(K38,MIN('Existing Loans'!$C$1,L38),"m"),"")),0,IF(K38&gt;0,DATEDIF(K38,MIN('Existing Loans'!$C$1,L38),"m")+0,""))</f>
        <v/>
      </c>
      <c r="N38" s="401" t="str">
        <f t="shared" si="5"/>
        <v/>
      </c>
      <c r="O38" s="454"/>
      <c r="P38" s="454"/>
      <c r="Q38" s="832"/>
      <c r="R38" s="832"/>
      <c r="S38" s="832"/>
      <c r="T38" s="832"/>
      <c r="U38" s="832"/>
      <c r="V38" s="832"/>
      <c r="W38" s="560">
        <f t="shared" si="6"/>
        <v>0</v>
      </c>
      <c r="X38" s="226" t="str">
        <f t="shared" si="7"/>
        <v/>
      </c>
    </row>
    <row r="39" spans="1:24">
      <c r="A39" s="400">
        <v>37</v>
      </c>
      <c r="B39" s="472"/>
      <c r="C39" s="454"/>
      <c r="D39" s="472"/>
      <c r="E39" s="472"/>
      <c r="F39" s="472"/>
      <c r="G39" s="454"/>
      <c r="H39" s="454"/>
      <c r="I39" s="561"/>
      <c r="J39" s="454"/>
      <c r="K39" s="454"/>
      <c r="L39" s="558" t="str">
        <f t="shared" si="4"/>
        <v/>
      </c>
      <c r="M39" s="401" t="str">
        <f>IF(ISERROR(IF(K39&gt;0,DATEDIF(K39,MIN('Existing Loans'!$C$1,L39),"m"),"")),0,IF(K39&gt;0,DATEDIF(K39,MIN('Existing Loans'!$C$1,L39),"m")+0,""))</f>
        <v/>
      </c>
      <c r="N39" s="401" t="str">
        <f t="shared" si="5"/>
        <v/>
      </c>
      <c r="O39" s="454"/>
      <c r="P39" s="454"/>
      <c r="Q39" s="832"/>
      <c r="R39" s="832"/>
      <c r="S39" s="832"/>
      <c r="T39" s="832"/>
      <c r="U39" s="832"/>
      <c r="V39" s="832"/>
      <c r="W39" s="560">
        <f t="shared" si="6"/>
        <v>0</v>
      </c>
      <c r="X39" s="226" t="str">
        <f t="shared" si="7"/>
        <v/>
      </c>
    </row>
    <row r="40" spans="1:24">
      <c r="A40" s="400">
        <v>38</v>
      </c>
      <c r="B40" s="472"/>
      <c r="C40" s="454"/>
      <c r="D40" s="472"/>
      <c r="E40" s="472"/>
      <c r="F40" s="472"/>
      <c r="G40" s="454"/>
      <c r="H40" s="454"/>
      <c r="I40" s="561"/>
      <c r="J40" s="454"/>
      <c r="K40" s="454"/>
      <c r="L40" s="558" t="str">
        <f t="shared" si="4"/>
        <v/>
      </c>
      <c r="M40" s="401" t="str">
        <f>IF(ISERROR(IF(K40&gt;0,DATEDIF(K40,MIN('Existing Loans'!$C$1,L40),"m"),"")),0,IF(K40&gt;0,DATEDIF(K40,MIN('Existing Loans'!$C$1,L40),"m")+0,""))</f>
        <v/>
      </c>
      <c r="N40" s="401" t="str">
        <f t="shared" si="5"/>
        <v/>
      </c>
      <c r="O40" s="454"/>
      <c r="P40" s="454"/>
      <c r="Q40" s="832"/>
      <c r="R40" s="832"/>
      <c r="S40" s="832"/>
      <c r="T40" s="832"/>
      <c r="U40" s="832"/>
      <c r="V40" s="832"/>
      <c r="W40" s="560">
        <f t="shared" si="6"/>
        <v>0</v>
      </c>
      <c r="X40" s="226" t="str">
        <f t="shared" si="7"/>
        <v/>
      </c>
    </row>
    <row r="41" spans="1:24">
      <c r="A41" s="400">
        <v>39</v>
      </c>
      <c r="B41" s="472"/>
      <c r="C41" s="454"/>
      <c r="D41" s="472"/>
      <c r="E41" s="472"/>
      <c r="F41" s="472"/>
      <c r="G41" s="454"/>
      <c r="H41" s="454"/>
      <c r="I41" s="561"/>
      <c r="J41" s="454"/>
      <c r="K41" s="454"/>
      <c r="L41" s="558" t="str">
        <f t="shared" si="4"/>
        <v/>
      </c>
      <c r="M41" s="401" t="str">
        <f>IF(ISERROR(IF(K41&gt;0,DATEDIF(K41,MIN('Existing Loans'!$C$1,L41),"m"),"")),0,IF(K41&gt;0,DATEDIF(K41,MIN('Existing Loans'!$C$1,L41),"m")+0,""))</f>
        <v/>
      </c>
      <c r="N41" s="401" t="str">
        <f t="shared" si="5"/>
        <v/>
      </c>
      <c r="O41" s="454"/>
      <c r="P41" s="454"/>
      <c r="Q41" s="832"/>
      <c r="R41" s="832"/>
      <c r="S41" s="832"/>
      <c r="T41" s="832"/>
      <c r="U41" s="832"/>
      <c r="V41" s="832"/>
      <c r="W41" s="560">
        <f t="shared" si="6"/>
        <v>0</v>
      </c>
      <c r="X41" s="226" t="str">
        <f t="shared" si="7"/>
        <v/>
      </c>
    </row>
    <row r="42" spans="1:24">
      <c r="A42" s="400">
        <v>40</v>
      </c>
      <c r="B42" s="472"/>
      <c r="C42" s="454"/>
      <c r="D42" s="472"/>
      <c r="E42" s="472"/>
      <c r="F42" s="472"/>
      <c r="G42" s="454"/>
      <c r="H42" s="454"/>
      <c r="I42" s="561"/>
      <c r="J42" s="454"/>
      <c r="K42" s="454"/>
      <c r="L42" s="558" t="str">
        <f t="shared" si="4"/>
        <v/>
      </c>
      <c r="M42" s="401" t="str">
        <f>IF(ISERROR(IF(K42&gt;0,DATEDIF(K42,MIN('Existing Loans'!$C$1,L42),"m"),"")),0,IF(K42&gt;0,DATEDIF(K42,MIN('Existing Loans'!$C$1,L42),"m")+0,""))</f>
        <v/>
      </c>
      <c r="N42" s="401" t="str">
        <f t="shared" si="5"/>
        <v/>
      </c>
      <c r="O42" s="454"/>
      <c r="P42" s="454"/>
      <c r="Q42" s="832"/>
      <c r="R42" s="832"/>
      <c r="S42" s="832"/>
      <c r="T42" s="832"/>
      <c r="U42" s="832"/>
      <c r="V42" s="832"/>
      <c r="W42" s="560">
        <f t="shared" si="6"/>
        <v>0</v>
      </c>
      <c r="X42" s="226" t="str">
        <f t="shared" si="7"/>
        <v/>
      </c>
    </row>
    <row r="43" spans="1:24">
      <c r="A43" s="400">
        <v>41</v>
      </c>
      <c r="B43" s="472"/>
      <c r="C43" s="454"/>
      <c r="D43" s="472"/>
      <c r="E43" s="472"/>
      <c r="F43" s="472"/>
      <c r="G43" s="454"/>
      <c r="H43" s="454"/>
      <c r="I43" s="561"/>
      <c r="J43" s="454"/>
      <c r="K43" s="454"/>
      <c r="L43" s="558" t="str">
        <f t="shared" si="4"/>
        <v/>
      </c>
      <c r="M43" s="401" t="str">
        <f>IF(ISERROR(IF(K43&gt;0,DATEDIF(K43,MIN('Existing Loans'!$C$1,L43),"m"),"")),0,IF(K43&gt;0,DATEDIF(K43,MIN('Existing Loans'!$C$1,L43),"m")+0,""))</f>
        <v/>
      </c>
      <c r="N43" s="401" t="str">
        <f t="shared" si="5"/>
        <v/>
      </c>
      <c r="O43" s="454"/>
      <c r="P43" s="454"/>
      <c r="Q43" s="832"/>
      <c r="R43" s="832"/>
      <c r="S43" s="832"/>
      <c r="T43" s="832"/>
      <c r="U43" s="832"/>
      <c r="V43" s="832"/>
      <c r="W43" s="560">
        <f t="shared" si="6"/>
        <v>0</v>
      </c>
      <c r="X43" s="226" t="str">
        <f t="shared" si="7"/>
        <v/>
      </c>
    </row>
    <row r="44" spans="1:24">
      <c r="A44" s="400">
        <v>42</v>
      </c>
      <c r="B44" s="472"/>
      <c r="C44" s="454"/>
      <c r="D44" s="472"/>
      <c r="E44" s="472"/>
      <c r="F44" s="472"/>
      <c r="G44" s="454"/>
      <c r="H44" s="454"/>
      <c r="I44" s="561"/>
      <c r="J44" s="454"/>
      <c r="K44" s="454"/>
      <c r="L44" s="558" t="str">
        <f t="shared" si="4"/>
        <v/>
      </c>
      <c r="M44" s="401" t="str">
        <f>IF(ISERROR(IF(K44&gt;0,DATEDIF(K44,MIN('Existing Loans'!$C$1,L44),"m"),"")),0,IF(K44&gt;0,DATEDIF(K44,MIN('Existing Loans'!$C$1,L44),"m")+0,""))</f>
        <v/>
      </c>
      <c r="N44" s="401" t="str">
        <f t="shared" si="5"/>
        <v/>
      </c>
      <c r="O44" s="454"/>
      <c r="P44" s="454"/>
      <c r="Q44" s="832"/>
      <c r="R44" s="832"/>
      <c r="S44" s="832"/>
      <c r="T44" s="832"/>
      <c r="U44" s="832"/>
      <c r="V44" s="832"/>
      <c r="W44" s="560">
        <f t="shared" si="6"/>
        <v>0</v>
      </c>
      <c r="X44" s="226" t="str">
        <f t="shared" si="7"/>
        <v/>
      </c>
    </row>
    <row r="45" spans="1:24">
      <c r="A45" s="400">
        <v>43</v>
      </c>
      <c r="B45" s="472"/>
      <c r="C45" s="454"/>
      <c r="D45" s="472"/>
      <c r="E45" s="472"/>
      <c r="F45" s="472"/>
      <c r="G45" s="454"/>
      <c r="H45" s="454"/>
      <c r="I45" s="561"/>
      <c r="J45" s="454"/>
      <c r="K45" s="454"/>
      <c r="L45" s="558" t="str">
        <f t="shared" si="4"/>
        <v/>
      </c>
      <c r="M45" s="401" t="str">
        <f>IF(ISERROR(IF(K45&gt;0,DATEDIF(K45,MIN('Existing Loans'!$C$1,L45),"m"),"")),0,IF(K45&gt;0,DATEDIF(K45,MIN('Existing Loans'!$C$1,L45),"m")+0,""))</f>
        <v/>
      </c>
      <c r="N45" s="401" t="str">
        <f t="shared" si="5"/>
        <v/>
      </c>
      <c r="O45" s="454"/>
      <c r="P45" s="454"/>
      <c r="Q45" s="832"/>
      <c r="R45" s="832"/>
      <c r="S45" s="832"/>
      <c r="T45" s="832"/>
      <c r="U45" s="832"/>
      <c r="V45" s="832"/>
      <c r="W45" s="560">
        <f t="shared" si="6"/>
        <v>0</v>
      </c>
      <c r="X45" s="226" t="str">
        <f t="shared" si="7"/>
        <v/>
      </c>
    </row>
    <row r="46" spans="1:24">
      <c r="A46" s="400">
        <v>44</v>
      </c>
      <c r="B46" s="472"/>
      <c r="C46" s="454"/>
      <c r="D46" s="472"/>
      <c r="E46" s="472"/>
      <c r="F46" s="472"/>
      <c r="G46" s="454"/>
      <c r="H46" s="454"/>
      <c r="I46" s="561"/>
      <c r="J46" s="454"/>
      <c r="K46" s="454"/>
      <c r="L46" s="558" t="str">
        <f t="shared" si="4"/>
        <v/>
      </c>
      <c r="M46" s="401" t="str">
        <f>IF(ISERROR(IF(K46&gt;0,DATEDIF(K46,MIN('Existing Loans'!$C$1,L46),"m"),"")),0,IF(K46&gt;0,DATEDIF(K46,MIN('Existing Loans'!$C$1,L46),"m")+0,""))</f>
        <v/>
      </c>
      <c r="N46" s="401" t="str">
        <f t="shared" si="5"/>
        <v/>
      </c>
      <c r="O46" s="454"/>
      <c r="P46" s="454"/>
      <c r="Q46" s="832"/>
      <c r="R46" s="832"/>
      <c r="S46" s="832"/>
      <c r="T46" s="832"/>
      <c r="U46" s="832"/>
      <c r="V46" s="832"/>
      <c r="W46" s="560">
        <f t="shared" si="6"/>
        <v>0</v>
      </c>
      <c r="X46" s="226" t="str">
        <f t="shared" si="7"/>
        <v/>
      </c>
    </row>
    <row r="47" spans="1:24">
      <c r="A47" s="400">
        <v>45</v>
      </c>
      <c r="B47" s="472"/>
      <c r="C47" s="454"/>
      <c r="D47" s="472"/>
      <c r="E47" s="472"/>
      <c r="F47" s="472"/>
      <c r="G47" s="454"/>
      <c r="H47" s="454"/>
      <c r="I47" s="561"/>
      <c r="J47" s="454"/>
      <c r="K47" s="454"/>
      <c r="L47" s="558" t="str">
        <f t="shared" si="4"/>
        <v/>
      </c>
      <c r="M47" s="401" t="str">
        <f>IF(ISERROR(IF(K47&gt;0,DATEDIF(K47,MIN('Existing Loans'!$C$1,L47),"m"),"")),0,IF(K47&gt;0,DATEDIF(K47,MIN('Existing Loans'!$C$1,L47),"m")+0,""))</f>
        <v/>
      </c>
      <c r="N47" s="401" t="str">
        <f t="shared" si="5"/>
        <v/>
      </c>
      <c r="O47" s="454"/>
      <c r="P47" s="454"/>
      <c r="Q47" s="832"/>
      <c r="R47" s="832"/>
      <c r="S47" s="832"/>
      <c r="T47" s="832"/>
      <c r="U47" s="832"/>
      <c r="V47" s="832"/>
      <c r="W47" s="560">
        <f t="shared" si="6"/>
        <v>0</v>
      </c>
      <c r="X47" s="226" t="str">
        <f t="shared" si="7"/>
        <v/>
      </c>
    </row>
    <row r="48" spans="1:24">
      <c r="A48" s="400">
        <v>46</v>
      </c>
      <c r="B48" s="472"/>
      <c r="C48" s="454"/>
      <c r="D48" s="472"/>
      <c r="E48" s="472"/>
      <c r="F48" s="472"/>
      <c r="G48" s="454"/>
      <c r="H48" s="454"/>
      <c r="I48" s="561"/>
      <c r="J48" s="454"/>
      <c r="K48" s="454"/>
      <c r="L48" s="558" t="str">
        <f t="shared" si="4"/>
        <v/>
      </c>
      <c r="M48" s="401" t="str">
        <f>IF(ISERROR(IF(K48&gt;0,DATEDIF(K48,MIN('Existing Loans'!$C$1,L48),"m"),"")),0,IF(K48&gt;0,DATEDIF(K48,MIN('Existing Loans'!$C$1,L48),"m")+0,""))</f>
        <v/>
      </c>
      <c r="N48" s="401" t="str">
        <f t="shared" si="5"/>
        <v/>
      </c>
      <c r="O48" s="454"/>
      <c r="P48" s="454"/>
      <c r="Q48" s="832"/>
      <c r="R48" s="832"/>
      <c r="S48" s="832"/>
      <c r="T48" s="832"/>
      <c r="U48" s="832"/>
      <c r="V48" s="832"/>
      <c r="W48" s="560">
        <f t="shared" si="6"/>
        <v>0</v>
      </c>
      <c r="X48" s="226" t="str">
        <f t="shared" si="7"/>
        <v/>
      </c>
    </row>
    <row r="49" spans="1:24">
      <c r="A49" s="400">
        <v>47</v>
      </c>
      <c r="B49" s="472"/>
      <c r="C49" s="454"/>
      <c r="D49" s="472"/>
      <c r="E49" s="472"/>
      <c r="F49" s="472"/>
      <c r="G49" s="454"/>
      <c r="H49" s="454"/>
      <c r="I49" s="561"/>
      <c r="J49" s="454"/>
      <c r="K49" s="454"/>
      <c r="L49" s="558" t="str">
        <f t="shared" si="4"/>
        <v/>
      </c>
      <c r="M49" s="401" t="str">
        <f>IF(ISERROR(IF(K49&gt;0,DATEDIF(K49,MIN('Existing Loans'!$C$1,L49),"m"),"")),0,IF(K49&gt;0,DATEDIF(K49,MIN('Existing Loans'!$C$1,L49),"m")+0,""))</f>
        <v/>
      </c>
      <c r="N49" s="401" t="str">
        <f t="shared" si="5"/>
        <v/>
      </c>
      <c r="O49" s="454"/>
      <c r="P49" s="454"/>
      <c r="Q49" s="832"/>
      <c r="R49" s="832"/>
      <c r="S49" s="832"/>
      <c r="T49" s="832"/>
      <c r="U49" s="832"/>
      <c r="V49" s="832"/>
      <c r="W49" s="560">
        <f t="shared" si="6"/>
        <v>0</v>
      </c>
      <c r="X49" s="226" t="str">
        <f t="shared" si="7"/>
        <v/>
      </c>
    </row>
    <row r="50" spans="1:24">
      <c r="A50" s="400">
        <v>48</v>
      </c>
      <c r="B50" s="472"/>
      <c r="C50" s="454"/>
      <c r="D50" s="472"/>
      <c r="E50" s="472"/>
      <c r="F50" s="472"/>
      <c r="G50" s="454"/>
      <c r="H50" s="454"/>
      <c r="I50" s="561"/>
      <c r="J50" s="454"/>
      <c r="K50" s="454"/>
      <c r="L50" s="558" t="str">
        <f t="shared" si="4"/>
        <v/>
      </c>
      <c r="M50" s="401" t="str">
        <f>IF(ISERROR(IF(K50&gt;0,DATEDIF(K50,MIN('Existing Loans'!$C$1,L50),"m"),"")),0,IF(K50&gt;0,DATEDIF(K50,MIN('Existing Loans'!$C$1,L50),"m")+0,""))</f>
        <v/>
      </c>
      <c r="N50" s="401" t="str">
        <f t="shared" si="5"/>
        <v/>
      </c>
      <c r="O50" s="454"/>
      <c r="P50" s="454"/>
      <c r="Q50" s="832"/>
      <c r="R50" s="832"/>
      <c r="S50" s="832"/>
      <c r="T50" s="832"/>
      <c r="U50" s="832"/>
      <c r="V50" s="832"/>
      <c r="W50" s="560">
        <f t="shared" si="6"/>
        <v>0</v>
      </c>
      <c r="X50" s="226" t="str">
        <f t="shared" si="7"/>
        <v/>
      </c>
    </row>
    <row r="51" spans="1:24">
      <c r="A51" s="400">
        <v>49</v>
      </c>
      <c r="B51" s="472"/>
      <c r="C51" s="454"/>
      <c r="D51" s="472"/>
      <c r="E51" s="472"/>
      <c r="F51" s="472"/>
      <c r="G51" s="454"/>
      <c r="H51" s="454"/>
      <c r="I51" s="561"/>
      <c r="J51" s="454"/>
      <c r="K51" s="557"/>
      <c r="L51" s="558" t="str">
        <f t="shared" si="4"/>
        <v/>
      </c>
      <c r="M51" s="401" t="str">
        <f>IF(ISERROR(IF(K51&gt;0,DATEDIF(K51,MIN('Existing Loans'!$C$1,L51),"m"),"")),0,IF(K51&gt;0,DATEDIF(K51,MIN('Existing Loans'!$C$1,L51),"m")+0,""))</f>
        <v/>
      </c>
      <c r="N51" s="401" t="str">
        <f t="shared" si="5"/>
        <v/>
      </c>
      <c r="O51" s="454"/>
      <c r="P51" s="454"/>
      <c r="Q51" s="832"/>
      <c r="R51" s="832"/>
      <c r="S51" s="832"/>
      <c r="T51" s="832"/>
      <c r="U51" s="832"/>
      <c r="V51" s="832"/>
      <c r="W51" s="560">
        <f t="shared" si="6"/>
        <v>0</v>
      </c>
      <c r="X51" s="226" t="str">
        <f t="shared" si="7"/>
        <v/>
      </c>
    </row>
    <row r="52" spans="1:24">
      <c r="A52" s="400">
        <v>50</v>
      </c>
      <c r="B52" s="472"/>
      <c r="C52" s="454"/>
      <c r="D52" s="472"/>
      <c r="E52" s="472"/>
      <c r="F52" s="472"/>
      <c r="G52" s="454"/>
      <c r="H52" s="454"/>
      <c r="I52" s="561"/>
      <c r="J52" s="454"/>
      <c r="K52" s="557"/>
      <c r="L52" s="558" t="str">
        <f t="shared" si="4"/>
        <v/>
      </c>
      <c r="M52" s="401" t="str">
        <f>IF(ISERROR(IF(K52&gt;0,DATEDIF(K52,MIN('Existing Loans'!$C$1,L52),"m"),"")),0,IF(K52&gt;0,DATEDIF(K52,MIN('Existing Loans'!$C$1,L52),"m")+0,""))</f>
        <v/>
      </c>
      <c r="N52" s="401" t="str">
        <f t="shared" si="5"/>
        <v/>
      </c>
      <c r="O52" s="454"/>
      <c r="P52" s="454"/>
      <c r="Q52" s="832"/>
      <c r="R52" s="832"/>
      <c r="S52" s="832"/>
      <c r="T52" s="832"/>
      <c r="U52" s="832"/>
      <c r="V52" s="832"/>
      <c r="W52" s="560">
        <f t="shared" si="6"/>
        <v>0</v>
      </c>
      <c r="X52" s="226" t="str">
        <f t="shared" si="7"/>
        <v/>
      </c>
    </row>
    <row r="53" spans="1:24">
      <c r="A53" s="400">
        <v>51</v>
      </c>
      <c r="B53" s="472"/>
      <c r="C53" s="454"/>
      <c r="D53" s="472"/>
      <c r="E53" s="472"/>
      <c r="F53" s="472"/>
      <c r="G53" s="454"/>
      <c r="H53" s="454"/>
      <c r="I53" s="561"/>
      <c r="J53" s="454"/>
      <c r="K53" s="557"/>
      <c r="L53" s="558" t="str">
        <f t="shared" si="4"/>
        <v/>
      </c>
      <c r="M53" s="401" t="str">
        <f>IF(ISERROR(IF(K53&gt;0,DATEDIF(K53,MIN('Existing Loans'!$C$1,L53),"m"),"")),0,IF(K53&gt;0,DATEDIF(K53,MIN('Existing Loans'!$C$1,L53),"m")+0,""))</f>
        <v/>
      </c>
      <c r="N53" s="401" t="str">
        <f t="shared" si="5"/>
        <v/>
      </c>
      <c r="O53" s="454"/>
      <c r="P53" s="454"/>
      <c r="Q53" s="832"/>
      <c r="R53" s="832"/>
      <c r="S53" s="832"/>
      <c r="T53" s="832"/>
      <c r="U53" s="832"/>
      <c r="V53" s="832"/>
      <c r="W53" s="560">
        <f t="shared" si="6"/>
        <v>0</v>
      </c>
      <c r="X53" s="226" t="str">
        <f t="shared" si="7"/>
        <v/>
      </c>
    </row>
    <row r="54" spans="1:24">
      <c r="A54" s="400">
        <v>52</v>
      </c>
      <c r="B54" s="472"/>
      <c r="C54" s="454"/>
      <c r="D54" s="472"/>
      <c r="E54" s="472"/>
      <c r="F54" s="472"/>
      <c r="G54" s="454"/>
      <c r="H54" s="454"/>
      <c r="I54" s="561"/>
      <c r="J54" s="454"/>
      <c r="K54" s="557"/>
      <c r="L54" s="558" t="str">
        <f t="shared" si="4"/>
        <v/>
      </c>
      <c r="M54" s="401" t="str">
        <f>IF(ISERROR(IF(K54&gt;0,DATEDIF(K54,MIN('Existing Loans'!$C$1,L54),"m"),"")),0,IF(K54&gt;0,DATEDIF(K54,MIN('Existing Loans'!$C$1,L54),"m")+0,""))</f>
        <v/>
      </c>
      <c r="N54" s="401" t="str">
        <f t="shared" si="5"/>
        <v/>
      </c>
      <c r="O54" s="454"/>
      <c r="P54" s="454"/>
      <c r="Q54" s="832"/>
      <c r="R54" s="832"/>
      <c r="S54" s="832"/>
      <c r="T54" s="832"/>
      <c r="U54" s="832"/>
      <c r="V54" s="832"/>
      <c r="W54" s="560">
        <f t="shared" si="6"/>
        <v>0</v>
      </c>
      <c r="X54" s="226" t="str">
        <f t="shared" si="7"/>
        <v/>
      </c>
    </row>
    <row r="55" spans="1:24">
      <c r="A55" s="400">
        <v>53</v>
      </c>
      <c r="B55" s="472"/>
      <c r="C55" s="454"/>
      <c r="D55" s="472"/>
      <c r="E55" s="472"/>
      <c r="F55" s="472"/>
      <c r="G55" s="454"/>
      <c r="H55" s="454"/>
      <c r="I55" s="561"/>
      <c r="J55" s="454"/>
      <c r="K55" s="557"/>
      <c r="L55" s="558" t="str">
        <f t="shared" si="4"/>
        <v/>
      </c>
      <c r="M55" s="401" t="str">
        <f>IF(ISERROR(IF(K55&gt;0,DATEDIF(K55,MIN('Existing Loans'!$C$1,L55),"m"),"")),0,IF(K55&gt;0,DATEDIF(K55,MIN('Existing Loans'!$C$1,L55),"m")+0,""))</f>
        <v/>
      </c>
      <c r="N55" s="401" t="str">
        <f t="shared" si="5"/>
        <v/>
      </c>
      <c r="O55" s="454"/>
      <c r="P55" s="454"/>
      <c r="Q55" s="832"/>
      <c r="R55" s="832"/>
      <c r="S55" s="832"/>
      <c r="T55" s="832"/>
      <c r="U55" s="832"/>
      <c r="V55" s="832"/>
      <c r="W55" s="560">
        <f t="shared" si="6"/>
        <v>0</v>
      </c>
      <c r="X55" s="226" t="str">
        <f t="shared" si="7"/>
        <v/>
      </c>
    </row>
    <row r="56" spans="1:24">
      <c r="A56" s="400">
        <v>54</v>
      </c>
      <c r="B56" s="472"/>
      <c r="C56" s="454"/>
      <c r="D56" s="472"/>
      <c r="E56" s="472"/>
      <c r="F56" s="472"/>
      <c r="G56" s="454"/>
      <c r="H56" s="454"/>
      <c r="I56" s="561"/>
      <c r="J56" s="454"/>
      <c r="K56" s="557"/>
      <c r="L56" s="558" t="str">
        <f t="shared" si="4"/>
        <v/>
      </c>
      <c r="M56" s="401" t="str">
        <f>IF(ISERROR(IF(K56&gt;0,DATEDIF(K56,MIN('Existing Loans'!$C$1,L56),"m"),"")),0,IF(K56&gt;0,DATEDIF(K56,MIN('Existing Loans'!$C$1,L56),"m")+0,""))</f>
        <v/>
      </c>
      <c r="N56" s="401" t="str">
        <f t="shared" si="5"/>
        <v/>
      </c>
      <c r="O56" s="454"/>
      <c r="P56" s="454"/>
      <c r="Q56" s="832"/>
      <c r="R56" s="832"/>
      <c r="S56" s="832"/>
      <c r="T56" s="832"/>
      <c r="U56" s="832"/>
      <c r="V56" s="832"/>
      <c r="W56" s="560">
        <f t="shared" si="6"/>
        <v>0</v>
      </c>
      <c r="X56" s="226" t="str">
        <f t="shared" si="7"/>
        <v/>
      </c>
    </row>
    <row r="57" spans="1:24">
      <c r="A57" s="400">
        <v>55</v>
      </c>
      <c r="B57" s="472"/>
      <c r="C57" s="454"/>
      <c r="D57" s="472"/>
      <c r="E57" s="472"/>
      <c r="F57" s="472"/>
      <c r="G57" s="454"/>
      <c r="H57" s="454"/>
      <c r="I57" s="561"/>
      <c r="J57" s="454"/>
      <c r="K57" s="557"/>
      <c r="L57" s="558" t="str">
        <f t="shared" si="4"/>
        <v/>
      </c>
      <c r="M57" s="401" t="str">
        <f>IF(ISERROR(IF(K57&gt;0,DATEDIF(K57,MIN('Existing Loans'!$C$1,L57),"m"),"")),0,IF(K57&gt;0,DATEDIF(K57,MIN('Existing Loans'!$C$1,L57),"m")+0,""))</f>
        <v/>
      </c>
      <c r="N57" s="401" t="str">
        <f t="shared" si="5"/>
        <v/>
      </c>
      <c r="O57" s="454"/>
      <c r="P57" s="454"/>
      <c r="Q57" s="832"/>
      <c r="R57" s="832"/>
      <c r="S57" s="832"/>
      <c r="T57" s="832"/>
      <c r="U57" s="832"/>
      <c r="V57" s="832"/>
      <c r="W57" s="560">
        <f t="shared" si="6"/>
        <v>0</v>
      </c>
      <c r="X57" s="226" t="str">
        <f t="shared" si="7"/>
        <v/>
      </c>
    </row>
    <row r="58" spans="1:24">
      <c r="A58" s="400">
        <v>56</v>
      </c>
      <c r="B58" s="472"/>
      <c r="C58" s="454"/>
      <c r="D58" s="472"/>
      <c r="E58" s="472"/>
      <c r="F58" s="472"/>
      <c r="G58" s="454"/>
      <c r="H58" s="454"/>
      <c r="I58" s="561"/>
      <c r="J58" s="454"/>
      <c r="K58" s="557"/>
      <c r="L58" s="558" t="str">
        <f t="shared" si="4"/>
        <v/>
      </c>
      <c r="M58" s="401" t="str">
        <f>IF(ISERROR(IF(K58&gt;0,DATEDIF(K58,MIN('Existing Loans'!$C$1,L58),"m"),"")),0,IF(K58&gt;0,DATEDIF(K58,MIN('Existing Loans'!$C$1,L58),"m")+0,""))</f>
        <v/>
      </c>
      <c r="N58" s="401" t="str">
        <f t="shared" si="5"/>
        <v/>
      </c>
      <c r="O58" s="454"/>
      <c r="P58" s="454"/>
      <c r="Q58" s="832"/>
      <c r="R58" s="832"/>
      <c r="S58" s="832"/>
      <c r="T58" s="832"/>
      <c r="U58" s="832"/>
      <c r="V58" s="832"/>
      <c r="W58" s="560">
        <f t="shared" si="6"/>
        <v>0</v>
      </c>
      <c r="X58" s="226" t="str">
        <f t="shared" si="7"/>
        <v/>
      </c>
    </row>
    <row r="59" spans="1:24">
      <c r="A59" s="400">
        <v>57</v>
      </c>
      <c r="B59" s="472"/>
      <c r="C59" s="454"/>
      <c r="D59" s="472"/>
      <c r="E59" s="472"/>
      <c r="F59" s="472"/>
      <c r="G59" s="454"/>
      <c r="H59" s="454"/>
      <c r="I59" s="561"/>
      <c r="J59" s="454"/>
      <c r="K59" s="557"/>
      <c r="L59" s="558" t="str">
        <f t="shared" si="4"/>
        <v/>
      </c>
      <c r="M59" s="401" t="str">
        <f>IF(ISERROR(IF(K59&gt;0,DATEDIF(K59,MIN('Existing Loans'!$C$1,L59),"m"),"")),0,IF(K59&gt;0,DATEDIF(K59,MIN('Existing Loans'!$C$1,L59),"m")+0,""))</f>
        <v/>
      </c>
      <c r="N59" s="401" t="str">
        <f t="shared" si="5"/>
        <v/>
      </c>
      <c r="O59" s="454"/>
      <c r="P59" s="454"/>
      <c r="Q59" s="832"/>
      <c r="R59" s="832"/>
      <c r="S59" s="832"/>
      <c r="T59" s="832"/>
      <c r="U59" s="832"/>
      <c r="V59" s="832"/>
      <c r="W59" s="560">
        <f t="shared" si="6"/>
        <v>0</v>
      </c>
      <c r="X59" s="226" t="str">
        <f t="shared" si="7"/>
        <v/>
      </c>
    </row>
    <row r="60" spans="1:24">
      <c r="A60" s="400">
        <v>58</v>
      </c>
      <c r="B60" s="472"/>
      <c r="C60" s="454"/>
      <c r="D60" s="472"/>
      <c r="E60" s="472"/>
      <c r="F60" s="472"/>
      <c r="G60" s="454"/>
      <c r="H60" s="454"/>
      <c r="I60" s="561"/>
      <c r="J60" s="454"/>
      <c r="K60" s="557"/>
      <c r="L60" s="558" t="str">
        <f t="shared" si="4"/>
        <v/>
      </c>
      <c r="M60" s="401" t="str">
        <f>IF(ISERROR(IF(K60&gt;0,DATEDIF(K60,MIN('Existing Loans'!$C$1,L60),"m"),"")),0,IF(K60&gt;0,DATEDIF(K60,MIN('Existing Loans'!$C$1,L60),"m")+0,""))</f>
        <v/>
      </c>
      <c r="N60" s="401" t="str">
        <f t="shared" si="5"/>
        <v/>
      </c>
      <c r="O60" s="454"/>
      <c r="P60" s="454"/>
      <c r="Q60" s="832"/>
      <c r="R60" s="832"/>
      <c r="S60" s="832"/>
      <c r="T60" s="832"/>
      <c r="U60" s="832"/>
      <c r="V60" s="832"/>
      <c r="W60" s="560">
        <f t="shared" si="6"/>
        <v>0</v>
      </c>
      <c r="X60" s="226" t="str">
        <f t="shared" si="7"/>
        <v/>
      </c>
    </row>
    <row r="61" spans="1:24">
      <c r="A61" s="400">
        <v>59</v>
      </c>
      <c r="B61" s="472"/>
      <c r="C61" s="454"/>
      <c r="D61" s="472"/>
      <c r="E61" s="472"/>
      <c r="F61" s="472"/>
      <c r="G61" s="454"/>
      <c r="H61" s="454"/>
      <c r="I61" s="561"/>
      <c r="J61" s="454"/>
      <c r="K61" s="557"/>
      <c r="L61" s="558" t="str">
        <f t="shared" si="4"/>
        <v/>
      </c>
      <c r="M61" s="401" t="str">
        <f>IF(ISERROR(IF(K61&gt;0,DATEDIF(K61,MIN('Existing Loans'!$C$1,L61),"m"),"")),0,IF(K61&gt;0,DATEDIF(K61,MIN('Existing Loans'!$C$1,L61),"m")+0,""))</f>
        <v/>
      </c>
      <c r="N61" s="401" t="str">
        <f t="shared" si="5"/>
        <v/>
      </c>
      <c r="O61" s="454"/>
      <c r="P61" s="454"/>
      <c r="Q61" s="832"/>
      <c r="R61" s="832"/>
      <c r="S61" s="832"/>
      <c r="T61" s="832"/>
      <c r="U61" s="832"/>
      <c r="V61" s="832"/>
      <c r="W61" s="560">
        <f t="shared" si="6"/>
        <v>0</v>
      </c>
      <c r="X61" s="226" t="str">
        <f t="shared" si="7"/>
        <v/>
      </c>
    </row>
    <row r="62" spans="1:24">
      <c r="A62" s="400">
        <v>60</v>
      </c>
      <c r="B62" s="472"/>
      <c r="C62" s="454"/>
      <c r="D62" s="472"/>
      <c r="E62" s="472"/>
      <c r="F62" s="472"/>
      <c r="G62" s="454"/>
      <c r="H62" s="454"/>
      <c r="I62" s="561"/>
      <c r="J62" s="454"/>
      <c r="K62" s="557"/>
      <c r="L62" s="558" t="str">
        <f t="shared" si="4"/>
        <v/>
      </c>
      <c r="M62" s="401" t="str">
        <f>IF(ISERROR(IF(K62&gt;0,DATEDIF(K62,MIN('Existing Loans'!$C$1,L62),"m"),"")),0,IF(K62&gt;0,DATEDIF(K62,MIN('Existing Loans'!$C$1,L62),"m")+0,""))</f>
        <v/>
      </c>
      <c r="N62" s="401" t="str">
        <f t="shared" si="5"/>
        <v/>
      </c>
      <c r="O62" s="454"/>
      <c r="P62" s="454"/>
      <c r="Q62" s="832"/>
      <c r="R62" s="832"/>
      <c r="S62" s="832"/>
      <c r="T62" s="832"/>
      <c r="U62" s="832"/>
      <c r="V62" s="832"/>
      <c r="W62" s="560">
        <f t="shared" si="6"/>
        <v>0</v>
      </c>
      <c r="X62" s="226" t="str">
        <f t="shared" si="7"/>
        <v/>
      </c>
    </row>
    <row r="63" spans="1:24">
      <c r="A63" s="400">
        <v>61</v>
      </c>
      <c r="B63" s="472"/>
      <c r="C63" s="454"/>
      <c r="D63" s="472"/>
      <c r="E63" s="472"/>
      <c r="F63" s="472"/>
      <c r="G63" s="454"/>
      <c r="H63" s="454"/>
      <c r="I63" s="561"/>
      <c r="J63" s="454"/>
      <c r="K63" s="557"/>
      <c r="L63" s="558" t="str">
        <f t="shared" si="4"/>
        <v/>
      </c>
      <c r="M63" s="401" t="str">
        <f>IF(ISERROR(IF(K63&gt;0,DATEDIF(K63,MIN('Existing Loans'!$C$1,L63),"m"),"")),0,IF(K63&gt;0,DATEDIF(K63,MIN('Existing Loans'!$C$1,L63),"m")+0,""))</f>
        <v/>
      </c>
      <c r="N63" s="401" t="str">
        <f t="shared" si="5"/>
        <v/>
      </c>
      <c r="O63" s="454"/>
      <c r="P63" s="454"/>
      <c r="Q63" s="832"/>
      <c r="R63" s="832"/>
      <c r="S63" s="832"/>
      <c r="T63" s="832"/>
      <c r="U63" s="832"/>
      <c r="V63" s="832"/>
      <c r="W63" s="560">
        <f t="shared" si="6"/>
        <v>0</v>
      </c>
      <c r="X63" s="226" t="str">
        <f t="shared" si="7"/>
        <v/>
      </c>
    </row>
    <row r="64" spans="1:24">
      <c r="A64" s="400">
        <v>62</v>
      </c>
      <c r="B64" s="472"/>
      <c r="C64" s="454"/>
      <c r="D64" s="472"/>
      <c r="E64" s="472"/>
      <c r="F64" s="472"/>
      <c r="G64" s="454"/>
      <c r="H64" s="454"/>
      <c r="I64" s="561"/>
      <c r="J64" s="454"/>
      <c r="K64" s="557"/>
      <c r="L64" s="558" t="str">
        <f t="shared" si="4"/>
        <v/>
      </c>
      <c r="M64" s="401" t="str">
        <f>IF(ISERROR(IF(K64&gt;0,DATEDIF(K64,MIN('Existing Loans'!$C$1,L64),"m"),"")),0,IF(K64&gt;0,DATEDIF(K64,MIN('Existing Loans'!$C$1,L64),"m")+0,""))</f>
        <v/>
      </c>
      <c r="N64" s="401" t="str">
        <f t="shared" si="5"/>
        <v/>
      </c>
      <c r="O64" s="454"/>
      <c r="P64" s="454"/>
      <c r="Q64" s="832"/>
      <c r="R64" s="832"/>
      <c r="S64" s="832"/>
      <c r="T64" s="832"/>
      <c r="U64" s="832"/>
      <c r="V64" s="832"/>
      <c r="W64" s="560">
        <f t="shared" si="6"/>
        <v>0</v>
      </c>
      <c r="X64" s="226" t="str">
        <f t="shared" si="7"/>
        <v/>
      </c>
    </row>
    <row r="65" spans="1:24">
      <c r="A65" s="400">
        <v>63</v>
      </c>
      <c r="B65" s="472"/>
      <c r="C65" s="454"/>
      <c r="D65" s="472"/>
      <c r="E65" s="472"/>
      <c r="F65" s="472"/>
      <c r="G65" s="454"/>
      <c r="H65" s="454"/>
      <c r="I65" s="561"/>
      <c r="J65" s="454"/>
      <c r="K65" s="557"/>
      <c r="L65" s="558" t="str">
        <f t="shared" si="4"/>
        <v/>
      </c>
      <c r="M65" s="401" t="str">
        <f>IF(ISERROR(IF(K65&gt;0,DATEDIF(K65,MIN('Existing Loans'!$C$1,L65),"m"),"")),0,IF(K65&gt;0,DATEDIF(K65,MIN('Existing Loans'!$C$1,L65),"m")+0,""))</f>
        <v/>
      </c>
      <c r="N65" s="401" t="str">
        <f t="shared" si="5"/>
        <v/>
      </c>
      <c r="O65" s="454"/>
      <c r="P65" s="454"/>
      <c r="Q65" s="832"/>
      <c r="R65" s="832"/>
      <c r="S65" s="832"/>
      <c r="T65" s="832"/>
      <c r="U65" s="832"/>
      <c r="V65" s="832"/>
      <c r="W65" s="560">
        <f t="shared" si="6"/>
        <v>0</v>
      </c>
      <c r="X65" s="226" t="str">
        <f t="shared" si="7"/>
        <v/>
      </c>
    </row>
    <row r="66" spans="1:24">
      <c r="A66" s="400">
        <v>64</v>
      </c>
      <c r="B66" s="472"/>
      <c r="C66" s="454"/>
      <c r="D66" s="472"/>
      <c r="E66" s="472"/>
      <c r="F66" s="472"/>
      <c r="G66" s="454"/>
      <c r="H66" s="454"/>
      <c r="I66" s="561"/>
      <c r="J66" s="454"/>
      <c r="K66" s="557"/>
      <c r="L66" s="558" t="str">
        <f t="shared" si="4"/>
        <v/>
      </c>
      <c r="M66" s="401" t="str">
        <f>IF(ISERROR(IF(K66&gt;0,DATEDIF(K66,MIN('Existing Loans'!$C$1,L66),"m"),"")),0,IF(K66&gt;0,DATEDIF(K66,MIN('Existing Loans'!$C$1,L66),"m")+0,""))</f>
        <v/>
      </c>
      <c r="N66" s="401" t="str">
        <f t="shared" si="5"/>
        <v/>
      </c>
      <c r="O66" s="454"/>
      <c r="P66" s="454"/>
      <c r="Q66" s="832"/>
      <c r="R66" s="832"/>
      <c r="S66" s="832"/>
      <c r="T66" s="832"/>
      <c r="U66" s="832"/>
      <c r="V66" s="832"/>
      <c r="W66" s="560">
        <f t="shared" si="6"/>
        <v>0</v>
      </c>
      <c r="X66" s="226" t="str">
        <f t="shared" si="7"/>
        <v/>
      </c>
    </row>
    <row r="67" spans="1:24">
      <c r="A67" s="400">
        <v>65</v>
      </c>
      <c r="B67" s="472"/>
      <c r="C67" s="454"/>
      <c r="D67" s="472"/>
      <c r="E67" s="472"/>
      <c r="F67" s="472"/>
      <c r="G67" s="454"/>
      <c r="H67" s="454"/>
      <c r="I67" s="561"/>
      <c r="J67" s="454"/>
      <c r="K67" s="557"/>
      <c r="L67" s="558" t="str">
        <f t="shared" si="4"/>
        <v/>
      </c>
      <c r="M67" s="401" t="str">
        <f>IF(ISERROR(IF(K67&gt;0,DATEDIF(K67,MIN('Existing Loans'!$C$1,L67),"m"),"")),0,IF(K67&gt;0,DATEDIF(K67,MIN('Existing Loans'!$C$1,L67),"m")+0,""))</f>
        <v/>
      </c>
      <c r="N67" s="401" t="str">
        <f t="shared" si="5"/>
        <v/>
      </c>
      <c r="O67" s="454"/>
      <c r="P67" s="454"/>
      <c r="Q67" s="832"/>
      <c r="R67" s="832"/>
      <c r="S67" s="832"/>
      <c r="T67" s="832"/>
      <c r="U67" s="832"/>
      <c r="V67" s="832"/>
      <c r="W67" s="560">
        <f t="shared" si="6"/>
        <v>0</v>
      </c>
      <c r="X67" s="226" t="str">
        <f t="shared" si="7"/>
        <v/>
      </c>
    </row>
    <row r="68" spans="1:24">
      <c r="A68" s="400">
        <v>66</v>
      </c>
      <c r="B68" s="472"/>
      <c r="C68" s="454"/>
      <c r="D68" s="472"/>
      <c r="E68" s="472"/>
      <c r="F68" s="472"/>
      <c r="G68" s="454"/>
      <c r="H68" s="454"/>
      <c r="I68" s="561"/>
      <c r="J68" s="454"/>
      <c r="K68" s="557"/>
      <c r="L68" s="558" t="str">
        <f t="shared" ref="L68:L99" si="8">IF(AND(J68&gt;0,K68&gt;0),DATE(YEAR(K68),MONTH(K68)+J68+IF(DAY(K68)&lt;=15,0,1),DAY(K68)),"")</f>
        <v/>
      </c>
      <c r="M68" s="401" t="str">
        <f>IF(ISERROR(IF(K68&gt;0,DATEDIF(K68,MIN('Existing Loans'!$C$1,L68),"m"),"")),0,IF(K68&gt;0,DATEDIF(K68,MIN('Existing Loans'!$C$1,L68),"m")+0,""))</f>
        <v/>
      </c>
      <c r="N68" s="401" t="str">
        <f t="shared" ref="N68:N99" si="9">IF(J68="","",J68-M68)</f>
        <v/>
      </c>
      <c r="O68" s="454"/>
      <c r="P68" s="454"/>
      <c r="Q68" s="832"/>
      <c r="R68" s="832"/>
      <c r="S68" s="832"/>
      <c r="T68" s="832"/>
      <c r="U68" s="832"/>
      <c r="V68" s="832"/>
      <c r="W68" s="560">
        <f t="shared" ref="W68:W99" si="10">IF(AND(F68="Live",N68&gt;6),H68,0)</f>
        <v>0</v>
      </c>
      <c r="X68" s="226" t="str">
        <f t="shared" ref="X68:X99" si="11">B68&amp;E68</f>
        <v/>
      </c>
    </row>
    <row r="69" spans="1:24">
      <c r="A69" s="400">
        <v>67</v>
      </c>
      <c r="B69" s="472"/>
      <c r="C69" s="454"/>
      <c r="D69" s="472"/>
      <c r="E69" s="472"/>
      <c r="F69" s="472"/>
      <c r="G69" s="454"/>
      <c r="H69" s="454"/>
      <c r="I69" s="561"/>
      <c r="J69" s="454"/>
      <c r="K69" s="557"/>
      <c r="L69" s="558" t="str">
        <f t="shared" si="8"/>
        <v/>
      </c>
      <c r="M69" s="401" t="str">
        <f>IF(ISERROR(IF(K69&gt;0,DATEDIF(K69,MIN('Existing Loans'!$C$1,L69),"m"),"")),0,IF(K69&gt;0,DATEDIF(K69,MIN('Existing Loans'!$C$1,L69),"m")+0,""))</f>
        <v/>
      </c>
      <c r="N69" s="401" t="str">
        <f t="shared" si="9"/>
        <v/>
      </c>
      <c r="O69" s="454"/>
      <c r="P69" s="454"/>
      <c r="Q69" s="832"/>
      <c r="R69" s="832"/>
      <c r="S69" s="832"/>
      <c r="T69" s="832"/>
      <c r="U69" s="832"/>
      <c r="V69" s="832"/>
      <c r="W69" s="560">
        <f t="shared" si="10"/>
        <v>0</v>
      </c>
      <c r="X69" s="226" t="str">
        <f t="shared" si="11"/>
        <v/>
      </c>
    </row>
    <row r="70" spans="1:24">
      <c r="A70" s="400">
        <v>68</v>
      </c>
      <c r="B70" s="472"/>
      <c r="C70" s="454"/>
      <c r="D70" s="472"/>
      <c r="E70" s="472"/>
      <c r="F70" s="472"/>
      <c r="G70" s="454"/>
      <c r="H70" s="454"/>
      <c r="I70" s="561"/>
      <c r="J70" s="454"/>
      <c r="K70" s="557"/>
      <c r="L70" s="558" t="str">
        <f t="shared" si="8"/>
        <v/>
      </c>
      <c r="M70" s="401" t="str">
        <f>IF(ISERROR(IF(K70&gt;0,DATEDIF(K70,MIN('Existing Loans'!$C$1,L70),"m"),"")),0,IF(K70&gt;0,DATEDIF(K70,MIN('Existing Loans'!$C$1,L70),"m")+0,""))</f>
        <v/>
      </c>
      <c r="N70" s="401" t="str">
        <f t="shared" si="9"/>
        <v/>
      </c>
      <c r="O70" s="454"/>
      <c r="P70" s="454"/>
      <c r="Q70" s="832"/>
      <c r="R70" s="832"/>
      <c r="S70" s="832"/>
      <c r="T70" s="832"/>
      <c r="U70" s="832"/>
      <c r="V70" s="832"/>
      <c r="W70" s="560">
        <f t="shared" si="10"/>
        <v>0</v>
      </c>
      <c r="X70" s="226" t="str">
        <f t="shared" si="11"/>
        <v/>
      </c>
    </row>
    <row r="71" spans="1:24">
      <c r="A71" s="400">
        <v>69</v>
      </c>
      <c r="B71" s="472"/>
      <c r="C71" s="454"/>
      <c r="D71" s="472"/>
      <c r="E71" s="472"/>
      <c r="F71" s="472"/>
      <c r="G71" s="454"/>
      <c r="H71" s="454"/>
      <c r="I71" s="561"/>
      <c r="J71" s="454"/>
      <c r="K71" s="557"/>
      <c r="L71" s="558" t="str">
        <f t="shared" si="8"/>
        <v/>
      </c>
      <c r="M71" s="401" t="str">
        <f>IF(ISERROR(IF(K71&gt;0,DATEDIF(K71,MIN('Existing Loans'!$C$1,L71),"m"),"")),0,IF(K71&gt;0,DATEDIF(K71,MIN('Existing Loans'!$C$1,L71),"m")+0,""))</f>
        <v/>
      </c>
      <c r="N71" s="401" t="str">
        <f t="shared" si="9"/>
        <v/>
      </c>
      <c r="O71" s="454"/>
      <c r="P71" s="454"/>
      <c r="Q71" s="832"/>
      <c r="R71" s="832"/>
      <c r="S71" s="832"/>
      <c r="T71" s="832"/>
      <c r="U71" s="832"/>
      <c r="V71" s="832"/>
      <c r="W71" s="560">
        <f t="shared" si="10"/>
        <v>0</v>
      </c>
      <c r="X71" s="226" t="str">
        <f t="shared" si="11"/>
        <v/>
      </c>
    </row>
    <row r="72" spans="1:24">
      <c r="A72" s="400">
        <v>70</v>
      </c>
      <c r="B72" s="472"/>
      <c r="C72" s="454"/>
      <c r="D72" s="472"/>
      <c r="E72" s="472"/>
      <c r="F72" s="472"/>
      <c r="G72" s="454"/>
      <c r="H72" s="454"/>
      <c r="I72" s="561"/>
      <c r="J72" s="454"/>
      <c r="K72" s="557"/>
      <c r="L72" s="558" t="str">
        <f t="shared" si="8"/>
        <v/>
      </c>
      <c r="M72" s="401" t="str">
        <f>IF(ISERROR(IF(K72&gt;0,DATEDIF(K72,MIN('Existing Loans'!$C$1,L72),"m"),"")),0,IF(K72&gt;0,DATEDIF(K72,MIN('Existing Loans'!$C$1,L72),"m")+0,""))</f>
        <v/>
      </c>
      <c r="N72" s="401" t="str">
        <f t="shared" si="9"/>
        <v/>
      </c>
      <c r="O72" s="454"/>
      <c r="P72" s="454"/>
      <c r="Q72" s="832"/>
      <c r="R72" s="832"/>
      <c r="S72" s="832"/>
      <c r="T72" s="832"/>
      <c r="U72" s="832"/>
      <c r="V72" s="832"/>
      <c r="W72" s="560">
        <f t="shared" si="10"/>
        <v>0</v>
      </c>
      <c r="X72" s="226" t="str">
        <f t="shared" si="11"/>
        <v/>
      </c>
    </row>
    <row r="73" spans="1:24">
      <c r="A73" s="400">
        <v>71</v>
      </c>
      <c r="B73" s="472"/>
      <c r="C73" s="454"/>
      <c r="D73" s="472"/>
      <c r="E73" s="472"/>
      <c r="F73" s="472"/>
      <c r="G73" s="454"/>
      <c r="H73" s="454"/>
      <c r="I73" s="561"/>
      <c r="J73" s="454"/>
      <c r="K73" s="557"/>
      <c r="L73" s="558" t="str">
        <f t="shared" si="8"/>
        <v/>
      </c>
      <c r="M73" s="401" t="str">
        <f>IF(ISERROR(IF(K73&gt;0,DATEDIF(K73,MIN('Existing Loans'!$C$1,L73),"m"),"")),0,IF(K73&gt;0,DATEDIF(K73,MIN('Existing Loans'!$C$1,L73),"m")+0,""))</f>
        <v/>
      </c>
      <c r="N73" s="401" t="str">
        <f t="shared" si="9"/>
        <v/>
      </c>
      <c r="O73" s="454"/>
      <c r="P73" s="454"/>
      <c r="Q73" s="832"/>
      <c r="R73" s="832"/>
      <c r="S73" s="832"/>
      <c r="T73" s="832"/>
      <c r="U73" s="832"/>
      <c r="V73" s="832"/>
      <c r="W73" s="560">
        <f t="shared" si="10"/>
        <v>0</v>
      </c>
      <c r="X73" s="226" t="str">
        <f t="shared" si="11"/>
        <v/>
      </c>
    </row>
    <row r="74" spans="1:24">
      <c r="A74" s="400">
        <v>72</v>
      </c>
      <c r="B74" s="472"/>
      <c r="C74" s="454"/>
      <c r="D74" s="472"/>
      <c r="E74" s="472"/>
      <c r="F74" s="472"/>
      <c r="G74" s="454"/>
      <c r="H74" s="454"/>
      <c r="I74" s="561"/>
      <c r="J74" s="454"/>
      <c r="K74" s="557"/>
      <c r="L74" s="558" t="str">
        <f t="shared" si="8"/>
        <v/>
      </c>
      <c r="M74" s="401" t="str">
        <f>IF(ISERROR(IF(K74&gt;0,DATEDIF(K74,MIN('Existing Loans'!$C$1,L74),"m"),"")),0,IF(K74&gt;0,DATEDIF(K74,MIN('Existing Loans'!$C$1,L74),"m")+0,""))</f>
        <v/>
      </c>
      <c r="N74" s="401" t="str">
        <f t="shared" si="9"/>
        <v/>
      </c>
      <c r="O74" s="454"/>
      <c r="P74" s="454"/>
      <c r="Q74" s="832"/>
      <c r="R74" s="832"/>
      <c r="S74" s="832"/>
      <c r="T74" s="832"/>
      <c r="U74" s="832"/>
      <c r="V74" s="832"/>
      <c r="W74" s="560">
        <f t="shared" si="10"/>
        <v>0</v>
      </c>
      <c r="X74" s="226" t="str">
        <f t="shared" si="11"/>
        <v/>
      </c>
    </row>
    <row r="75" spans="1:24">
      <c r="A75" s="400">
        <v>73</v>
      </c>
      <c r="B75" s="472"/>
      <c r="C75" s="454"/>
      <c r="D75" s="472"/>
      <c r="E75" s="472"/>
      <c r="F75" s="472"/>
      <c r="G75" s="454"/>
      <c r="H75" s="454"/>
      <c r="I75" s="561"/>
      <c r="J75" s="454"/>
      <c r="K75" s="557"/>
      <c r="L75" s="558" t="str">
        <f t="shared" si="8"/>
        <v/>
      </c>
      <c r="M75" s="401" t="str">
        <f>IF(ISERROR(IF(K75&gt;0,DATEDIF(K75,MIN('Existing Loans'!$C$1,L75),"m"),"")),0,IF(K75&gt;0,DATEDIF(K75,MIN('Existing Loans'!$C$1,L75),"m")+0,""))</f>
        <v/>
      </c>
      <c r="N75" s="401" t="str">
        <f t="shared" si="9"/>
        <v/>
      </c>
      <c r="O75" s="454"/>
      <c r="P75" s="454"/>
      <c r="Q75" s="832"/>
      <c r="R75" s="832"/>
      <c r="S75" s="832"/>
      <c r="T75" s="832"/>
      <c r="U75" s="832"/>
      <c r="V75" s="832"/>
      <c r="W75" s="560">
        <f t="shared" si="10"/>
        <v>0</v>
      </c>
      <c r="X75" s="226" t="str">
        <f t="shared" si="11"/>
        <v/>
      </c>
    </row>
    <row r="76" spans="1:24">
      <c r="A76" s="400">
        <v>74</v>
      </c>
      <c r="B76" s="472"/>
      <c r="C76" s="454"/>
      <c r="D76" s="472"/>
      <c r="E76" s="472"/>
      <c r="F76" s="472"/>
      <c r="G76" s="454"/>
      <c r="H76" s="454"/>
      <c r="I76" s="561"/>
      <c r="J76" s="454"/>
      <c r="K76" s="557"/>
      <c r="L76" s="558" t="str">
        <f t="shared" si="8"/>
        <v/>
      </c>
      <c r="M76" s="401" t="str">
        <f>IF(ISERROR(IF(K76&gt;0,DATEDIF(K76,MIN('Existing Loans'!$C$1,L76),"m"),"")),0,IF(K76&gt;0,DATEDIF(K76,MIN('Existing Loans'!$C$1,L76),"m")+0,""))</f>
        <v/>
      </c>
      <c r="N76" s="401" t="str">
        <f t="shared" si="9"/>
        <v/>
      </c>
      <c r="O76" s="454"/>
      <c r="P76" s="454"/>
      <c r="Q76" s="832"/>
      <c r="R76" s="832"/>
      <c r="S76" s="832"/>
      <c r="T76" s="832"/>
      <c r="U76" s="832"/>
      <c r="V76" s="832"/>
      <c r="W76" s="560">
        <f t="shared" si="10"/>
        <v>0</v>
      </c>
      <c r="X76" s="226" t="str">
        <f t="shared" si="11"/>
        <v/>
      </c>
    </row>
    <row r="77" spans="1:24">
      <c r="A77" s="400">
        <v>75</v>
      </c>
      <c r="B77" s="472"/>
      <c r="C77" s="454"/>
      <c r="D77" s="472"/>
      <c r="E77" s="472"/>
      <c r="F77" s="472"/>
      <c r="G77" s="454"/>
      <c r="H77" s="454"/>
      <c r="I77" s="561"/>
      <c r="J77" s="454"/>
      <c r="K77" s="557"/>
      <c r="L77" s="558" t="str">
        <f t="shared" si="8"/>
        <v/>
      </c>
      <c r="M77" s="401" t="str">
        <f>IF(ISERROR(IF(K77&gt;0,DATEDIF(K77,MIN('Existing Loans'!$C$1,L77),"m"),"")),0,IF(K77&gt;0,DATEDIF(K77,MIN('Existing Loans'!$C$1,L77),"m")+0,""))</f>
        <v/>
      </c>
      <c r="N77" s="401" t="str">
        <f t="shared" si="9"/>
        <v/>
      </c>
      <c r="O77" s="454"/>
      <c r="P77" s="454"/>
      <c r="Q77" s="832"/>
      <c r="R77" s="832"/>
      <c r="S77" s="832"/>
      <c r="T77" s="832"/>
      <c r="U77" s="832"/>
      <c r="V77" s="832"/>
      <c r="W77" s="560">
        <f t="shared" si="10"/>
        <v>0</v>
      </c>
      <c r="X77" s="226" t="str">
        <f t="shared" si="11"/>
        <v/>
      </c>
    </row>
    <row r="78" spans="1:24">
      <c r="A78" s="400">
        <v>76</v>
      </c>
      <c r="B78" s="472"/>
      <c r="C78" s="454"/>
      <c r="D78" s="472"/>
      <c r="E78" s="472"/>
      <c r="F78" s="472"/>
      <c r="G78" s="454"/>
      <c r="H78" s="454"/>
      <c r="I78" s="561"/>
      <c r="J78" s="454"/>
      <c r="K78" s="557"/>
      <c r="L78" s="558" t="str">
        <f t="shared" si="8"/>
        <v/>
      </c>
      <c r="M78" s="401" t="str">
        <f>IF(ISERROR(IF(K78&gt;0,DATEDIF(K78,MIN('Existing Loans'!$C$1,L78),"m"),"")),0,IF(K78&gt;0,DATEDIF(K78,MIN('Existing Loans'!$C$1,L78),"m")+0,""))</f>
        <v/>
      </c>
      <c r="N78" s="401" t="str">
        <f t="shared" si="9"/>
        <v/>
      </c>
      <c r="O78" s="454"/>
      <c r="P78" s="454"/>
      <c r="Q78" s="832"/>
      <c r="R78" s="832"/>
      <c r="S78" s="832"/>
      <c r="T78" s="832"/>
      <c r="U78" s="832"/>
      <c r="V78" s="832"/>
      <c r="W78" s="560">
        <f t="shared" si="10"/>
        <v>0</v>
      </c>
      <c r="X78" s="226" t="str">
        <f t="shared" si="11"/>
        <v/>
      </c>
    </row>
    <row r="79" spans="1:24">
      <c r="A79" s="400">
        <v>77</v>
      </c>
      <c r="B79" s="472"/>
      <c r="C79" s="454"/>
      <c r="D79" s="472"/>
      <c r="E79" s="472"/>
      <c r="F79" s="472"/>
      <c r="G79" s="454"/>
      <c r="H79" s="454"/>
      <c r="I79" s="561"/>
      <c r="J79" s="454"/>
      <c r="K79" s="557"/>
      <c r="L79" s="558" t="str">
        <f t="shared" si="8"/>
        <v/>
      </c>
      <c r="M79" s="401" t="str">
        <f>IF(ISERROR(IF(K79&gt;0,DATEDIF(K79,MIN('Existing Loans'!$C$1,L79),"m"),"")),0,IF(K79&gt;0,DATEDIF(K79,MIN('Existing Loans'!$C$1,L79),"m")+0,""))</f>
        <v/>
      </c>
      <c r="N79" s="401" t="str">
        <f t="shared" si="9"/>
        <v/>
      </c>
      <c r="O79" s="454"/>
      <c r="P79" s="454"/>
      <c r="Q79" s="832"/>
      <c r="R79" s="832"/>
      <c r="S79" s="832"/>
      <c r="T79" s="832"/>
      <c r="U79" s="832"/>
      <c r="V79" s="832"/>
      <c r="W79" s="560">
        <f t="shared" si="10"/>
        <v>0</v>
      </c>
      <c r="X79" s="226" t="str">
        <f t="shared" si="11"/>
        <v/>
      </c>
    </row>
    <row r="80" spans="1:24">
      <c r="A80" s="400">
        <v>78</v>
      </c>
      <c r="B80" s="472"/>
      <c r="C80" s="454"/>
      <c r="D80" s="472"/>
      <c r="E80" s="472"/>
      <c r="F80" s="472"/>
      <c r="G80" s="454"/>
      <c r="H80" s="454"/>
      <c r="I80" s="561"/>
      <c r="J80" s="454"/>
      <c r="K80" s="557"/>
      <c r="L80" s="558" t="str">
        <f t="shared" si="8"/>
        <v/>
      </c>
      <c r="M80" s="401" t="str">
        <f>IF(ISERROR(IF(K80&gt;0,DATEDIF(K80,MIN('Existing Loans'!$C$1,L80),"m"),"")),0,IF(K80&gt;0,DATEDIF(K80,MIN('Existing Loans'!$C$1,L80),"m")+0,""))</f>
        <v/>
      </c>
      <c r="N80" s="401" t="str">
        <f t="shared" si="9"/>
        <v/>
      </c>
      <c r="O80" s="454"/>
      <c r="P80" s="454"/>
      <c r="Q80" s="832"/>
      <c r="R80" s="832"/>
      <c r="S80" s="832"/>
      <c r="T80" s="832"/>
      <c r="U80" s="832"/>
      <c r="V80" s="832"/>
      <c r="W80" s="560">
        <f t="shared" si="10"/>
        <v>0</v>
      </c>
      <c r="X80" s="226" t="str">
        <f t="shared" si="11"/>
        <v/>
      </c>
    </row>
    <row r="81" spans="1:24">
      <c r="A81" s="400">
        <v>79</v>
      </c>
      <c r="B81" s="472"/>
      <c r="C81" s="454"/>
      <c r="D81" s="472"/>
      <c r="E81" s="472"/>
      <c r="F81" s="472"/>
      <c r="G81" s="454"/>
      <c r="H81" s="454"/>
      <c r="I81" s="561"/>
      <c r="J81" s="454"/>
      <c r="K81" s="557"/>
      <c r="L81" s="558" t="str">
        <f t="shared" si="8"/>
        <v/>
      </c>
      <c r="M81" s="401" t="str">
        <f>IF(ISERROR(IF(K81&gt;0,DATEDIF(K81,MIN('Existing Loans'!$C$1,L81),"m"),"")),0,IF(K81&gt;0,DATEDIF(K81,MIN('Existing Loans'!$C$1,L81),"m")+0,""))</f>
        <v/>
      </c>
      <c r="N81" s="401" t="str">
        <f t="shared" si="9"/>
        <v/>
      </c>
      <c r="O81" s="454"/>
      <c r="P81" s="454"/>
      <c r="Q81" s="832"/>
      <c r="R81" s="832"/>
      <c r="S81" s="832"/>
      <c r="T81" s="832"/>
      <c r="U81" s="832"/>
      <c r="V81" s="832"/>
      <c r="W81" s="560">
        <f t="shared" si="10"/>
        <v>0</v>
      </c>
      <c r="X81" s="226" t="str">
        <f t="shared" si="11"/>
        <v/>
      </c>
    </row>
    <row r="82" spans="1:24">
      <c r="A82" s="400">
        <v>80</v>
      </c>
      <c r="B82" s="472"/>
      <c r="C82" s="454"/>
      <c r="D82" s="472"/>
      <c r="E82" s="472"/>
      <c r="F82" s="472"/>
      <c r="G82" s="454"/>
      <c r="H82" s="454"/>
      <c r="I82" s="561"/>
      <c r="J82" s="454"/>
      <c r="K82" s="557"/>
      <c r="L82" s="558" t="str">
        <f t="shared" si="8"/>
        <v/>
      </c>
      <c r="M82" s="401" t="str">
        <f>IF(ISERROR(IF(K82&gt;0,DATEDIF(K82,MIN('Existing Loans'!$C$1,L82),"m"),"")),0,IF(K82&gt;0,DATEDIF(K82,MIN('Existing Loans'!$C$1,L82),"m")+0,""))</f>
        <v/>
      </c>
      <c r="N82" s="401" t="str">
        <f t="shared" si="9"/>
        <v/>
      </c>
      <c r="O82" s="454"/>
      <c r="P82" s="454"/>
      <c r="Q82" s="832"/>
      <c r="R82" s="832"/>
      <c r="S82" s="832"/>
      <c r="T82" s="832"/>
      <c r="U82" s="832"/>
      <c r="V82" s="832"/>
      <c r="W82" s="560">
        <f t="shared" si="10"/>
        <v>0</v>
      </c>
      <c r="X82" s="226" t="str">
        <f t="shared" si="11"/>
        <v/>
      </c>
    </row>
    <row r="83" spans="1:24">
      <c r="A83" s="400">
        <v>81</v>
      </c>
      <c r="B83" s="472"/>
      <c r="C83" s="454"/>
      <c r="D83" s="472"/>
      <c r="E83" s="472"/>
      <c r="F83" s="472"/>
      <c r="G83" s="454"/>
      <c r="H83" s="454"/>
      <c r="I83" s="561"/>
      <c r="J83" s="454"/>
      <c r="K83" s="557"/>
      <c r="L83" s="558" t="str">
        <f t="shared" si="8"/>
        <v/>
      </c>
      <c r="M83" s="401" t="str">
        <f>IF(ISERROR(IF(K83&gt;0,DATEDIF(K83,MIN('Existing Loans'!$C$1,L83),"m"),"")),0,IF(K83&gt;0,DATEDIF(K83,MIN('Existing Loans'!$C$1,L83),"m")+0,""))</f>
        <v/>
      </c>
      <c r="N83" s="401" t="str">
        <f t="shared" si="9"/>
        <v/>
      </c>
      <c r="O83" s="454"/>
      <c r="P83" s="454"/>
      <c r="Q83" s="832"/>
      <c r="R83" s="832"/>
      <c r="S83" s="832"/>
      <c r="T83" s="832"/>
      <c r="U83" s="832"/>
      <c r="V83" s="832"/>
      <c r="W83" s="560">
        <f t="shared" si="10"/>
        <v>0</v>
      </c>
      <c r="X83" s="226" t="str">
        <f t="shared" si="11"/>
        <v/>
      </c>
    </row>
    <row r="84" spans="1:24">
      <c r="A84" s="400">
        <v>82</v>
      </c>
      <c r="B84" s="472"/>
      <c r="C84" s="454"/>
      <c r="D84" s="472"/>
      <c r="E84" s="472"/>
      <c r="F84" s="472"/>
      <c r="G84" s="454"/>
      <c r="H84" s="454"/>
      <c r="I84" s="561"/>
      <c r="J84" s="454"/>
      <c r="K84" s="557"/>
      <c r="L84" s="558" t="str">
        <f t="shared" si="8"/>
        <v/>
      </c>
      <c r="M84" s="401" t="str">
        <f>IF(ISERROR(IF(K84&gt;0,DATEDIF(K84,MIN('Existing Loans'!$C$1,L84),"m"),"")),0,IF(K84&gt;0,DATEDIF(K84,MIN('Existing Loans'!$C$1,L84),"m")+0,""))</f>
        <v/>
      </c>
      <c r="N84" s="401" t="str">
        <f t="shared" si="9"/>
        <v/>
      </c>
      <c r="O84" s="454"/>
      <c r="P84" s="454"/>
      <c r="Q84" s="832"/>
      <c r="R84" s="832"/>
      <c r="S84" s="832"/>
      <c r="T84" s="832"/>
      <c r="U84" s="832"/>
      <c r="V84" s="832"/>
      <c r="W84" s="560">
        <f t="shared" si="10"/>
        <v>0</v>
      </c>
      <c r="X84" s="226" t="str">
        <f t="shared" si="11"/>
        <v/>
      </c>
    </row>
    <row r="85" spans="1:24">
      <c r="A85" s="400">
        <v>83</v>
      </c>
      <c r="B85" s="472"/>
      <c r="C85" s="454"/>
      <c r="D85" s="472"/>
      <c r="E85" s="472"/>
      <c r="F85" s="472"/>
      <c r="G85" s="454"/>
      <c r="H85" s="454"/>
      <c r="I85" s="561"/>
      <c r="J85" s="454"/>
      <c r="K85" s="557"/>
      <c r="L85" s="558" t="str">
        <f t="shared" si="8"/>
        <v/>
      </c>
      <c r="M85" s="401" t="str">
        <f>IF(ISERROR(IF(K85&gt;0,DATEDIF(K85,MIN('Existing Loans'!$C$1,L85),"m"),"")),0,IF(K85&gt;0,DATEDIF(K85,MIN('Existing Loans'!$C$1,L85),"m")+0,""))</f>
        <v/>
      </c>
      <c r="N85" s="401" t="str">
        <f t="shared" si="9"/>
        <v/>
      </c>
      <c r="O85" s="454"/>
      <c r="P85" s="454"/>
      <c r="Q85" s="832"/>
      <c r="R85" s="832"/>
      <c r="S85" s="832"/>
      <c r="T85" s="832"/>
      <c r="U85" s="832"/>
      <c r="V85" s="832"/>
      <c r="W85" s="560">
        <f t="shared" si="10"/>
        <v>0</v>
      </c>
      <c r="X85" s="226" t="str">
        <f t="shared" si="11"/>
        <v/>
      </c>
    </row>
    <row r="86" spans="1:24">
      <c r="A86" s="400">
        <v>84</v>
      </c>
      <c r="B86" s="472"/>
      <c r="C86" s="454"/>
      <c r="D86" s="472"/>
      <c r="E86" s="472"/>
      <c r="F86" s="472"/>
      <c r="G86" s="454"/>
      <c r="H86" s="454"/>
      <c r="I86" s="561"/>
      <c r="J86" s="454"/>
      <c r="K86" s="557"/>
      <c r="L86" s="558" t="str">
        <f t="shared" si="8"/>
        <v/>
      </c>
      <c r="M86" s="401" t="str">
        <f>IF(ISERROR(IF(K86&gt;0,DATEDIF(K86,MIN('Existing Loans'!$C$1,L86),"m"),"")),0,IF(K86&gt;0,DATEDIF(K86,MIN('Existing Loans'!$C$1,L86),"m")+0,""))</f>
        <v/>
      </c>
      <c r="N86" s="401" t="str">
        <f t="shared" si="9"/>
        <v/>
      </c>
      <c r="O86" s="454"/>
      <c r="P86" s="454"/>
      <c r="Q86" s="832"/>
      <c r="R86" s="832"/>
      <c r="S86" s="832"/>
      <c r="T86" s="832"/>
      <c r="U86" s="832"/>
      <c r="V86" s="832"/>
      <c r="W86" s="560">
        <f t="shared" si="10"/>
        <v>0</v>
      </c>
      <c r="X86" s="226" t="str">
        <f t="shared" si="11"/>
        <v/>
      </c>
    </row>
    <row r="87" spans="1:24">
      <c r="A87" s="400">
        <v>85</v>
      </c>
      <c r="B87" s="472"/>
      <c r="C87" s="454"/>
      <c r="D87" s="472"/>
      <c r="E87" s="472"/>
      <c r="F87" s="472"/>
      <c r="G87" s="454"/>
      <c r="H87" s="454"/>
      <c r="I87" s="561"/>
      <c r="J87" s="454"/>
      <c r="K87" s="557"/>
      <c r="L87" s="558" t="str">
        <f t="shared" si="8"/>
        <v/>
      </c>
      <c r="M87" s="401" t="str">
        <f>IF(ISERROR(IF(K87&gt;0,DATEDIF(K87,MIN('Existing Loans'!$C$1,L87),"m"),"")),0,IF(K87&gt;0,DATEDIF(K87,MIN('Existing Loans'!$C$1,L87),"m")+0,""))</f>
        <v/>
      </c>
      <c r="N87" s="401" t="str">
        <f t="shared" si="9"/>
        <v/>
      </c>
      <c r="O87" s="454"/>
      <c r="P87" s="454"/>
      <c r="Q87" s="832"/>
      <c r="R87" s="832"/>
      <c r="S87" s="832"/>
      <c r="T87" s="832"/>
      <c r="U87" s="832"/>
      <c r="V87" s="832"/>
      <c r="W87" s="560">
        <f t="shared" si="10"/>
        <v>0</v>
      </c>
      <c r="X87" s="226" t="str">
        <f t="shared" si="11"/>
        <v/>
      </c>
    </row>
    <row r="88" spans="1:24">
      <c r="A88" s="400">
        <v>86</v>
      </c>
      <c r="B88" s="472"/>
      <c r="C88" s="454"/>
      <c r="D88" s="472"/>
      <c r="E88" s="472"/>
      <c r="F88" s="472"/>
      <c r="G88" s="454"/>
      <c r="H88" s="454"/>
      <c r="I88" s="561"/>
      <c r="J88" s="454"/>
      <c r="K88" s="557"/>
      <c r="L88" s="558" t="str">
        <f t="shared" si="8"/>
        <v/>
      </c>
      <c r="M88" s="401" t="str">
        <f>IF(ISERROR(IF(K88&gt;0,DATEDIF(K88,MIN('Existing Loans'!$C$1,L88),"m"),"")),0,IF(K88&gt;0,DATEDIF(K88,MIN('Existing Loans'!$C$1,L88),"m")+0,""))</f>
        <v/>
      </c>
      <c r="N88" s="401" t="str">
        <f t="shared" si="9"/>
        <v/>
      </c>
      <c r="O88" s="454"/>
      <c r="P88" s="454"/>
      <c r="Q88" s="832"/>
      <c r="R88" s="832"/>
      <c r="S88" s="832"/>
      <c r="T88" s="832"/>
      <c r="U88" s="832"/>
      <c r="V88" s="832"/>
      <c r="W88" s="560">
        <f t="shared" si="10"/>
        <v>0</v>
      </c>
      <c r="X88" s="226" t="str">
        <f t="shared" si="11"/>
        <v/>
      </c>
    </row>
    <row r="89" spans="1:24">
      <c r="A89" s="400">
        <v>87</v>
      </c>
      <c r="B89" s="472"/>
      <c r="C89" s="454"/>
      <c r="D89" s="472"/>
      <c r="E89" s="472"/>
      <c r="F89" s="472"/>
      <c r="G89" s="454"/>
      <c r="H89" s="454"/>
      <c r="I89" s="561"/>
      <c r="J89" s="454"/>
      <c r="K89" s="557"/>
      <c r="L89" s="558" t="str">
        <f t="shared" si="8"/>
        <v/>
      </c>
      <c r="M89" s="401" t="str">
        <f>IF(ISERROR(IF(K89&gt;0,DATEDIF(K89,MIN('Existing Loans'!$C$1,L89),"m"),"")),0,IF(K89&gt;0,DATEDIF(K89,MIN('Existing Loans'!$C$1,L89),"m")+0,""))</f>
        <v/>
      </c>
      <c r="N89" s="401" t="str">
        <f t="shared" si="9"/>
        <v/>
      </c>
      <c r="O89" s="454"/>
      <c r="P89" s="454"/>
      <c r="Q89" s="832"/>
      <c r="R89" s="832"/>
      <c r="S89" s="832"/>
      <c r="T89" s="832"/>
      <c r="U89" s="832"/>
      <c r="V89" s="832"/>
      <c r="W89" s="560">
        <f t="shared" si="10"/>
        <v>0</v>
      </c>
      <c r="X89" s="226" t="str">
        <f t="shared" si="11"/>
        <v/>
      </c>
    </row>
    <row r="90" spans="1:24">
      <c r="A90" s="400">
        <v>88</v>
      </c>
      <c r="B90" s="472"/>
      <c r="C90" s="454"/>
      <c r="D90" s="472"/>
      <c r="E90" s="472"/>
      <c r="F90" s="472"/>
      <c r="G90" s="454"/>
      <c r="H90" s="454"/>
      <c r="I90" s="561"/>
      <c r="J90" s="454"/>
      <c r="K90" s="557"/>
      <c r="L90" s="558" t="str">
        <f t="shared" si="8"/>
        <v/>
      </c>
      <c r="M90" s="401" t="str">
        <f>IF(ISERROR(IF(K90&gt;0,DATEDIF(K90,MIN('Existing Loans'!$C$1,L90),"m"),"")),0,IF(K90&gt;0,DATEDIF(K90,MIN('Existing Loans'!$C$1,L90),"m")+0,""))</f>
        <v/>
      </c>
      <c r="N90" s="401" t="str">
        <f t="shared" si="9"/>
        <v/>
      </c>
      <c r="O90" s="454"/>
      <c r="P90" s="454"/>
      <c r="Q90" s="832"/>
      <c r="R90" s="832"/>
      <c r="S90" s="832"/>
      <c r="T90" s="832"/>
      <c r="U90" s="832"/>
      <c r="V90" s="832"/>
      <c r="W90" s="560">
        <f t="shared" si="10"/>
        <v>0</v>
      </c>
      <c r="X90" s="226" t="str">
        <f t="shared" si="11"/>
        <v/>
      </c>
    </row>
    <row r="91" spans="1:24">
      <c r="A91" s="400">
        <v>89</v>
      </c>
      <c r="B91" s="472"/>
      <c r="C91" s="454"/>
      <c r="D91" s="472"/>
      <c r="E91" s="472"/>
      <c r="F91" s="472"/>
      <c r="G91" s="454"/>
      <c r="H91" s="454"/>
      <c r="I91" s="561"/>
      <c r="J91" s="454"/>
      <c r="K91" s="557"/>
      <c r="L91" s="558" t="str">
        <f t="shared" si="8"/>
        <v/>
      </c>
      <c r="M91" s="401" t="str">
        <f>IF(ISERROR(IF(K91&gt;0,DATEDIF(K91,MIN('Existing Loans'!$C$1,L91),"m"),"")),0,IF(K91&gt;0,DATEDIF(K91,MIN('Existing Loans'!$C$1,L91),"m")+0,""))</f>
        <v/>
      </c>
      <c r="N91" s="401" t="str">
        <f t="shared" si="9"/>
        <v/>
      </c>
      <c r="O91" s="454"/>
      <c r="P91" s="454"/>
      <c r="Q91" s="832"/>
      <c r="R91" s="832"/>
      <c r="S91" s="832"/>
      <c r="T91" s="832"/>
      <c r="U91" s="832"/>
      <c r="V91" s="832"/>
      <c r="W91" s="560">
        <f t="shared" si="10"/>
        <v>0</v>
      </c>
      <c r="X91" s="226" t="str">
        <f t="shared" si="11"/>
        <v/>
      </c>
    </row>
    <row r="92" spans="1:24">
      <c r="A92" s="400">
        <v>90</v>
      </c>
      <c r="B92" s="472"/>
      <c r="C92" s="454"/>
      <c r="D92" s="472"/>
      <c r="E92" s="472"/>
      <c r="F92" s="472"/>
      <c r="G92" s="454"/>
      <c r="H92" s="454"/>
      <c r="I92" s="561"/>
      <c r="J92" s="454"/>
      <c r="K92" s="557"/>
      <c r="L92" s="558" t="str">
        <f t="shared" si="8"/>
        <v/>
      </c>
      <c r="M92" s="401" t="str">
        <f>IF(ISERROR(IF(K92&gt;0,DATEDIF(K92,MIN('Existing Loans'!$C$1,L92),"m"),"")),0,IF(K92&gt;0,DATEDIF(K92,MIN('Existing Loans'!$C$1,L92),"m")+0,""))</f>
        <v/>
      </c>
      <c r="N92" s="401" t="str">
        <f t="shared" si="9"/>
        <v/>
      </c>
      <c r="O92" s="454"/>
      <c r="P92" s="454"/>
      <c r="Q92" s="832"/>
      <c r="R92" s="832"/>
      <c r="S92" s="832"/>
      <c r="T92" s="832"/>
      <c r="U92" s="832"/>
      <c r="V92" s="832"/>
      <c r="W92" s="560">
        <f t="shared" si="10"/>
        <v>0</v>
      </c>
      <c r="X92" s="226" t="str">
        <f t="shared" si="11"/>
        <v/>
      </c>
    </row>
    <row r="93" spans="1:24">
      <c r="A93" s="400">
        <v>91</v>
      </c>
      <c r="B93" s="472"/>
      <c r="C93" s="454"/>
      <c r="D93" s="472"/>
      <c r="E93" s="472"/>
      <c r="F93" s="472"/>
      <c r="G93" s="454"/>
      <c r="H93" s="454"/>
      <c r="I93" s="561"/>
      <c r="J93" s="454"/>
      <c r="K93" s="557"/>
      <c r="L93" s="558" t="str">
        <f t="shared" si="8"/>
        <v/>
      </c>
      <c r="M93" s="401" t="str">
        <f>IF(ISERROR(IF(K93&gt;0,DATEDIF(K93,MIN('Existing Loans'!$C$1,L93),"m"),"")),0,IF(K93&gt;0,DATEDIF(K93,MIN('Existing Loans'!$C$1,L93),"m")+0,""))</f>
        <v/>
      </c>
      <c r="N93" s="401" t="str">
        <f t="shared" si="9"/>
        <v/>
      </c>
      <c r="O93" s="454"/>
      <c r="P93" s="454"/>
      <c r="Q93" s="832"/>
      <c r="R93" s="832"/>
      <c r="S93" s="832"/>
      <c r="T93" s="832"/>
      <c r="U93" s="832"/>
      <c r="V93" s="832"/>
      <c r="W93" s="560">
        <f t="shared" si="10"/>
        <v>0</v>
      </c>
      <c r="X93" s="226" t="str">
        <f t="shared" si="11"/>
        <v/>
      </c>
    </row>
    <row r="94" spans="1:24">
      <c r="A94" s="400">
        <v>92</v>
      </c>
      <c r="B94" s="472"/>
      <c r="C94" s="454"/>
      <c r="D94" s="472"/>
      <c r="E94" s="472"/>
      <c r="F94" s="472"/>
      <c r="G94" s="454"/>
      <c r="H94" s="454"/>
      <c r="I94" s="561"/>
      <c r="J94" s="454"/>
      <c r="K94" s="557"/>
      <c r="L94" s="558" t="str">
        <f t="shared" si="8"/>
        <v/>
      </c>
      <c r="M94" s="401" t="str">
        <f>IF(ISERROR(IF(K94&gt;0,DATEDIF(K94,MIN('Existing Loans'!$C$1,L94),"m"),"")),0,IF(K94&gt;0,DATEDIF(K94,MIN('Existing Loans'!$C$1,L94),"m")+0,""))</f>
        <v/>
      </c>
      <c r="N94" s="401" t="str">
        <f t="shared" si="9"/>
        <v/>
      </c>
      <c r="O94" s="454"/>
      <c r="P94" s="454"/>
      <c r="Q94" s="832"/>
      <c r="R94" s="832"/>
      <c r="S94" s="832"/>
      <c r="T94" s="832"/>
      <c r="U94" s="832"/>
      <c r="V94" s="832"/>
      <c r="W94" s="560">
        <f t="shared" si="10"/>
        <v>0</v>
      </c>
      <c r="X94" s="226" t="str">
        <f t="shared" si="11"/>
        <v/>
      </c>
    </row>
    <row r="95" spans="1:24">
      <c r="A95" s="400">
        <v>93</v>
      </c>
      <c r="B95" s="472"/>
      <c r="C95" s="454"/>
      <c r="D95" s="472"/>
      <c r="E95" s="472"/>
      <c r="F95" s="472"/>
      <c r="G95" s="454"/>
      <c r="H95" s="454"/>
      <c r="I95" s="561"/>
      <c r="J95" s="454"/>
      <c r="K95" s="557"/>
      <c r="L95" s="558" t="str">
        <f t="shared" si="8"/>
        <v/>
      </c>
      <c r="M95" s="401" t="str">
        <f>IF(ISERROR(IF(K95&gt;0,DATEDIF(K95,MIN('Existing Loans'!$C$1,L95),"m"),"")),0,IF(K95&gt;0,DATEDIF(K95,MIN('Existing Loans'!$C$1,L95),"m")+0,""))</f>
        <v/>
      </c>
      <c r="N95" s="401" t="str">
        <f t="shared" si="9"/>
        <v/>
      </c>
      <c r="O95" s="454"/>
      <c r="P95" s="454"/>
      <c r="Q95" s="832"/>
      <c r="R95" s="832"/>
      <c r="S95" s="832"/>
      <c r="T95" s="832"/>
      <c r="U95" s="832"/>
      <c r="V95" s="832"/>
      <c r="W95" s="560">
        <f t="shared" si="10"/>
        <v>0</v>
      </c>
      <c r="X95" s="226" t="str">
        <f t="shared" si="11"/>
        <v/>
      </c>
    </row>
    <row r="96" spans="1:24">
      <c r="A96" s="400">
        <v>94</v>
      </c>
      <c r="B96" s="472"/>
      <c r="C96" s="454"/>
      <c r="D96" s="472"/>
      <c r="E96" s="472"/>
      <c r="F96" s="472"/>
      <c r="G96" s="454"/>
      <c r="H96" s="454"/>
      <c r="I96" s="561"/>
      <c r="J96" s="454"/>
      <c r="K96" s="557"/>
      <c r="L96" s="558" t="str">
        <f t="shared" si="8"/>
        <v/>
      </c>
      <c r="M96" s="401" t="str">
        <f>IF(ISERROR(IF(K96&gt;0,DATEDIF(K96,MIN('Existing Loans'!$C$1,L96),"m"),"")),0,IF(K96&gt;0,DATEDIF(K96,MIN('Existing Loans'!$C$1,L96),"m")+0,""))</f>
        <v/>
      </c>
      <c r="N96" s="401" t="str">
        <f t="shared" si="9"/>
        <v/>
      </c>
      <c r="O96" s="454"/>
      <c r="P96" s="454"/>
      <c r="Q96" s="832"/>
      <c r="R96" s="832"/>
      <c r="S96" s="832"/>
      <c r="T96" s="832"/>
      <c r="U96" s="832"/>
      <c r="V96" s="832"/>
      <c r="W96" s="560">
        <f t="shared" si="10"/>
        <v>0</v>
      </c>
      <c r="X96" s="226" t="str">
        <f t="shared" si="11"/>
        <v/>
      </c>
    </row>
    <row r="97" spans="1:24">
      <c r="A97" s="400">
        <v>95</v>
      </c>
      <c r="B97" s="472"/>
      <c r="C97" s="454"/>
      <c r="D97" s="472"/>
      <c r="E97" s="472"/>
      <c r="F97" s="472"/>
      <c r="G97" s="454"/>
      <c r="H97" s="454"/>
      <c r="I97" s="561"/>
      <c r="J97" s="454"/>
      <c r="K97" s="557"/>
      <c r="L97" s="558" t="str">
        <f t="shared" si="8"/>
        <v/>
      </c>
      <c r="M97" s="401" t="str">
        <f>IF(ISERROR(IF(K97&gt;0,DATEDIF(K97,MIN('Existing Loans'!$C$1,L97),"m"),"")),0,IF(K97&gt;0,DATEDIF(K97,MIN('Existing Loans'!$C$1,L97),"m")+0,""))</f>
        <v/>
      </c>
      <c r="N97" s="401" t="str">
        <f t="shared" si="9"/>
        <v/>
      </c>
      <c r="O97" s="454"/>
      <c r="P97" s="454"/>
      <c r="Q97" s="832"/>
      <c r="R97" s="832"/>
      <c r="S97" s="832"/>
      <c r="T97" s="832"/>
      <c r="U97" s="832"/>
      <c r="V97" s="832"/>
      <c r="W97" s="560">
        <f t="shared" si="10"/>
        <v>0</v>
      </c>
      <c r="X97" s="226" t="str">
        <f t="shared" si="11"/>
        <v/>
      </c>
    </row>
    <row r="98" spans="1:24">
      <c r="A98" s="400">
        <v>96</v>
      </c>
      <c r="B98" s="472"/>
      <c r="C98" s="454"/>
      <c r="D98" s="472"/>
      <c r="E98" s="472"/>
      <c r="F98" s="472"/>
      <c r="G98" s="454"/>
      <c r="H98" s="454"/>
      <c r="I98" s="561"/>
      <c r="J98" s="454"/>
      <c r="K98" s="557"/>
      <c r="L98" s="558" t="str">
        <f t="shared" si="8"/>
        <v/>
      </c>
      <c r="M98" s="401" t="str">
        <f>IF(ISERROR(IF(K98&gt;0,DATEDIF(K98,MIN('Existing Loans'!$C$1,L98),"m"),"")),0,IF(K98&gt;0,DATEDIF(K98,MIN('Existing Loans'!$C$1,L98),"m")+0,""))</f>
        <v/>
      </c>
      <c r="N98" s="401" t="str">
        <f t="shared" si="9"/>
        <v/>
      </c>
      <c r="O98" s="454"/>
      <c r="P98" s="454"/>
      <c r="Q98" s="832"/>
      <c r="R98" s="832"/>
      <c r="S98" s="832"/>
      <c r="T98" s="832"/>
      <c r="U98" s="832"/>
      <c r="V98" s="832"/>
      <c r="W98" s="560">
        <f t="shared" si="10"/>
        <v>0</v>
      </c>
      <c r="X98" s="226" t="str">
        <f t="shared" si="11"/>
        <v/>
      </c>
    </row>
    <row r="99" spans="1:24">
      <c r="A99" s="400">
        <v>97</v>
      </c>
      <c r="B99" s="472"/>
      <c r="C99" s="454"/>
      <c r="D99" s="472"/>
      <c r="E99" s="472"/>
      <c r="F99" s="472"/>
      <c r="G99" s="454"/>
      <c r="H99" s="454"/>
      <c r="I99" s="561"/>
      <c r="J99" s="454"/>
      <c r="K99" s="557"/>
      <c r="L99" s="558" t="str">
        <f t="shared" si="8"/>
        <v/>
      </c>
      <c r="M99" s="401" t="str">
        <f>IF(ISERROR(IF(K99&gt;0,DATEDIF(K99,MIN('Existing Loans'!$C$1,L99),"m"),"")),0,IF(K99&gt;0,DATEDIF(K99,MIN('Existing Loans'!$C$1,L99),"m")+0,""))</f>
        <v/>
      </c>
      <c r="N99" s="401" t="str">
        <f t="shared" si="9"/>
        <v/>
      </c>
      <c r="O99" s="454"/>
      <c r="P99" s="454"/>
      <c r="Q99" s="832"/>
      <c r="R99" s="832"/>
      <c r="S99" s="832"/>
      <c r="T99" s="832"/>
      <c r="U99" s="832"/>
      <c r="V99" s="832"/>
      <c r="W99" s="560">
        <f t="shared" si="10"/>
        <v>0</v>
      </c>
      <c r="X99" s="226" t="str">
        <f t="shared" si="11"/>
        <v/>
      </c>
    </row>
    <row r="100" spans="1:24">
      <c r="A100" s="400">
        <v>98</v>
      </c>
      <c r="B100" s="472"/>
      <c r="C100" s="454"/>
      <c r="D100" s="472"/>
      <c r="E100" s="472"/>
      <c r="F100" s="472"/>
      <c r="G100" s="454"/>
      <c r="H100" s="454"/>
      <c r="I100" s="561"/>
      <c r="J100" s="454"/>
      <c r="K100" s="557"/>
      <c r="L100" s="558" t="str">
        <f t="shared" ref="L100:L131" si="12">IF(AND(J100&gt;0,K100&gt;0),DATE(YEAR(K100),MONTH(K100)+J100+IF(DAY(K100)&lt;=15,0,1),DAY(K100)),"")</f>
        <v/>
      </c>
      <c r="M100" s="401" t="str">
        <f>IF(ISERROR(IF(K100&gt;0,DATEDIF(K100,MIN('Existing Loans'!$C$1,L100),"m"),"")),0,IF(K100&gt;0,DATEDIF(K100,MIN('Existing Loans'!$C$1,L100),"m")+0,""))</f>
        <v/>
      </c>
      <c r="N100" s="401" t="str">
        <f t="shared" ref="N100:N131" si="13">IF(J100="","",J100-M100)</f>
        <v/>
      </c>
      <c r="O100" s="454"/>
      <c r="P100" s="454"/>
      <c r="Q100" s="832"/>
      <c r="R100" s="832"/>
      <c r="S100" s="832"/>
      <c r="T100" s="832"/>
      <c r="U100" s="832"/>
      <c r="V100" s="832"/>
      <c r="W100" s="560">
        <f t="shared" ref="W100:W135" si="14">IF(AND(F100="Live",N100&gt;6),H100,0)</f>
        <v>0</v>
      </c>
      <c r="X100" s="226" t="str">
        <f t="shared" ref="X100:X135" si="15">B100&amp;E100</f>
        <v/>
      </c>
    </row>
    <row r="101" spans="1:24">
      <c r="A101" s="400">
        <v>99</v>
      </c>
      <c r="B101" s="472"/>
      <c r="C101" s="454"/>
      <c r="D101" s="472"/>
      <c r="E101" s="472"/>
      <c r="F101" s="472"/>
      <c r="G101" s="454"/>
      <c r="H101" s="454"/>
      <c r="I101" s="561"/>
      <c r="J101" s="454"/>
      <c r="K101" s="557"/>
      <c r="L101" s="558" t="str">
        <f t="shared" si="12"/>
        <v/>
      </c>
      <c r="M101" s="401" t="str">
        <f>IF(ISERROR(IF(K101&gt;0,DATEDIF(K101,MIN('Existing Loans'!$C$1,L101),"m"),"")),0,IF(K101&gt;0,DATEDIF(K101,MIN('Existing Loans'!$C$1,L101),"m")+0,""))</f>
        <v/>
      </c>
      <c r="N101" s="401" t="str">
        <f t="shared" si="13"/>
        <v/>
      </c>
      <c r="O101" s="454"/>
      <c r="P101" s="454"/>
      <c r="Q101" s="832"/>
      <c r="R101" s="832"/>
      <c r="S101" s="832"/>
      <c r="T101" s="832"/>
      <c r="U101" s="832"/>
      <c r="V101" s="832"/>
      <c r="W101" s="560">
        <f t="shared" si="14"/>
        <v>0</v>
      </c>
      <c r="X101" s="226" t="str">
        <f t="shared" si="15"/>
        <v/>
      </c>
    </row>
    <row r="102" spans="1:24">
      <c r="A102" s="400">
        <v>100</v>
      </c>
      <c r="B102" s="472"/>
      <c r="C102" s="454"/>
      <c r="D102" s="472"/>
      <c r="E102" s="472"/>
      <c r="F102" s="472"/>
      <c r="G102" s="454"/>
      <c r="H102" s="454"/>
      <c r="I102" s="561"/>
      <c r="J102" s="454"/>
      <c r="K102" s="557"/>
      <c r="L102" s="558" t="str">
        <f t="shared" si="12"/>
        <v/>
      </c>
      <c r="M102" s="401" t="str">
        <f>IF(ISERROR(IF(K102&gt;0,DATEDIF(K102,MIN('Existing Loans'!$C$1,L102),"m"),"")),0,IF(K102&gt;0,DATEDIF(K102,MIN('Existing Loans'!$C$1,L102),"m")+0,""))</f>
        <v/>
      </c>
      <c r="N102" s="401" t="str">
        <f t="shared" si="13"/>
        <v/>
      </c>
      <c r="O102" s="454"/>
      <c r="P102" s="454"/>
      <c r="Q102" s="832"/>
      <c r="R102" s="832"/>
      <c r="S102" s="832"/>
      <c r="T102" s="832"/>
      <c r="U102" s="832"/>
      <c r="V102" s="832"/>
      <c r="W102" s="560">
        <f t="shared" si="14"/>
        <v>0</v>
      </c>
      <c r="X102" s="226" t="str">
        <f t="shared" si="15"/>
        <v/>
      </c>
    </row>
    <row r="103" spans="1:24">
      <c r="A103" s="400">
        <v>101</v>
      </c>
      <c r="B103" s="472"/>
      <c r="C103" s="454"/>
      <c r="D103" s="472"/>
      <c r="E103" s="472"/>
      <c r="F103" s="472"/>
      <c r="G103" s="454"/>
      <c r="H103" s="454"/>
      <c r="I103" s="561"/>
      <c r="J103" s="454"/>
      <c r="K103" s="557"/>
      <c r="L103" s="558" t="str">
        <f t="shared" si="12"/>
        <v/>
      </c>
      <c r="M103" s="401" t="str">
        <f>IF(ISERROR(IF(K103&gt;0,DATEDIF(K103,MIN('Existing Loans'!$C$1,L103),"m"),"")),0,IF(K103&gt;0,DATEDIF(K103,MIN('Existing Loans'!$C$1,L103),"m")+0,""))</f>
        <v/>
      </c>
      <c r="N103" s="401" t="str">
        <f t="shared" si="13"/>
        <v/>
      </c>
      <c r="O103" s="454"/>
      <c r="P103" s="454"/>
      <c r="Q103" s="832"/>
      <c r="R103" s="832"/>
      <c r="S103" s="832"/>
      <c r="T103" s="832"/>
      <c r="U103" s="832"/>
      <c r="V103" s="832"/>
      <c r="W103" s="560">
        <f t="shared" si="14"/>
        <v>0</v>
      </c>
      <c r="X103" s="226" t="str">
        <f t="shared" si="15"/>
        <v/>
      </c>
    </row>
    <row r="104" spans="1:24">
      <c r="A104" s="400">
        <v>102</v>
      </c>
      <c r="B104" s="472"/>
      <c r="C104" s="454"/>
      <c r="D104" s="472"/>
      <c r="E104" s="472"/>
      <c r="F104" s="472"/>
      <c r="G104" s="454"/>
      <c r="H104" s="454"/>
      <c r="I104" s="561"/>
      <c r="J104" s="454"/>
      <c r="K104" s="557"/>
      <c r="L104" s="558" t="str">
        <f t="shared" si="12"/>
        <v/>
      </c>
      <c r="M104" s="401" t="str">
        <f>IF(ISERROR(IF(K104&gt;0,DATEDIF(K104,MIN('Existing Loans'!$C$1,L104),"m"),"")),0,IF(K104&gt;0,DATEDIF(K104,MIN('Existing Loans'!$C$1,L104),"m")+0,""))</f>
        <v/>
      </c>
      <c r="N104" s="401" t="str">
        <f t="shared" si="13"/>
        <v/>
      </c>
      <c r="O104" s="454"/>
      <c r="P104" s="454"/>
      <c r="Q104" s="832"/>
      <c r="R104" s="832"/>
      <c r="S104" s="832"/>
      <c r="T104" s="832"/>
      <c r="U104" s="832"/>
      <c r="V104" s="832"/>
      <c r="W104" s="560">
        <f t="shared" si="14"/>
        <v>0</v>
      </c>
      <c r="X104" s="226" t="str">
        <f t="shared" si="15"/>
        <v/>
      </c>
    </row>
    <row r="105" spans="1:24">
      <c r="A105" s="400">
        <v>103</v>
      </c>
      <c r="B105" s="472"/>
      <c r="C105" s="454"/>
      <c r="D105" s="472"/>
      <c r="E105" s="472"/>
      <c r="F105" s="472"/>
      <c r="G105" s="454"/>
      <c r="H105" s="454"/>
      <c r="I105" s="561"/>
      <c r="J105" s="454"/>
      <c r="K105" s="557"/>
      <c r="L105" s="558" t="str">
        <f t="shared" si="12"/>
        <v/>
      </c>
      <c r="M105" s="401" t="str">
        <f>IF(ISERROR(IF(K105&gt;0,DATEDIF(K105,MIN('Existing Loans'!$C$1,L105),"m"),"")),0,IF(K105&gt;0,DATEDIF(K105,MIN('Existing Loans'!$C$1,L105),"m")+0,""))</f>
        <v/>
      </c>
      <c r="N105" s="401" t="str">
        <f t="shared" si="13"/>
        <v/>
      </c>
      <c r="O105" s="454"/>
      <c r="P105" s="454"/>
      <c r="Q105" s="832"/>
      <c r="R105" s="832"/>
      <c r="S105" s="832"/>
      <c r="T105" s="832"/>
      <c r="U105" s="832"/>
      <c r="V105" s="832"/>
      <c r="W105" s="560">
        <f t="shared" si="14"/>
        <v>0</v>
      </c>
      <c r="X105" s="226" t="str">
        <f t="shared" si="15"/>
        <v/>
      </c>
    </row>
    <row r="106" spans="1:24">
      <c r="A106" s="400">
        <v>104</v>
      </c>
      <c r="B106" s="472"/>
      <c r="C106" s="454"/>
      <c r="D106" s="472"/>
      <c r="E106" s="472"/>
      <c r="F106" s="472"/>
      <c r="G106" s="454"/>
      <c r="H106" s="454"/>
      <c r="I106" s="561"/>
      <c r="J106" s="454"/>
      <c r="K106" s="557"/>
      <c r="L106" s="558" t="str">
        <f t="shared" si="12"/>
        <v/>
      </c>
      <c r="M106" s="401" t="str">
        <f>IF(ISERROR(IF(K106&gt;0,DATEDIF(K106,MIN('Existing Loans'!$C$1,L106),"m"),"")),0,IF(K106&gt;0,DATEDIF(K106,MIN('Existing Loans'!$C$1,L106),"m")+0,""))</f>
        <v/>
      </c>
      <c r="N106" s="401" t="str">
        <f t="shared" si="13"/>
        <v/>
      </c>
      <c r="O106" s="454"/>
      <c r="P106" s="454"/>
      <c r="Q106" s="832"/>
      <c r="R106" s="832"/>
      <c r="S106" s="832"/>
      <c r="T106" s="832"/>
      <c r="U106" s="832"/>
      <c r="V106" s="832"/>
      <c r="W106" s="560">
        <f t="shared" si="14"/>
        <v>0</v>
      </c>
      <c r="X106" s="226" t="str">
        <f t="shared" si="15"/>
        <v/>
      </c>
    </row>
    <row r="107" spans="1:24">
      <c r="A107" s="400">
        <v>105</v>
      </c>
      <c r="B107" s="472"/>
      <c r="C107" s="454"/>
      <c r="D107" s="472"/>
      <c r="E107" s="472"/>
      <c r="F107" s="472"/>
      <c r="G107" s="454"/>
      <c r="H107" s="454"/>
      <c r="I107" s="561"/>
      <c r="J107" s="454"/>
      <c r="K107" s="557"/>
      <c r="L107" s="558" t="str">
        <f t="shared" si="12"/>
        <v/>
      </c>
      <c r="M107" s="401" t="str">
        <f>IF(ISERROR(IF(K107&gt;0,DATEDIF(K107,MIN('Existing Loans'!$C$1,L107),"m"),"")),0,IF(K107&gt;0,DATEDIF(K107,MIN('Existing Loans'!$C$1,L107),"m")+0,""))</f>
        <v/>
      </c>
      <c r="N107" s="401" t="str">
        <f t="shared" si="13"/>
        <v/>
      </c>
      <c r="O107" s="454"/>
      <c r="P107" s="454"/>
      <c r="Q107" s="832"/>
      <c r="R107" s="832"/>
      <c r="S107" s="832"/>
      <c r="T107" s="832"/>
      <c r="U107" s="832"/>
      <c r="V107" s="832"/>
      <c r="W107" s="560">
        <f t="shared" si="14"/>
        <v>0</v>
      </c>
      <c r="X107" s="226" t="str">
        <f t="shared" si="15"/>
        <v/>
      </c>
    </row>
    <row r="108" spans="1:24">
      <c r="A108" s="400">
        <v>106</v>
      </c>
      <c r="B108" s="472"/>
      <c r="C108" s="454"/>
      <c r="D108" s="472"/>
      <c r="E108" s="472"/>
      <c r="F108" s="472"/>
      <c r="G108" s="454"/>
      <c r="H108" s="454"/>
      <c r="I108" s="561"/>
      <c r="J108" s="454"/>
      <c r="K108" s="557"/>
      <c r="L108" s="558" t="str">
        <f t="shared" si="12"/>
        <v/>
      </c>
      <c r="M108" s="401" t="str">
        <f>IF(ISERROR(IF(K108&gt;0,DATEDIF(K108,MIN('Existing Loans'!$C$1,L108),"m"),"")),0,IF(K108&gt;0,DATEDIF(K108,MIN('Existing Loans'!$C$1,L108),"m")+0,""))</f>
        <v/>
      </c>
      <c r="N108" s="401" t="str">
        <f t="shared" si="13"/>
        <v/>
      </c>
      <c r="O108" s="454"/>
      <c r="P108" s="454"/>
      <c r="Q108" s="832"/>
      <c r="R108" s="832"/>
      <c r="S108" s="832"/>
      <c r="T108" s="832"/>
      <c r="U108" s="832"/>
      <c r="V108" s="832"/>
      <c r="W108" s="560">
        <f t="shared" si="14"/>
        <v>0</v>
      </c>
      <c r="X108" s="226" t="str">
        <f t="shared" si="15"/>
        <v/>
      </c>
    </row>
    <row r="109" spans="1:24">
      <c r="A109" s="400">
        <v>107</v>
      </c>
      <c r="B109" s="472"/>
      <c r="C109" s="454"/>
      <c r="D109" s="472"/>
      <c r="E109" s="472"/>
      <c r="F109" s="472"/>
      <c r="G109" s="454"/>
      <c r="H109" s="454"/>
      <c r="I109" s="561"/>
      <c r="J109" s="454"/>
      <c r="K109" s="557"/>
      <c r="L109" s="558" t="str">
        <f t="shared" si="12"/>
        <v/>
      </c>
      <c r="M109" s="401" t="str">
        <f>IF(ISERROR(IF(K109&gt;0,DATEDIF(K109,MIN('Existing Loans'!$C$1,L109),"m"),"")),0,IF(K109&gt;0,DATEDIF(K109,MIN('Existing Loans'!$C$1,L109),"m")+0,""))</f>
        <v/>
      </c>
      <c r="N109" s="401" t="str">
        <f t="shared" si="13"/>
        <v/>
      </c>
      <c r="O109" s="454"/>
      <c r="P109" s="454"/>
      <c r="Q109" s="832"/>
      <c r="R109" s="832"/>
      <c r="S109" s="832"/>
      <c r="T109" s="832"/>
      <c r="U109" s="832"/>
      <c r="V109" s="832"/>
      <c r="W109" s="560">
        <f t="shared" si="14"/>
        <v>0</v>
      </c>
      <c r="X109" s="226" t="str">
        <f t="shared" si="15"/>
        <v/>
      </c>
    </row>
    <row r="110" spans="1:24">
      <c r="A110" s="400">
        <v>108</v>
      </c>
      <c r="B110" s="472"/>
      <c r="C110" s="454"/>
      <c r="D110" s="472"/>
      <c r="E110" s="472"/>
      <c r="F110" s="472"/>
      <c r="G110" s="454"/>
      <c r="H110" s="454"/>
      <c r="I110" s="561"/>
      <c r="J110" s="454"/>
      <c r="K110" s="557"/>
      <c r="L110" s="558" t="str">
        <f t="shared" si="12"/>
        <v/>
      </c>
      <c r="M110" s="401" t="str">
        <f>IF(ISERROR(IF(K110&gt;0,DATEDIF(K110,MIN('Existing Loans'!$C$1,L110),"m"),"")),0,IF(K110&gt;0,DATEDIF(K110,MIN('Existing Loans'!$C$1,L110),"m")+0,""))</f>
        <v/>
      </c>
      <c r="N110" s="401" t="str">
        <f t="shared" si="13"/>
        <v/>
      </c>
      <c r="O110" s="454"/>
      <c r="P110" s="454"/>
      <c r="Q110" s="832"/>
      <c r="R110" s="832"/>
      <c r="S110" s="832"/>
      <c r="T110" s="832"/>
      <c r="U110" s="832"/>
      <c r="V110" s="832"/>
      <c r="W110" s="560">
        <f t="shared" si="14"/>
        <v>0</v>
      </c>
      <c r="X110" s="226" t="str">
        <f t="shared" si="15"/>
        <v/>
      </c>
    </row>
    <row r="111" spans="1:24">
      <c r="A111" s="400">
        <v>109</v>
      </c>
      <c r="B111" s="472"/>
      <c r="C111" s="454"/>
      <c r="D111" s="472"/>
      <c r="E111" s="472"/>
      <c r="F111" s="472"/>
      <c r="G111" s="454"/>
      <c r="H111" s="454"/>
      <c r="I111" s="561"/>
      <c r="J111" s="454"/>
      <c r="K111" s="557"/>
      <c r="L111" s="558" t="str">
        <f t="shared" si="12"/>
        <v/>
      </c>
      <c r="M111" s="401" t="str">
        <f>IF(ISERROR(IF(K111&gt;0,DATEDIF(K111,MIN('Existing Loans'!$C$1,L111),"m"),"")),0,IF(K111&gt;0,DATEDIF(K111,MIN('Existing Loans'!$C$1,L111),"m")+0,""))</f>
        <v/>
      </c>
      <c r="N111" s="401" t="str">
        <f t="shared" si="13"/>
        <v/>
      </c>
      <c r="O111" s="454"/>
      <c r="P111" s="454"/>
      <c r="Q111" s="832"/>
      <c r="R111" s="832"/>
      <c r="S111" s="832"/>
      <c r="T111" s="832"/>
      <c r="U111" s="832"/>
      <c r="V111" s="832"/>
      <c r="W111" s="560">
        <f t="shared" si="14"/>
        <v>0</v>
      </c>
      <c r="X111" s="226" t="str">
        <f t="shared" si="15"/>
        <v/>
      </c>
    </row>
    <row r="112" spans="1:24">
      <c r="A112" s="400">
        <v>110</v>
      </c>
      <c r="B112" s="472"/>
      <c r="C112" s="454"/>
      <c r="D112" s="472"/>
      <c r="E112" s="472"/>
      <c r="F112" s="472"/>
      <c r="G112" s="454"/>
      <c r="H112" s="454"/>
      <c r="I112" s="561"/>
      <c r="J112" s="454"/>
      <c r="K112" s="557"/>
      <c r="L112" s="558" t="str">
        <f t="shared" si="12"/>
        <v/>
      </c>
      <c r="M112" s="401" t="str">
        <f>IF(ISERROR(IF(K112&gt;0,DATEDIF(K112,MIN('Existing Loans'!$C$1,L112),"m"),"")),0,IF(K112&gt;0,DATEDIF(K112,MIN('Existing Loans'!$C$1,L112),"m")+0,""))</f>
        <v/>
      </c>
      <c r="N112" s="401" t="str">
        <f t="shared" si="13"/>
        <v/>
      </c>
      <c r="O112" s="454"/>
      <c r="P112" s="454"/>
      <c r="Q112" s="832"/>
      <c r="R112" s="832"/>
      <c r="S112" s="832"/>
      <c r="T112" s="832"/>
      <c r="U112" s="832"/>
      <c r="V112" s="832"/>
      <c r="W112" s="560">
        <f t="shared" si="14"/>
        <v>0</v>
      </c>
      <c r="X112" s="226" t="str">
        <f t="shared" si="15"/>
        <v/>
      </c>
    </row>
    <row r="113" spans="1:24">
      <c r="A113" s="400">
        <v>111</v>
      </c>
      <c r="B113" s="472"/>
      <c r="C113" s="454"/>
      <c r="D113" s="472"/>
      <c r="E113" s="472"/>
      <c r="F113" s="472"/>
      <c r="G113" s="454"/>
      <c r="H113" s="454"/>
      <c r="I113" s="561"/>
      <c r="J113" s="454"/>
      <c r="K113" s="557"/>
      <c r="L113" s="558" t="str">
        <f t="shared" si="12"/>
        <v/>
      </c>
      <c r="M113" s="401" t="str">
        <f>IF(ISERROR(IF(K113&gt;0,DATEDIF(K113,MIN('Existing Loans'!$C$1,L113),"m"),"")),0,IF(K113&gt;0,DATEDIF(K113,MIN('Existing Loans'!$C$1,L113),"m")+0,""))</f>
        <v/>
      </c>
      <c r="N113" s="401" t="str">
        <f t="shared" si="13"/>
        <v/>
      </c>
      <c r="O113" s="454"/>
      <c r="P113" s="454"/>
      <c r="Q113" s="832"/>
      <c r="R113" s="832"/>
      <c r="S113" s="832"/>
      <c r="T113" s="832"/>
      <c r="U113" s="832"/>
      <c r="V113" s="832"/>
      <c r="W113" s="560">
        <f t="shared" si="14"/>
        <v>0</v>
      </c>
      <c r="X113" s="226" t="str">
        <f t="shared" si="15"/>
        <v/>
      </c>
    </row>
    <row r="114" spans="1:24">
      <c r="A114" s="400">
        <v>112</v>
      </c>
      <c r="B114" s="472"/>
      <c r="C114" s="454"/>
      <c r="D114" s="472"/>
      <c r="E114" s="472"/>
      <c r="F114" s="472"/>
      <c r="G114" s="454"/>
      <c r="H114" s="454"/>
      <c r="I114" s="561"/>
      <c r="J114" s="454"/>
      <c r="K114" s="557"/>
      <c r="L114" s="558" t="str">
        <f t="shared" si="12"/>
        <v/>
      </c>
      <c r="M114" s="401" t="str">
        <f>IF(ISERROR(IF(K114&gt;0,DATEDIF(K114,MIN('Existing Loans'!$C$1,L114),"m"),"")),0,IF(K114&gt;0,DATEDIF(K114,MIN('Existing Loans'!$C$1,L114),"m")+0,""))</f>
        <v/>
      </c>
      <c r="N114" s="401" t="str">
        <f t="shared" si="13"/>
        <v/>
      </c>
      <c r="O114" s="454"/>
      <c r="P114" s="454"/>
      <c r="Q114" s="832"/>
      <c r="R114" s="832"/>
      <c r="S114" s="832"/>
      <c r="T114" s="832"/>
      <c r="U114" s="832"/>
      <c r="V114" s="832"/>
      <c r="W114" s="560">
        <f t="shared" si="14"/>
        <v>0</v>
      </c>
      <c r="X114" s="226" t="str">
        <f t="shared" si="15"/>
        <v/>
      </c>
    </row>
    <row r="115" spans="1:24">
      <c r="A115" s="400">
        <v>113</v>
      </c>
      <c r="B115" s="472"/>
      <c r="C115" s="454"/>
      <c r="D115" s="472"/>
      <c r="E115" s="472"/>
      <c r="F115" s="472"/>
      <c r="G115" s="454"/>
      <c r="H115" s="454"/>
      <c r="I115" s="561"/>
      <c r="J115" s="454"/>
      <c r="K115" s="557"/>
      <c r="L115" s="558" t="str">
        <f t="shared" si="12"/>
        <v/>
      </c>
      <c r="M115" s="401" t="str">
        <f>IF(ISERROR(IF(K115&gt;0,DATEDIF(K115,MIN('Existing Loans'!$C$1,L115),"m"),"")),0,IF(K115&gt;0,DATEDIF(K115,MIN('Existing Loans'!$C$1,L115),"m")+0,""))</f>
        <v/>
      </c>
      <c r="N115" s="401" t="str">
        <f t="shared" si="13"/>
        <v/>
      </c>
      <c r="O115" s="454"/>
      <c r="P115" s="454"/>
      <c r="Q115" s="832"/>
      <c r="R115" s="832"/>
      <c r="S115" s="832"/>
      <c r="T115" s="832"/>
      <c r="U115" s="832"/>
      <c r="V115" s="832"/>
      <c r="W115" s="560">
        <f t="shared" si="14"/>
        <v>0</v>
      </c>
      <c r="X115" s="226" t="str">
        <f t="shared" si="15"/>
        <v/>
      </c>
    </row>
    <row r="116" spans="1:24">
      <c r="A116" s="400">
        <v>114</v>
      </c>
      <c r="B116" s="472"/>
      <c r="C116" s="454"/>
      <c r="D116" s="472"/>
      <c r="E116" s="472"/>
      <c r="F116" s="472"/>
      <c r="G116" s="454"/>
      <c r="H116" s="454"/>
      <c r="I116" s="561"/>
      <c r="J116" s="454"/>
      <c r="K116" s="557"/>
      <c r="L116" s="558" t="str">
        <f t="shared" si="12"/>
        <v/>
      </c>
      <c r="M116" s="401" t="str">
        <f>IF(ISERROR(IF(K116&gt;0,DATEDIF(K116,MIN('Existing Loans'!$C$1,L116),"m"),"")),0,IF(K116&gt;0,DATEDIF(K116,MIN('Existing Loans'!$C$1,L116),"m")+0,""))</f>
        <v/>
      </c>
      <c r="N116" s="401" t="str">
        <f t="shared" si="13"/>
        <v/>
      </c>
      <c r="O116" s="454"/>
      <c r="P116" s="454"/>
      <c r="Q116" s="832"/>
      <c r="R116" s="832"/>
      <c r="S116" s="832"/>
      <c r="T116" s="832"/>
      <c r="U116" s="832"/>
      <c r="V116" s="832"/>
      <c r="W116" s="560">
        <f t="shared" si="14"/>
        <v>0</v>
      </c>
      <c r="X116" s="226" t="str">
        <f t="shared" si="15"/>
        <v/>
      </c>
    </row>
    <row r="117" spans="1:24">
      <c r="A117" s="400">
        <v>115</v>
      </c>
      <c r="B117" s="472"/>
      <c r="C117" s="454"/>
      <c r="D117" s="472"/>
      <c r="E117" s="472"/>
      <c r="F117" s="472"/>
      <c r="G117" s="454"/>
      <c r="H117" s="454"/>
      <c r="I117" s="561"/>
      <c r="J117" s="454"/>
      <c r="K117" s="557"/>
      <c r="L117" s="558" t="str">
        <f t="shared" si="12"/>
        <v/>
      </c>
      <c r="M117" s="401" t="str">
        <f>IF(ISERROR(IF(K117&gt;0,DATEDIF(K117,MIN('Existing Loans'!$C$1,L117),"m"),"")),0,IF(K117&gt;0,DATEDIF(K117,MIN('Existing Loans'!$C$1,L117),"m")+0,""))</f>
        <v/>
      </c>
      <c r="N117" s="401" t="str">
        <f t="shared" si="13"/>
        <v/>
      </c>
      <c r="O117" s="454"/>
      <c r="P117" s="454"/>
      <c r="Q117" s="832"/>
      <c r="R117" s="832"/>
      <c r="S117" s="832"/>
      <c r="T117" s="832"/>
      <c r="U117" s="832"/>
      <c r="V117" s="832"/>
      <c r="W117" s="560">
        <f t="shared" si="14"/>
        <v>0</v>
      </c>
      <c r="X117" s="226" t="str">
        <f t="shared" si="15"/>
        <v/>
      </c>
    </row>
    <row r="118" spans="1:24">
      <c r="A118" s="400">
        <v>116</v>
      </c>
      <c r="B118" s="472"/>
      <c r="C118" s="454"/>
      <c r="D118" s="472"/>
      <c r="E118" s="472"/>
      <c r="F118" s="472"/>
      <c r="G118" s="454"/>
      <c r="H118" s="454"/>
      <c r="I118" s="561"/>
      <c r="J118" s="454"/>
      <c r="K118" s="557"/>
      <c r="L118" s="558" t="str">
        <f t="shared" si="12"/>
        <v/>
      </c>
      <c r="M118" s="401" t="str">
        <f>IF(ISERROR(IF(K118&gt;0,DATEDIF(K118,MIN('Existing Loans'!$C$1,L118),"m"),"")),0,IF(K118&gt;0,DATEDIF(K118,MIN('Existing Loans'!$C$1,L118),"m")+0,""))</f>
        <v/>
      </c>
      <c r="N118" s="401" t="str">
        <f t="shared" si="13"/>
        <v/>
      </c>
      <c r="O118" s="454"/>
      <c r="P118" s="454"/>
      <c r="Q118" s="832"/>
      <c r="R118" s="832"/>
      <c r="S118" s="832"/>
      <c r="T118" s="832"/>
      <c r="U118" s="832"/>
      <c r="V118" s="832"/>
      <c r="W118" s="560">
        <f t="shared" si="14"/>
        <v>0</v>
      </c>
      <c r="X118" s="226" t="str">
        <f t="shared" si="15"/>
        <v/>
      </c>
    </row>
    <row r="119" spans="1:24">
      <c r="A119" s="400">
        <v>117</v>
      </c>
      <c r="B119" s="472"/>
      <c r="C119" s="454"/>
      <c r="D119" s="472"/>
      <c r="E119" s="472"/>
      <c r="F119" s="472"/>
      <c r="G119" s="454"/>
      <c r="H119" s="454"/>
      <c r="I119" s="561"/>
      <c r="J119" s="454"/>
      <c r="K119" s="557"/>
      <c r="L119" s="558" t="str">
        <f t="shared" si="12"/>
        <v/>
      </c>
      <c r="M119" s="401" t="str">
        <f>IF(ISERROR(IF(K119&gt;0,DATEDIF(K119,MIN('Existing Loans'!$C$1,L119),"m"),"")),0,IF(K119&gt;0,DATEDIF(K119,MIN('Existing Loans'!$C$1,L119),"m")+0,""))</f>
        <v/>
      </c>
      <c r="N119" s="401" t="str">
        <f t="shared" si="13"/>
        <v/>
      </c>
      <c r="O119" s="454"/>
      <c r="P119" s="454"/>
      <c r="Q119" s="832"/>
      <c r="R119" s="832"/>
      <c r="S119" s="832"/>
      <c r="T119" s="832"/>
      <c r="U119" s="832"/>
      <c r="V119" s="832"/>
      <c r="W119" s="560">
        <f t="shared" si="14"/>
        <v>0</v>
      </c>
      <c r="X119" s="226" t="str">
        <f t="shared" si="15"/>
        <v/>
      </c>
    </row>
    <row r="120" spans="1:24">
      <c r="A120" s="400">
        <v>118</v>
      </c>
      <c r="B120" s="472"/>
      <c r="C120" s="454"/>
      <c r="D120" s="472"/>
      <c r="E120" s="472"/>
      <c r="F120" s="472"/>
      <c r="G120" s="454"/>
      <c r="H120" s="454"/>
      <c r="I120" s="561"/>
      <c r="J120" s="454"/>
      <c r="K120" s="557"/>
      <c r="L120" s="558" t="str">
        <f t="shared" si="12"/>
        <v/>
      </c>
      <c r="M120" s="401" t="str">
        <f>IF(ISERROR(IF(K120&gt;0,DATEDIF(K120,MIN('Existing Loans'!$C$1,L120),"m"),"")),0,IF(K120&gt;0,DATEDIF(K120,MIN('Existing Loans'!$C$1,L120),"m")+0,""))</f>
        <v/>
      </c>
      <c r="N120" s="401" t="str">
        <f t="shared" si="13"/>
        <v/>
      </c>
      <c r="O120" s="454"/>
      <c r="P120" s="454"/>
      <c r="Q120" s="832"/>
      <c r="R120" s="832"/>
      <c r="S120" s="832"/>
      <c r="T120" s="832"/>
      <c r="U120" s="832"/>
      <c r="V120" s="832"/>
      <c r="W120" s="560">
        <f t="shared" si="14"/>
        <v>0</v>
      </c>
      <c r="X120" s="226" t="str">
        <f t="shared" si="15"/>
        <v/>
      </c>
    </row>
    <row r="121" spans="1:24">
      <c r="A121" s="400">
        <v>119</v>
      </c>
      <c r="B121" s="472"/>
      <c r="C121" s="454"/>
      <c r="D121" s="472"/>
      <c r="E121" s="472"/>
      <c r="F121" s="472"/>
      <c r="G121" s="454"/>
      <c r="H121" s="454"/>
      <c r="I121" s="561"/>
      <c r="J121" s="454"/>
      <c r="K121" s="557"/>
      <c r="L121" s="558" t="str">
        <f t="shared" si="12"/>
        <v/>
      </c>
      <c r="M121" s="401" t="str">
        <f>IF(ISERROR(IF(K121&gt;0,DATEDIF(K121,MIN('Existing Loans'!$C$1,L121),"m"),"")),0,IF(K121&gt;0,DATEDIF(K121,MIN('Existing Loans'!$C$1,L121),"m")+0,""))</f>
        <v/>
      </c>
      <c r="N121" s="401" t="str">
        <f t="shared" si="13"/>
        <v/>
      </c>
      <c r="O121" s="454"/>
      <c r="P121" s="454"/>
      <c r="Q121" s="832"/>
      <c r="R121" s="832"/>
      <c r="S121" s="832"/>
      <c r="T121" s="832"/>
      <c r="U121" s="832"/>
      <c r="V121" s="832"/>
      <c r="W121" s="560">
        <f t="shared" si="14"/>
        <v>0</v>
      </c>
      <c r="X121" s="226" t="str">
        <f t="shared" si="15"/>
        <v/>
      </c>
    </row>
    <row r="122" spans="1:24">
      <c r="A122" s="400">
        <v>120</v>
      </c>
      <c r="B122" s="472"/>
      <c r="C122" s="454"/>
      <c r="D122" s="472"/>
      <c r="E122" s="472"/>
      <c r="F122" s="472"/>
      <c r="G122" s="454"/>
      <c r="H122" s="454"/>
      <c r="I122" s="561"/>
      <c r="J122" s="454"/>
      <c r="K122" s="557"/>
      <c r="L122" s="558" t="str">
        <f t="shared" si="12"/>
        <v/>
      </c>
      <c r="M122" s="401" t="str">
        <f>IF(ISERROR(IF(K122&gt;0,DATEDIF(K122,MIN('Existing Loans'!$C$1,L122),"m"),"")),0,IF(K122&gt;0,DATEDIF(K122,MIN('Existing Loans'!$C$1,L122),"m")+0,""))</f>
        <v/>
      </c>
      <c r="N122" s="401" t="str">
        <f t="shared" si="13"/>
        <v/>
      </c>
      <c r="O122" s="454"/>
      <c r="P122" s="454"/>
      <c r="Q122" s="832"/>
      <c r="R122" s="832"/>
      <c r="S122" s="832"/>
      <c r="T122" s="832"/>
      <c r="U122" s="832"/>
      <c r="V122" s="832"/>
      <c r="W122" s="560">
        <f t="shared" si="14"/>
        <v>0</v>
      </c>
      <c r="X122" s="226" t="str">
        <f t="shared" si="15"/>
        <v/>
      </c>
    </row>
    <row r="123" spans="1:24">
      <c r="A123" s="400">
        <v>121</v>
      </c>
      <c r="B123" s="472"/>
      <c r="C123" s="454"/>
      <c r="D123" s="472"/>
      <c r="E123" s="472"/>
      <c r="F123" s="472"/>
      <c r="G123" s="454"/>
      <c r="H123" s="454"/>
      <c r="I123" s="561"/>
      <c r="J123" s="454"/>
      <c r="K123" s="557"/>
      <c r="L123" s="558" t="str">
        <f t="shared" si="12"/>
        <v/>
      </c>
      <c r="M123" s="401" t="str">
        <f>IF(ISERROR(IF(K123&gt;0,DATEDIF(K123,MIN('Existing Loans'!$C$1,L123),"m"),"")),0,IF(K123&gt;0,DATEDIF(K123,MIN('Existing Loans'!$C$1,L123),"m")+0,""))</f>
        <v/>
      </c>
      <c r="N123" s="401" t="str">
        <f t="shared" si="13"/>
        <v/>
      </c>
      <c r="O123" s="454"/>
      <c r="P123" s="454"/>
      <c r="Q123" s="832"/>
      <c r="R123" s="832"/>
      <c r="S123" s="832"/>
      <c r="T123" s="832"/>
      <c r="U123" s="832"/>
      <c r="V123" s="832"/>
      <c r="W123" s="560">
        <f t="shared" si="14"/>
        <v>0</v>
      </c>
      <c r="X123" s="226" t="str">
        <f t="shared" si="15"/>
        <v/>
      </c>
    </row>
    <row r="124" spans="1:24">
      <c r="A124" s="400">
        <v>122</v>
      </c>
      <c r="B124" s="472"/>
      <c r="C124" s="454"/>
      <c r="D124" s="472"/>
      <c r="E124" s="472"/>
      <c r="F124" s="472"/>
      <c r="G124" s="454"/>
      <c r="H124" s="454"/>
      <c r="I124" s="561"/>
      <c r="J124" s="454"/>
      <c r="K124" s="557"/>
      <c r="L124" s="558" t="str">
        <f t="shared" si="12"/>
        <v/>
      </c>
      <c r="M124" s="401" t="str">
        <f>IF(ISERROR(IF(K124&gt;0,DATEDIF(K124,MIN('Existing Loans'!$C$1,L124),"m"),"")),0,IF(K124&gt;0,DATEDIF(K124,MIN('Existing Loans'!$C$1,L124),"m")+0,""))</f>
        <v/>
      </c>
      <c r="N124" s="401" t="str">
        <f t="shared" si="13"/>
        <v/>
      </c>
      <c r="O124" s="454"/>
      <c r="P124" s="454"/>
      <c r="Q124" s="832"/>
      <c r="R124" s="832"/>
      <c r="S124" s="832"/>
      <c r="T124" s="832"/>
      <c r="U124" s="832"/>
      <c r="V124" s="832"/>
      <c r="W124" s="560">
        <f t="shared" si="14"/>
        <v>0</v>
      </c>
      <c r="X124" s="226" t="str">
        <f t="shared" si="15"/>
        <v/>
      </c>
    </row>
    <row r="125" spans="1:24">
      <c r="A125" s="400">
        <v>123</v>
      </c>
      <c r="B125" s="472"/>
      <c r="C125" s="454"/>
      <c r="D125" s="472"/>
      <c r="E125" s="472"/>
      <c r="F125" s="472"/>
      <c r="G125" s="454"/>
      <c r="H125" s="454"/>
      <c r="I125" s="561"/>
      <c r="J125" s="454"/>
      <c r="K125" s="557"/>
      <c r="L125" s="558" t="str">
        <f t="shared" si="12"/>
        <v/>
      </c>
      <c r="M125" s="401" t="str">
        <f>IF(ISERROR(IF(K125&gt;0,DATEDIF(K125,MIN('Existing Loans'!$C$1,L125),"m"),"")),0,IF(K125&gt;0,DATEDIF(K125,MIN('Existing Loans'!$C$1,L125),"m")+0,""))</f>
        <v/>
      </c>
      <c r="N125" s="401" t="str">
        <f t="shared" si="13"/>
        <v/>
      </c>
      <c r="O125" s="454"/>
      <c r="P125" s="454"/>
      <c r="Q125" s="832"/>
      <c r="R125" s="832"/>
      <c r="S125" s="832"/>
      <c r="T125" s="832"/>
      <c r="U125" s="832"/>
      <c r="V125" s="832"/>
      <c r="W125" s="560">
        <f t="shared" si="14"/>
        <v>0</v>
      </c>
      <c r="X125" s="226" t="str">
        <f t="shared" si="15"/>
        <v/>
      </c>
    </row>
    <row r="126" spans="1:24">
      <c r="A126" s="400">
        <v>124</v>
      </c>
      <c r="B126" s="472"/>
      <c r="C126" s="454"/>
      <c r="D126" s="472"/>
      <c r="E126" s="472"/>
      <c r="F126" s="472"/>
      <c r="G126" s="454"/>
      <c r="H126" s="454"/>
      <c r="I126" s="561"/>
      <c r="J126" s="454"/>
      <c r="K126" s="557"/>
      <c r="L126" s="558" t="str">
        <f t="shared" si="12"/>
        <v/>
      </c>
      <c r="M126" s="401" t="str">
        <f>IF(ISERROR(IF(K126&gt;0,DATEDIF(K126,MIN('Existing Loans'!$C$1,L126),"m"),"")),0,IF(K126&gt;0,DATEDIF(K126,MIN('Existing Loans'!$C$1,L126),"m")+0,""))</f>
        <v/>
      </c>
      <c r="N126" s="401" t="str">
        <f t="shared" si="13"/>
        <v/>
      </c>
      <c r="O126" s="454"/>
      <c r="P126" s="454"/>
      <c r="Q126" s="832"/>
      <c r="R126" s="832"/>
      <c r="S126" s="832"/>
      <c r="T126" s="832"/>
      <c r="U126" s="832"/>
      <c r="V126" s="832"/>
      <c r="W126" s="560">
        <f t="shared" si="14"/>
        <v>0</v>
      </c>
      <c r="X126" s="226" t="str">
        <f t="shared" si="15"/>
        <v/>
      </c>
    </row>
    <row r="127" spans="1:24">
      <c r="A127" s="400">
        <v>125</v>
      </c>
      <c r="B127" s="472"/>
      <c r="C127" s="454"/>
      <c r="D127" s="472"/>
      <c r="E127" s="472"/>
      <c r="F127" s="472"/>
      <c r="G127" s="454"/>
      <c r="H127" s="454"/>
      <c r="I127" s="561"/>
      <c r="J127" s="454"/>
      <c r="K127" s="557"/>
      <c r="L127" s="558" t="str">
        <f t="shared" si="12"/>
        <v/>
      </c>
      <c r="M127" s="401" t="str">
        <f>IF(ISERROR(IF(K127&gt;0,DATEDIF(K127,MIN('Existing Loans'!$C$1,L127),"m"),"")),0,IF(K127&gt;0,DATEDIF(K127,MIN('Existing Loans'!$C$1,L127),"m")+0,""))</f>
        <v/>
      </c>
      <c r="N127" s="401" t="str">
        <f t="shared" si="13"/>
        <v/>
      </c>
      <c r="O127" s="454"/>
      <c r="P127" s="454"/>
      <c r="Q127" s="832"/>
      <c r="R127" s="832"/>
      <c r="S127" s="832"/>
      <c r="T127" s="832"/>
      <c r="U127" s="832"/>
      <c r="V127" s="832"/>
      <c r="W127" s="560">
        <f t="shared" si="14"/>
        <v>0</v>
      </c>
      <c r="X127" s="226" t="str">
        <f t="shared" si="15"/>
        <v/>
      </c>
    </row>
    <row r="128" spans="1:24">
      <c r="A128" s="400">
        <v>126</v>
      </c>
      <c r="B128" s="472"/>
      <c r="C128" s="454"/>
      <c r="D128" s="472"/>
      <c r="E128" s="472"/>
      <c r="F128" s="472"/>
      <c r="G128" s="454"/>
      <c r="H128" s="454"/>
      <c r="I128" s="561"/>
      <c r="J128" s="454"/>
      <c r="K128" s="557"/>
      <c r="L128" s="558" t="str">
        <f t="shared" si="12"/>
        <v/>
      </c>
      <c r="M128" s="401" t="str">
        <f>IF(ISERROR(IF(K128&gt;0,DATEDIF(K128,MIN('Existing Loans'!$C$1,L128),"m"),"")),0,IF(K128&gt;0,DATEDIF(K128,MIN('Existing Loans'!$C$1,L128),"m")+0,""))</f>
        <v/>
      </c>
      <c r="N128" s="401" t="str">
        <f t="shared" si="13"/>
        <v/>
      </c>
      <c r="O128" s="454"/>
      <c r="P128" s="454"/>
      <c r="Q128" s="832"/>
      <c r="R128" s="832"/>
      <c r="S128" s="832"/>
      <c r="T128" s="832"/>
      <c r="U128" s="832"/>
      <c r="V128" s="832"/>
      <c r="W128" s="560">
        <f t="shared" si="14"/>
        <v>0</v>
      </c>
      <c r="X128" s="226" t="str">
        <f t="shared" si="15"/>
        <v/>
      </c>
    </row>
    <row r="129" spans="1:24">
      <c r="A129" s="400">
        <v>127</v>
      </c>
      <c r="B129" s="472"/>
      <c r="C129" s="454"/>
      <c r="D129" s="472"/>
      <c r="E129" s="472"/>
      <c r="F129" s="472"/>
      <c r="G129" s="454"/>
      <c r="H129" s="454"/>
      <c r="I129" s="561"/>
      <c r="J129" s="454"/>
      <c r="K129" s="557"/>
      <c r="L129" s="558" t="str">
        <f t="shared" si="12"/>
        <v/>
      </c>
      <c r="M129" s="401" t="str">
        <f>IF(ISERROR(IF(K129&gt;0,DATEDIF(K129,MIN('Existing Loans'!$C$1,L129),"m"),"")),0,IF(K129&gt;0,DATEDIF(K129,MIN('Existing Loans'!$C$1,L129),"m")+0,""))</f>
        <v/>
      </c>
      <c r="N129" s="401" t="str">
        <f t="shared" si="13"/>
        <v/>
      </c>
      <c r="O129" s="454"/>
      <c r="P129" s="454"/>
      <c r="Q129" s="832"/>
      <c r="R129" s="832"/>
      <c r="S129" s="832"/>
      <c r="T129" s="832"/>
      <c r="U129" s="832"/>
      <c r="V129" s="832"/>
      <c r="W129" s="560">
        <f t="shared" si="14"/>
        <v>0</v>
      </c>
      <c r="X129" s="226" t="str">
        <f t="shared" si="15"/>
        <v/>
      </c>
    </row>
    <row r="130" spans="1:24">
      <c r="A130" s="400">
        <v>128</v>
      </c>
      <c r="B130" s="472"/>
      <c r="C130" s="454"/>
      <c r="D130" s="472"/>
      <c r="E130" s="472"/>
      <c r="F130" s="472"/>
      <c r="G130" s="454"/>
      <c r="H130" s="454"/>
      <c r="I130" s="561"/>
      <c r="J130" s="454"/>
      <c r="K130" s="557"/>
      <c r="L130" s="558" t="str">
        <f t="shared" si="12"/>
        <v/>
      </c>
      <c r="M130" s="401" t="str">
        <f>IF(ISERROR(IF(K130&gt;0,DATEDIF(K130,MIN('Existing Loans'!$C$1,L130),"m"),"")),0,IF(K130&gt;0,DATEDIF(K130,MIN('Existing Loans'!$C$1,L130),"m")+0,""))</f>
        <v/>
      </c>
      <c r="N130" s="401" t="str">
        <f t="shared" si="13"/>
        <v/>
      </c>
      <c r="O130" s="454"/>
      <c r="P130" s="454"/>
      <c r="Q130" s="832"/>
      <c r="R130" s="832"/>
      <c r="S130" s="832"/>
      <c r="T130" s="832"/>
      <c r="U130" s="832"/>
      <c r="V130" s="832"/>
      <c r="W130" s="560">
        <f t="shared" si="14"/>
        <v>0</v>
      </c>
      <c r="X130" s="226" t="str">
        <f t="shared" si="15"/>
        <v/>
      </c>
    </row>
    <row r="131" spans="1:24">
      <c r="A131" s="400">
        <v>129</v>
      </c>
      <c r="B131" s="472"/>
      <c r="C131" s="454"/>
      <c r="D131" s="472"/>
      <c r="E131" s="472"/>
      <c r="F131" s="472"/>
      <c r="G131" s="454"/>
      <c r="H131" s="454"/>
      <c r="I131" s="561"/>
      <c r="J131" s="454"/>
      <c r="K131" s="557"/>
      <c r="L131" s="558" t="str">
        <f t="shared" si="12"/>
        <v/>
      </c>
      <c r="M131" s="401" t="str">
        <f>IF(ISERROR(IF(K131&gt;0,DATEDIF(K131,MIN('Existing Loans'!$C$1,L131),"m"),"")),0,IF(K131&gt;0,DATEDIF(K131,MIN('Existing Loans'!$C$1,L131),"m")+0,""))</f>
        <v/>
      </c>
      <c r="N131" s="401" t="str">
        <f t="shared" si="13"/>
        <v/>
      </c>
      <c r="O131" s="454"/>
      <c r="P131" s="454"/>
      <c r="Q131" s="832"/>
      <c r="R131" s="832"/>
      <c r="S131" s="832"/>
      <c r="T131" s="832"/>
      <c r="U131" s="832"/>
      <c r="V131" s="832"/>
      <c r="W131" s="560">
        <f t="shared" si="14"/>
        <v>0</v>
      </c>
      <c r="X131" s="226" t="str">
        <f t="shared" si="15"/>
        <v/>
      </c>
    </row>
    <row r="132" spans="1:24">
      <c r="A132" s="400">
        <v>130</v>
      </c>
      <c r="B132" s="472"/>
      <c r="C132" s="454"/>
      <c r="D132" s="472"/>
      <c r="E132" s="472"/>
      <c r="F132" s="472"/>
      <c r="G132" s="454"/>
      <c r="H132" s="454"/>
      <c r="I132" s="561"/>
      <c r="J132" s="454"/>
      <c r="K132" s="557"/>
      <c r="L132" s="558" t="str">
        <f t="shared" ref="L132:L135" si="16">IF(AND(J132&gt;0,K132&gt;0),DATE(YEAR(K132),MONTH(K132)+J132+IF(DAY(K132)&lt;=15,0,1),DAY(K132)),"")</f>
        <v/>
      </c>
      <c r="M132" s="401" t="str">
        <f>IF(ISERROR(IF(K132&gt;0,DATEDIF(K132,MIN('Existing Loans'!$C$1,L132),"m"),"")),0,IF(K132&gt;0,DATEDIF(K132,MIN('Existing Loans'!$C$1,L132),"m")+0,""))</f>
        <v/>
      </c>
      <c r="N132" s="401" t="str">
        <f t="shared" ref="N132:N135" si="17">IF(J132="","",J132-M132)</f>
        <v/>
      </c>
      <c r="O132" s="454"/>
      <c r="P132" s="454"/>
      <c r="Q132" s="832"/>
      <c r="R132" s="832"/>
      <c r="S132" s="832"/>
      <c r="T132" s="832"/>
      <c r="U132" s="832"/>
      <c r="V132" s="832"/>
      <c r="W132" s="560">
        <f t="shared" si="14"/>
        <v>0</v>
      </c>
      <c r="X132" s="226" t="str">
        <f t="shared" si="15"/>
        <v/>
      </c>
    </row>
    <row r="133" spans="1:24">
      <c r="A133" s="400">
        <v>131</v>
      </c>
      <c r="B133" s="472"/>
      <c r="C133" s="454"/>
      <c r="D133" s="472"/>
      <c r="E133" s="472"/>
      <c r="F133" s="472"/>
      <c r="G133" s="454"/>
      <c r="H133" s="454"/>
      <c r="I133" s="561"/>
      <c r="J133" s="454"/>
      <c r="K133" s="557"/>
      <c r="L133" s="558" t="str">
        <f t="shared" si="16"/>
        <v/>
      </c>
      <c r="M133" s="401" t="str">
        <f>IF(ISERROR(IF(K133&gt;0,DATEDIF(K133,MIN('Existing Loans'!$C$1,L133),"m"),"")),0,IF(K133&gt;0,DATEDIF(K133,MIN('Existing Loans'!$C$1,L133),"m")+0,""))</f>
        <v/>
      </c>
      <c r="N133" s="401" t="str">
        <f t="shared" si="17"/>
        <v/>
      </c>
      <c r="O133" s="454"/>
      <c r="P133" s="454"/>
      <c r="Q133" s="832"/>
      <c r="R133" s="832"/>
      <c r="S133" s="832"/>
      <c r="T133" s="832"/>
      <c r="U133" s="832"/>
      <c r="V133" s="832"/>
      <c r="W133" s="560">
        <f t="shared" si="14"/>
        <v>0</v>
      </c>
      <c r="X133" s="226" t="str">
        <f t="shared" si="15"/>
        <v/>
      </c>
    </row>
    <row r="134" spans="1:24">
      <c r="A134" s="400">
        <v>132</v>
      </c>
      <c r="B134" s="472"/>
      <c r="C134" s="454"/>
      <c r="D134" s="472"/>
      <c r="E134" s="472"/>
      <c r="F134" s="472"/>
      <c r="G134" s="454"/>
      <c r="H134" s="454"/>
      <c r="I134" s="561"/>
      <c r="J134" s="454"/>
      <c r="K134" s="557"/>
      <c r="L134" s="558" t="str">
        <f t="shared" si="16"/>
        <v/>
      </c>
      <c r="M134" s="401" t="str">
        <f>IF(ISERROR(IF(K134&gt;0,DATEDIF(K134,MIN('Existing Loans'!$C$1,L134),"m"),"")),0,IF(K134&gt;0,DATEDIF(K134,MIN('Existing Loans'!$C$1,L134),"m")+0,""))</f>
        <v/>
      </c>
      <c r="N134" s="401" t="str">
        <f t="shared" si="17"/>
        <v/>
      </c>
      <c r="O134" s="454"/>
      <c r="P134" s="454"/>
      <c r="Q134" s="832"/>
      <c r="R134" s="832"/>
      <c r="S134" s="832"/>
      <c r="T134" s="832"/>
      <c r="U134" s="832"/>
      <c r="V134" s="832"/>
      <c r="W134" s="560">
        <f t="shared" si="14"/>
        <v>0</v>
      </c>
      <c r="X134" s="226" t="str">
        <f t="shared" si="15"/>
        <v/>
      </c>
    </row>
    <row r="135" spans="1:24">
      <c r="A135" s="400">
        <v>133</v>
      </c>
      <c r="B135" s="472"/>
      <c r="C135" s="454"/>
      <c r="D135" s="472"/>
      <c r="E135" s="472"/>
      <c r="F135" s="472"/>
      <c r="G135" s="454"/>
      <c r="H135" s="454"/>
      <c r="I135" s="561"/>
      <c r="J135" s="454"/>
      <c r="K135" s="557"/>
      <c r="L135" s="558" t="str">
        <f t="shared" si="16"/>
        <v/>
      </c>
      <c r="M135" s="401" t="str">
        <f>IF(ISERROR(IF(K135&gt;0,DATEDIF(K135,MIN('Existing Loans'!$C$1,L135),"m"),"")),0,IF(K135&gt;0,DATEDIF(K135,MIN('Existing Loans'!$C$1,L135),"m")+0,""))</f>
        <v/>
      </c>
      <c r="N135" s="401" t="str">
        <f t="shared" si="17"/>
        <v/>
      </c>
      <c r="O135" s="454"/>
      <c r="P135" s="454"/>
      <c r="Q135" s="832"/>
      <c r="R135" s="832"/>
      <c r="S135" s="832"/>
      <c r="T135" s="832"/>
      <c r="U135" s="832"/>
      <c r="V135" s="832"/>
      <c r="W135" s="560">
        <f t="shared" si="14"/>
        <v>0</v>
      </c>
      <c r="X135" s="226" t="str">
        <f t="shared" si="15"/>
        <v/>
      </c>
    </row>
    <row r="136" spans="1:24">
      <c r="A136" s="562"/>
      <c r="B136" s="562"/>
      <c r="C136" s="563"/>
      <c r="D136" s="564"/>
      <c r="E136" s="564"/>
      <c r="F136" s="564"/>
      <c r="G136" s="564"/>
      <c r="H136" s="563"/>
      <c r="I136" s="565"/>
      <c r="J136" s="563"/>
      <c r="K136" s="563"/>
      <c r="L136" s="564"/>
      <c r="M136" s="563"/>
      <c r="N136" s="563"/>
      <c r="O136" s="563"/>
      <c r="P136" s="563"/>
      <c r="Q136" s="563"/>
      <c r="R136" s="563"/>
      <c r="S136" s="563"/>
      <c r="T136" s="563"/>
      <c r="U136" s="563"/>
      <c r="V136" s="563"/>
      <c r="W136" s="566">
        <f>SUM(W4:W135)</f>
        <v>0</v>
      </c>
    </row>
    <row r="137" spans="1:24" s="226" customFormat="1" ht="12">
      <c r="A137" s="393"/>
      <c r="B137" s="393"/>
      <c r="D137" s="390"/>
      <c r="E137" s="390"/>
      <c r="F137" s="390"/>
      <c r="G137" s="390"/>
      <c r="L137" s="390"/>
    </row>
    <row r="138" spans="1:24" s="226" customFormat="1" ht="12">
      <c r="A138" s="393"/>
      <c r="B138" s="393"/>
      <c r="D138" s="390"/>
      <c r="E138" s="390"/>
      <c r="F138" s="390"/>
      <c r="G138" s="390"/>
      <c r="L138" s="390"/>
    </row>
    <row r="139" spans="1:24" s="226" customFormat="1" ht="12">
      <c r="A139" s="393"/>
      <c r="B139" s="393"/>
      <c r="D139" s="390"/>
      <c r="E139" s="390"/>
      <c r="F139" s="390"/>
      <c r="G139" s="390"/>
      <c r="L139" s="390"/>
    </row>
    <row r="140" spans="1:24" s="226" customFormat="1" ht="12">
      <c r="A140" s="393"/>
      <c r="B140" s="393"/>
      <c r="D140" s="390"/>
      <c r="E140" s="390"/>
      <c r="F140" s="390"/>
      <c r="G140" s="390"/>
      <c r="L140" s="390"/>
    </row>
    <row r="141" spans="1:24" s="226" customFormat="1" ht="12">
      <c r="A141" s="393"/>
      <c r="B141" s="393"/>
      <c r="D141" s="390"/>
      <c r="E141" s="390"/>
      <c r="F141" s="390"/>
      <c r="G141" s="390"/>
      <c r="L141" s="390"/>
    </row>
    <row r="142" spans="1:24" s="226" customFormat="1" ht="12">
      <c r="A142" s="393"/>
      <c r="B142" s="393"/>
      <c r="D142" s="390"/>
      <c r="E142" s="390"/>
      <c r="F142" s="390"/>
      <c r="G142" s="390"/>
      <c r="L142" s="390"/>
    </row>
    <row r="143" spans="1:24" s="226" customFormat="1" ht="12">
      <c r="A143" s="393"/>
      <c r="B143" s="393"/>
      <c r="D143" s="390"/>
      <c r="E143" s="390"/>
      <c r="F143" s="390"/>
      <c r="G143" s="390"/>
      <c r="L143" s="390"/>
    </row>
  </sheetData>
  <sheetProtection password="857C" sheet="1" objects="1" scenarios="1" formatCells="0" formatColumns="0" formatRows="0"/>
  <mergeCells count="5">
    <mergeCell ref="A1:B1"/>
    <mergeCell ref="E1:F1"/>
    <mergeCell ref="I1:K1"/>
    <mergeCell ref="E2:F2"/>
    <mergeCell ref="I2:K2"/>
  </mergeCells>
  <conditionalFormatting sqref="Q29:V135">
    <cfRule type="cellIs" dxfId="57" priority="4" operator="equal">
      <formula>"Bounce"</formula>
    </cfRule>
  </conditionalFormatting>
  <conditionalFormatting sqref="Q23:V135 Q4:V21">
    <cfRule type="cellIs" dxfId="56" priority="5" operator="equal">
      <formula>"Bounce"</formula>
    </cfRule>
  </conditionalFormatting>
  <conditionalFormatting sqref="Q7:V11">
    <cfRule type="cellIs" dxfId="55" priority="6" operator="equal">
      <formula>"Bounce"</formula>
    </cfRule>
  </conditionalFormatting>
  <conditionalFormatting sqref="S28:V28 Q12:V12">
    <cfRule type="cellIs" dxfId="54" priority="7" operator="equal">
      <formula>"Bounce"</formula>
    </cfRule>
  </conditionalFormatting>
  <conditionalFormatting sqref="Q23:V23">
    <cfRule type="cellIs" dxfId="53" priority="8" operator="equal">
      <formula>"Bounce"</formula>
    </cfRule>
  </conditionalFormatting>
  <conditionalFormatting sqref="Q28:V28">
    <cfRule type="cellIs" dxfId="52" priority="9" operator="equal">
      <formula>"Bounce"</formula>
    </cfRule>
  </conditionalFormatting>
  <conditionalFormatting sqref="Q28:R28">
    <cfRule type="cellIs" dxfId="51" priority="10" operator="equal">
      <formula>"Bounce"</formula>
    </cfRule>
  </conditionalFormatting>
  <conditionalFormatting sqref="Q27:V27">
    <cfRule type="cellIs" dxfId="50" priority="12" operator="equal">
      <formula>"Bounce"</formula>
    </cfRule>
  </conditionalFormatting>
  <conditionalFormatting sqref="L2">
    <cfRule type="cellIs" dxfId="49" priority="13" operator="greaterThan">
      <formula>0</formula>
    </cfRule>
  </conditionalFormatting>
  <conditionalFormatting sqref="G2">
    <cfRule type="cellIs" dxfId="48" priority="14" operator="greaterThan">
      <formula>10</formula>
    </cfRule>
  </conditionalFormatting>
  <conditionalFormatting sqref="Q4:V6">
    <cfRule type="cellIs" dxfId="47" priority="15" operator="equal">
      <formula>"Bounce"</formula>
    </cfRule>
  </conditionalFormatting>
  <conditionalFormatting sqref="T6">
    <cfRule type="cellIs" dxfId="46" priority="16" operator="equal">
      <formula>"Bounce"</formula>
    </cfRule>
  </conditionalFormatting>
  <conditionalFormatting sqref="Q4:V4">
    <cfRule type="cellIs" dxfId="45" priority="2" operator="equal">
      <formula>"Bounce"</formula>
    </cfRule>
  </conditionalFormatting>
  <conditionalFormatting sqref="Q22:V22">
    <cfRule type="cellIs" dxfId="44" priority="1" operator="equal">
      <formula>"Bounce"</formula>
    </cfRule>
  </conditionalFormatting>
  <dataValidations count="5">
    <dataValidation type="list" allowBlank="1" showInputMessage="1" showErrorMessage="1" sqref="D4:D135" xr:uid="{00000000-0002-0000-0A00-000000000000}">
      <formula1>Loan</formula1>
      <formula2>0</formula2>
    </dataValidation>
    <dataValidation type="list" allowBlank="1" showInputMessage="1" showErrorMessage="1" sqref="E4:E135" xr:uid="{00000000-0002-0000-0A00-000002000000}">
      <formula1>Unsecured</formula1>
      <formula2>0</formula2>
    </dataValidation>
    <dataValidation type="list" allowBlank="1" showInputMessage="1" showErrorMessage="1" sqref="B4:B135" xr:uid="{00000000-0002-0000-0A00-000005000000}">
      <formula1>Accnt_Holder</formula1>
      <formula2>0</formula2>
    </dataValidation>
    <dataValidation type="list" allowBlank="1" showInputMessage="1" showErrorMessage="1" sqref="F4:F135" xr:uid="{00000000-0002-0000-0A00-000006000000}">
      <formula1>Status</formula1>
      <formula2>0</formula2>
    </dataValidation>
    <dataValidation type="list" allowBlank="1" showInputMessage="1" showErrorMessage="1" sqref="Q4:V135" xr:uid="{00000000-0002-0000-0A00-000009000000}">
      <formula1>$AG$4:$AG$5</formula1>
    </dataValidation>
  </dataValidations>
  <pageMargins left="0.69930555555555496" right="0.69930555555555496" top="0.75" bottom="0.75" header="0.51180555555555496" footer="0.51180555555555496"/>
  <pageSetup paperSize="9" firstPageNumber="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108"/>
  <sheetViews>
    <sheetView topLeftCell="A19" zoomScaleNormal="100" workbookViewId="0">
      <selection activeCell="G41" sqref="G41"/>
    </sheetView>
  </sheetViews>
  <sheetFormatPr defaultRowHeight="15" zeroHeight="1"/>
  <cols>
    <col min="1" max="1" width="3" style="567" customWidth="1"/>
    <col min="2" max="2" width="17.85546875" style="567" customWidth="1"/>
    <col min="3" max="3" width="11.5703125" style="568" customWidth="1"/>
    <col min="4" max="4" width="8.7109375" style="567" customWidth="1"/>
    <col min="5" max="5" width="2.42578125" style="567" customWidth="1"/>
    <col min="6" max="6" width="8.5703125" style="567" customWidth="1"/>
    <col min="7" max="7" width="27.140625" style="567" customWidth="1"/>
    <col min="8" max="8" width="3.42578125" style="567" customWidth="1"/>
    <col min="9" max="9" width="7.7109375" style="569" hidden="1" customWidth="1"/>
    <col min="10" max="10" width="9.85546875" style="569" hidden="1" customWidth="1"/>
    <col min="11" max="11" width="5.5703125" style="570" hidden="1" customWidth="1"/>
    <col min="12" max="12" width="5.5703125" style="569" hidden="1" customWidth="1"/>
    <col min="13" max="13" width="7.42578125" style="569" hidden="1" customWidth="1"/>
    <col min="14" max="14" width="9.5703125" style="571" hidden="1" customWidth="1"/>
    <col min="15" max="18" width="4.28515625" style="572" hidden="1" customWidth="1"/>
    <col min="19" max="255" width="4.28515625" style="573" hidden="1" customWidth="1"/>
    <col min="256" max="256" width="0.28515625" style="573" hidden="1" customWidth="1"/>
    <col min="257" max="257" width="3" style="573" hidden="1" customWidth="1"/>
    <col min="258" max="258" width="17.85546875" style="573" hidden="1" customWidth="1"/>
    <col min="259" max="259" width="11.5703125" style="573" hidden="1" customWidth="1"/>
    <col min="260" max="260" width="8.7109375" style="573" hidden="1" customWidth="1"/>
    <col min="261" max="261" width="2.42578125" style="573" hidden="1" customWidth="1"/>
    <col min="262" max="262" width="8.5703125" style="573" hidden="1" customWidth="1"/>
    <col min="263" max="263" width="27.140625" style="573" hidden="1" customWidth="1"/>
    <col min="264" max="264" width="3.42578125" style="573" hidden="1" customWidth="1"/>
    <col min="265" max="265" width="7.7109375" style="573" hidden="1" customWidth="1"/>
    <col min="266" max="266" width="9.85546875" style="573" hidden="1" customWidth="1"/>
    <col min="267" max="268" width="5.5703125" style="573" hidden="1" customWidth="1"/>
    <col min="269" max="269" width="7.42578125" style="573" hidden="1" customWidth="1"/>
    <col min="270" max="270" width="9.5703125" style="573" hidden="1" customWidth="1"/>
    <col min="271" max="511" width="4.28515625" style="573" hidden="1" customWidth="1"/>
    <col min="512" max="512" width="0.28515625" style="573" hidden="1" customWidth="1"/>
    <col min="513" max="513" width="3" style="573" hidden="1" customWidth="1"/>
    <col min="514" max="514" width="17.85546875" style="573" hidden="1" customWidth="1"/>
    <col min="515" max="515" width="11.5703125" style="573" hidden="1" customWidth="1"/>
    <col min="516" max="516" width="8.7109375" style="573" hidden="1" customWidth="1"/>
    <col min="517" max="517" width="2.42578125" style="573" hidden="1" customWidth="1"/>
    <col min="518" max="518" width="8.5703125" style="573" hidden="1" customWidth="1"/>
    <col min="519" max="519" width="27.140625" style="573" hidden="1" customWidth="1"/>
    <col min="520" max="520" width="3.42578125" style="573" hidden="1" customWidth="1"/>
    <col min="521" max="521" width="7.7109375" style="573" hidden="1" customWidth="1"/>
    <col min="522" max="522" width="9.85546875" style="573" hidden="1" customWidth="1"/>
    <col min="523" max="524" width="5.5703125" style="573" hidden="1" customWidth="1"/>
    <col min="525" max="525" width="7.42578125" style="573" hidden="1" customWidth="1"/>
    <col min="526" max="526" width="9.5703125" style="573" hidden="1" customWidth="1"/>
    <col min="527" max="767" width="4.28515625" style="573" hidden="1" customWidth="1"/>
    <col min="768" max="768" width="0.28515625" style="573" hidden="1" customWidth="1"/>
    <col min="769" max="769" width="3" style="573" hidden="1" customWidth="1"/>
    <col min="770" max="770" width="17.85546875" style="573" hidden="1" customWidth="1"/>
    <col min="771" max="771" width="11.5703125" style="573" hidden="1" customWidth="1"/>
    <col min="772" max="772" width="8.7109375" style="573" hidden="1" customWidth="1"/>
    <col min="773" max="773" width="2.42578125" style="573" hidden="1" customWidth="1"/>
    <col min="774" max="774" width="8.5703125" style="573" hidden="1" customWidth="1"/>
    <col min="775" max="775" width="27.140625" style="573" hidden="1" customWidth="1"/>
    <col min="776" max="776" width="3.42578125" style="573" hidden="1" customWidth="1"/>
    <col min="777" max="777" width="7.7109375" style="573" hidden="1" customWidth="1"/>
    <col min="778" max="778" width="9.85546875" style="573" hidden="1" customWidth="1"/>
    <col min="779" max="780" width="5.5703125" style="573" hidden="1" customWidth="1"/>
    <col min="781" max="781" width="7.42578125" style="573" hidden="1" customWidth="1"/>
    <col min="782" max="782" width="9.5703125" style="573" hidden="1" customWidth="1"/>
    <col min="783" max="1023" width="4.28515625" style="573" hidden="1" customWidth="1"/>
    <col min="1024" max="1025" width="0.28515625" style="573" hidden="1" customWidth="1"/>
  </cols>
  <sheetData>
    <row r="1" spans="1:14">
      <c r="A1" s="574"/>
      <c r="B1" s="575"/>
      <c r="C1" s="576"/>
      <c r="D1" s="575"/>
      <c r="E1" s="575"/>
      <c r="F1" s="575"/>
      <c r="G1" s="575"/>
      <c r="H1" s="577"/>
      <c r="I1" s="578"/>
      <c r="J1" s="579">
        <f t="shared" ref="J1:J7" si="0">G13*D25</f>
        <v>4281773.4560854491</v>
      </c>
      <c r="K1" s="578"/>
      <c r="L1" s="578"/>
      <c r="M1" s="578"/>
      <c r="N1" s="580"/>
    </row>
    <row r="2" spans="1:14">
      <c r="A2" s="581"/>
      <c r="B2" s="574"/>
      <c r="C2" s="576"/>
      <c r="D2" s="582"/>
      <c r="E2" s="575"/>
      <c r="F2" s="575"/>
      <c r="G2" s="577"/>
      <c r="H2" s="583"/>
      <c r="I2" s="584"/>
      <c r="J2" s="579">
        <f t="shared" si="0"/>
        <v>2583828.8097067364</v>
      </c>
      <c r="K2" s="578"/>
      <c r="L2" s="578"/>
      <c r="M2" s="578"/>
      <c r="N2" s="580"/>
    </row>
    <row r="3" spans="1:14">
      <c r="A3" s="581"/>
      <c r="B3" s="581"/>
      <c r="C3" s="585"/>
      <c r="D3" s="586"/>
      <c r="E3" s="586"/>
      <c r="F3" s="586"/>
      <c r="G3" s="583"/>
      <c r="H3" s="583"/>
      <c r="I3" s="587">
        <f>(((G13*D25)+(G14*D26)+(G15*D27)+(G16*D28)+(G17*D29)+(G18*D30)+(G19*D31)-C12)/(C14/12)/C12)</f>
        <v>7.679822376297403E-2</v>
      </c>
      <c r="J3" s="579">
        <f t="shared" si="0"/>
        <v>516765.76194134733</v>
      </c>
      <c r="K3" s="578"/>
      <c r="L3" s="578"/>
      <c r="M3" s="578"/>
      <c r="N3" s="580"/>
    </row>
    <row r="4" spans="1:14">
      <c r="A4" s="581"/>
      <c r="B4" s="581"/>
      <c r="C4" s="585"/>
      <c r="D4" s="586"/>
      <c r="E4" s="586"/>
      <c r="F4" s="586"/>
      <c r="G4" s="583"/>
      <c r="H4" s="583"/>
      <c r="I4" s="584"/>
      <c r="J4" s="579">
        <f t="shared" si="0"/>
        <v>0</v>
      </c>
      <c r="K4" s="578"/>
      <c r="L4" s="578"/>
      <c r="M4" s="578"/>
      <c r="N4" s="580"/>
    </row>
    <row r="5" spans="1:14" ht="9" customHeight="1">
      <c r="A5" s="581"/>
      <c r="B5" s="581"/>
      <c r="C5" s="585"/>
      <c r="D5" s="586"/>
      <c r="E5" s="586"/>
      <c r="F5" s="586"/>
      <c r="G5" s="583"/>
      <c r="H5" s="583"/>
      <c r="I5" s="584"/>
      <c r="J5" s="579">
        <f t="shared" si="0"/>
        <v>0</v>
      </c>
      <c r="K5" s="578"/>
      <c r="L5" s="578"/>
      <c r="M5" s="578"/>
      <c r="N5" s="580"/>
    </row>
    <row r="6" spans="1:14" ht="9" customHeight="1">
      <c r="A6" s="581"/>
      <c r="B6" s="581"/>
      <c r="C6" s="585"/>
      <c r="D6" s="586"/>
      <c r="E6" s="586"/>
      <c r="F6" s="586"/>
      <c r="G6" s="583"/>
      <c r="H6" s="583"/>
      <c r="I6" s="584"/>
      <c r="J6" s="579">
        <f t="shared" si="0"/>
        <v>0</v>
      </c>
      <c r="K6" s="578"/>
      <c r="L6" s="578"/>
      <c r="M6" s="578"/>
      <c r="N6" s="588"/>
    </row>
    <row r="7" spans="1:14" ht="9" customHeight="1">
      <c r="A7" s="581"/>
      <c r="B7" s="589"/>
      <c r="C7" s="590"/>
      <c r="D7" s="591"/>
      <c r="E7" s="591"/>
      <c r="F7" s="591"/>
      <c r="G7" s="592"/>
      <c r="H7" s="583"/>
      <c r="I7" s="584"/>
      <c r="J7" s="579">
        <f t="shared" si="0"/>
        <v>0</v>
      </c>
      <c r="K7" s="578"/>
      <c r="L7" s="578"/>
      <c r="M7" s="578"/>
      <c r="N7" s="580"/>
    </row>
    <row r="8" spans="1:14" ht="9" customHeight="1">
      <c r="A8" s="581"/>
      <c r="B8" s="586"/>
      <c r="C8" s="585"/>
      <c r="D8" s="586"/>
      <c r="E8" s="586"/>
      <c r="F8" s="586"/>
      <c r="G8" s="586"/>
      <c r="H8" s="583"/>
      <c r="I8" s="584"/>
      <c r="J8" s="579">
        <f>SUM(J1:J7)</f>
        <v>7382368.0277335327</v>
      </c>
      <c r="K8" s="578"/>
      <c r="L8" s="578"/>
      <c r="M8" s="578"/>
      <c r="N8" s="580"/>
    </row>
    <row r="9" spans="1:14" ht="17.25" customHeight="1">
      <c r="A9" s="581"/>
      <c r="B9" s="935" t="s">
        <v>609</v>
      </c>
      <c r="C9" s="935"/>
      <c r="D9" s="935"/>
      <c r="E9" s="935"/>
      <c r="F9" s="935"/>
      <c r="G9" s="935"/>
      <c r="H9" s="593"/>
      <c r="I9" s="584"/>
      <c r="J9" s="594"/>
      <c r="K9" s="595"/>
      <c r="L9" s="594"/>
      <c r="M9" s="594"/>
      <c r="N9" s="594"/>
    </row>
    <row r="10" spans="1:14" ht="12" hidden="1" customHeight="1">
      <c r="A10" s="581"/>
      <c r="B10" s="580"/>
      <c r="C10" s="578"/>
      <c r="D10" s="580"/>
      <c r="E10" s="580"/>
      <c r="F10" s="580"/>
      <c r="G10" s="580"/>
      <c r="H10" s="583"/>
      <c r="I10" s="578"/>
      <c r="J10" s="578"/>
      <c r="K10" s="578"/>
      <c r="L10" s="578"/>
      <c r="M10" s="578"/>
      <c r="N10" s="580"/>
    </row>
    <row r="11" spans="1:14">
      <c r="A11" s="581"/>
      <c r="B11" s="586"/>
      <c r="C11" s="585"/>
      <c r="D11" s="586"/>
      <c r="E11" s="586"/>
      <c r="F11" s="586"/>
      <c r="G11" s="586"/>
      <c r="H11" s="583"/>
      <c r="I11" s="936" t="s">
        <v>610</v>
      </c>
      <c r="J11" s="936"/>
      <c r="K11" s="578"/>
      <c r="L11" s="937" t="s">
        <v>611</v>
      </c>
      <c r="M11" s="937"/>
      <c r="N11" s="580"/>
    </row>
    <row r="12" spans="1:14">
      <c r="A12" s="581"/>
      <c r="B12" s="596" t="s">
        <v>612</v>
      </c>
      <c r="C12" s="597">
        <f>G39</f>
        <v>6000000</v>
      </c>
      <c r="D12" s="598"/>
      <c r="E12" s="586"/>
      <c r="F12" s="599" t="s">
        <v>613</v>
      </c>
      <c r="G12" s="600" t="s">
        <v>614</v>
      </c>
      <c r="H12" s="583"/>
      <c r="I12" s="601" t="s">
        <v>465</v>
      </c>
      <c r="J12" s="602">
        <f>-C12</f>
        <v>-6000000</v>
      </c>
      <c r="K12" s="578"/>
      <c r="L12" s="603" t="s">
        <v>465</v>
      </c>
      <c r="M12" s="602">
        <f>-C12</f>
        <v>-6000000</v>
      </c>
      <c r="N12" s="580"/>
    </row>
    <row r="13" spans="1:14">
      <c r="A13" s="581"/>
      <c r="B13" s="604"/>
      <c r="C13" s="604"/>
      <c r="D13" s="605"/>
      <c r="E13" s="586"/>
      <c r="F13" s="606">
        <v>1</v>
      </c>
      <c r="G13" s="607">
        <f t="shared" ref="G13:G19" si="1">IF(D25&gt;0,$C$20*G25/D25,0)</f>
        <v>475752.60623171658</v>
      </c>
      <c r="H13" s="608"/>
      <c r="I13" s="601">
        <v>1</v>
      </c>
      <c r="J13" s="609">
        <f t="shared" ref="J13:J44" si="2">IF(I13&lt;=$C$25,$G$13,IF(AND(I13&gt;$C$25,I13&lt;=$C$26),$G$14,IF(AND(I13&gt;$C$26,I13&lt;=$C$27),$G$15,IF(AND(I13&gt;$C$27,I13&lt;=$C$28),$G$16,IF(AND(I13&gt;$C$28,I13&lt;=$C$29),$G$17,IF(AND(I13&gt;$C$29,I13&lt;=$C$30),$G$18,IF(AND(I13&gt;$C$30,I13&lt;=$C$31),$G$14,"0")))))))</f>
        <v>475752.60623171658</v>
      </c>
      <c r="K13" s="610"/>
      <c r="L13" s="603">
        <v>1</v>
      </c>
      <c r="M13" s="611">
        <f t="shared" ref="M13:M44" si="3">IF(I13&lt;=C$14,C$20/C$14,0)</f>
        <v>205065.7785481537</v>
      </c>
      <c r="N13" s="580"/>
    </row>
    <row r="14" spans="1:14">
      <c r="A14" s="581"/>
      <c r="B14" s="596" t="s">
        <v>615</v>
      </c>
      <c r="C14" s="597">
        <f>G41</f>
        <v>36</v>
      </c>
      <c r="D14" s="605"/>
      <c r="E14" s="586"/>
      <c r="F14" s="606">
        <v>2</v>
      </c>
      <c r="G14" s="607">
        <f t="shared" si="1"/>
        <v>369118.40138667665</v>
      </c>
      <c r="H14" s="583"/>
      <c r="I14" s="601">
        <v>2</v>
      </c>
      <c r="J14" s="609">
        <f t="shared" si="2"/>
        <v>475752.60623171658</v>
      </c>
      <c r="K14" s="610"/>
      <c r="L14" s="603">
        <v>2</v>
      </c>
      <c r="M14" s="611">
        <f t="shared" si="3"/>
        <v>205065.7785481537</v>
      </c>
      <c r="N14" s="580"/>
    </row>
    <row r="15" spans="1:14">
      <c r="A15" s="581"/>
      <c r="B15" s="604"/>
      <c r="C15" s="612">
        <f>G43</f>
        <v>7.679822376297403E-2</v>
      </c>
      <c r="D15" s="605"/>
      <c r="E15" s="586"/>
      <c r="F15" s="606">
        <v>3</v>
      </c>
      <c r="G15" s="607">
        <f t="shared" si="1"/>
        <v>64595.720242668416</v>
      </c>
      <c r="H15" s="583"/>
      <c r="I15" s="601">
        <v>3</v>
      </c>
      <c r="J15" s="609">
        <f t="shared" si="2"/>
        <v>475752.60623171658</v>
      </c>
      <c r="K15" s="610"/>
      <c r="L15" s="603">
        <v>3</v>
      </c>
      <c r="M15" s="611">
        <f t="shared" si="3"/>
        <v>205065.7785481537</v>
      </c>
      <c r="N15" s="580"/>
    </row>
    <row r="16" spans="1:14">
      <c r="A16" s="581"/>
      <c r="B16" s="596" t="s">
        <v>616</v>
      </c>
      <c r="C16" s="613">
        <f>I3</f>
        <v>7.679822376297403E-2</v>
      </c>
      <c r="D16" s="598"/>
      <c r="E16" s="586"/>
      <c r="F16" s="606">
        <v>4</v>
      </c>
      <c r="G16" s="607">
        <f t="shared" si="1"/>
        <v>0</v>
      </c>
      <c r="H16" s="583"/>
      <c r="I16" s="601">
        <v>4</v>
      </c>
      <c r="J16" s="609">
        <f t="shared" si="2"/>
        <v>475752.60623171658</v>
      </c>
      <c r="K16" s="610"/>
      <c r="L16" s="603">
        <v>4</v>
      </c>
      <c r="M16" s="611">
        <f t="shared" si="3"/>
        <v>205065.7785481537</v>
      </c>
      <c r="N16" s="580"/>
    </row>
    <row r="17" spans="1:14">
      <c r="A17" s="581"/>
      <c r="B17" s="604"/>
      <c r="C17" s="604"/>
      <c r="D17" s="614"/>
      <c r="E17" s="586"/>
      <c r="F17" s="606">
        <v>5</v>
      </c>
      <c r="G17" s="607">
        <f t="shared" si="1"/>
        <v>0</v>
      </c>
      <c r="H17" s="583"/>
      <c r="I17" s="601">
        <v>5</v>
      </c>
      <c r="J17" s="609">
        <f t="shared" si="2"/>
        <v>475752.60623171658</v>
      </c>
      <c r="K17" s="610"/>
      <c r="L17" s="603">
        <v>5</v>
      </c>
      <c r="M17" s="611">
        <f t="shared" si="3"/>
        <v>205065.7785481537</v>
      </c>
      <c r="N17" s="580"/>
    </row>
    <row r="18" spans="1:14">
      <c r="A18" s="581"/>
      <c r="B18" s="596" t="s">
        <v>617</v>
      </c>
      <c r="C18" s="615">
        <f>IRR(J$12:J$72,0.2)*12</f>
        <v>0.29518400072638684</v>
      </c>
      <c r="D18" s="614"/>
      <c r="E18" s="586"/>
      <c r="F18" s="606">
        <v>6</v>
      </c>
      <c r="G18" s="607">
        <f t="shared" si="1"/>
        <v>0</v>
      </c>
      <c r="H18" s="583"/>
      <c r="I18" s="601">
        <v>6</v>
      </c>
      <c r="J18" s="609">
        <f t="shared" si="2"/>
        <v>475752.60623171658</v>
      </c>
      <c r="K18" s="610"/>
      <c r="L18" s="603">
        <v>6</v>
      </c>
      <c r="M18" s="611">
        <f t="shared" si="3"/>
        <v>205065.7785481537</v>
      </c>
      <c r="N18" s="580"/>
    </row>
    <row r="19" spans="1:14">
      <c r="A19" s="581"/>
      <c r="B19" s="596" t="s">
        <v>618</v>
      </c>
      <c r="C19" s="616">
        <f>IRR(M$12:M$72,0.02)*12</f>
        <v>0.14000000000000057</v>
      </c>
      <c r="D19" s="614"/>
      <c r="E19" s="586"/>
      <c r="F19" s="606">
        <v>7</v>
      </c>
      <c r="G19" s="617">
        <f t="shared" si="1"/>
        <v>0</v>
      </c>
      <c r="H19" s="583"/>
      <c r="I19" s="601">
        <v>7</v>
      </c>
      <c r="J19" s="609">
        <f t="shared" si="2"/>
        <v>475752.60623171658</v>
      </c>
      <c r="K19" s="610"/>
      <c r="L19" s="603">
        <v>7</v>
      </c>
      <c r="M19" s="611">
        <f t="shared" si="3"/>
        <v>205065.7785481537</v>
      </c>
      <c r="N19" s="580"/>
    </row>
    <row r="20" spans="1:14" ht="12" customHeight="1">
      <c r="A20" s="581"/>
      <c r="B20" s="604"/>
      <c r="C20" s="618">
        <f>(C12*C15*C14)/12+C12</f>
        <v>7382368.0277335327</v>
      </c>
      <c r="D20" s="619"/>
      <c r="E20" s="586"/>
      <c r="F20" s="938" t="s">
        <v>619</v>
      </c>
      <c r="G20" s="938"/>
      <c r="H20" s="583"/>
      <c r="I20" s="601">
        <v>8</v>
      </c>
      <c r="J20" s="609">
        <f t="shared" si="2"/>
        <v>475752.60623171658</v>
      </c>
      <c r="K20" s="610"/>
      <c r="L20" s="603">
        <v>8</v>
      </c>
      <c r="M20" s="611">
        <f t="shared" si="3"/>
        <v>205065.7785481537</v>
      </c>
      <c r="N20" s="580"/>
    </row>
    <row r="21" spans="1:14" ht="13.5" customHeight="1">
      <c r="A21" s="581"/>
      <c r="B21" s="596" t="s">
        <v>620</v>
      </c>
      <c r="C21" s="620">
        <f>J8</f>
        <v>7382368.0277335327</v>
      </c>
      <c r="D21" s="586"/>
      <c r="E21" s="586"/>
      <c r="F21" s="938"/>
      <c r="G21" s="938"/>
      <c r="H21" s="583"/>
      <c r="I21" s="601">
        <v>9</v>
      </c>
      <c r="J21" s="609">
        <f t="shared" si="2"/>
        <v>475752.60623171658</v>
      </c>
      <c r="K21" s="610"/>
      <c r="L21" s="603">
        <v>9</v>
      </c>
      <c r="M21" s="611">
        <f t="shared" si="3"/>
        <v>205065.7785481537</v>
      </c>
      <c r="N21" s="580"/>
    </row>
    <row r="22" spans="1:14" ht="13.5" customHeight="1">
      <c r="A22" s="581"/>
      <c r="B22" s="586"/>
      <c r="C22" s="585"/>
      <c r="D22" s="586"/>
      <c r="E22" s="586"/>
      <c r="F22" s="938"/>
      <c r="G22" s="938"/>
      <c r="H22" s="583"/>
      <c r="I22" s="601">
        <v>10</v>
      </c>
      <c r="J22" s="609">
        <f t="shared" si="2"/>
        <v>369118.40138667665</v>
      </c>
      <c r="K22" s="610"/>
      <c r="L22" s="603">
        <v>10</v>
      </c>
      <c r="M22" s="611">
        <f t="shared" si="3"/>
        <v>205065.7785481537</v>
      </c>
      <c r="N22" s="580"/>
    </row>
    <row r="23" spans="1:14">
      <c r="A23" s="581"/>
      <c r="B23" s="600" t="s">
        <v>621</v>
      </c>
      <c r="C23" s="621" t="s">
        <v>622</v>
      </c>
      <c r="D23" s="622" t="s">
        <v>623</v>
      </c>
      <c r="E23" s="586"/>
      <c r="F23" s="623" t="s">
        <v>624</v>
      </c>
      <c r="G23" s="600" t="s">
        <v>613</v>
      </c>
      <c r="H23" s="583"/>
      <c r="I23" s="601">
        <v>11</v>
      </c>
      <c r="J23" s="609">
        <f t="shared" si="2"/>
        <v>369118.40138667665</v>
      </c>
      <c r="K23" s="610"/>
      <c r="L23" s="603">
        <v>11</v>
      </c>
      <c r="M23" s="611">
        <f t="shared" si="3"/>
        <v>205065.7785481537</v>
      </c>
      <c r="N23" s="580"/>
    </row>
    <row r="24" spans="1:14" ht="7.5" customHeight="1">
      <c r="A24" s="581"/>
      <c r="B24" s="586"/>
      <c r="C24" s="585"/>
      <c r="D24" s="586"/>
      <c r="E24" s="586"/>
      <c r="F24" s="586"/>
      <c r="G24" s="585"/>
      <c r="H24" s="583"/>
      <c r="I24" s="601">
        <v>12</v>
      </c>
      <c r="J24" s="609">
        <f t="shared" si="2"/>
        <v>369118.40138667665</v>
      </c>
      <c r="K24" s="610"/>
      <c r="L24" s="603">
        <v>12</v>
      </c>
      <c r="M24" s="611">
        <f t="shared" si="3"/>
        <v>205065.7785481537</v>
      </c>
      <c r="N24" s="580"/>
    </row>
    <row r="25" spans="1:14">
      <c r="A25" s="581"/>
      <c r="B25" s="624">
        <f>1</f>
        <v>1</v>
      </c>
      <c r="C25" s="625">
        <v>9</v>
      </c>
      <c r="D25" s="626">
        <f>IF((C25&lt;=$C$14),C25,0)</f>
        <v>9</v>
      </c>
      <c r="E25" s="586"/>
      <c r="F25" s="627">
        <f t="shared" ref="F25:F31" si="4">+D25/$C$14</f>
        <v>0.25</v>
      </c>
      <c r="G25" s="628">
        <v>0.57999999999999996</v>
      </c>
      <c r="H25" s="583"/>
      <c r="I25" s="601">
        <v>13</v>
      </c>
      <c r="J25" s="609">
        <f t="shared" si="2"/>
        <v>369118.40138667665</v>
      </c>
      <c r="K25" s="610"/>
      <c r="L25" s="603">
        <v>13</v>
      </c>
      <c r="M25" s="611">
        <f t="shared" si="3"/>
        <v>205065.7785481537</v>
      </c>
      <c r="N25" s="580"/>
    </row>
    <row r="26" spans="1:14">
      <c r="A26" s="581"/>
      <c r="B26" s="629">
        <f>IF(AND(C25 &lt;$C$14,D25&lt;$C$14),C25+1,0)</f>
        <v>10</v>
      </c>
      <c r="C26" s="630">
        <v>16</v>
      </c>
      <c r="D26" s="631">
        <f>IF(AND(C26&lt;=$C$14,B26&gt;0),(C26-D25),0)</f>
        <v>7</v>
      </c>
      <c r="E26" s="586"/>
      <c r="F26" s="632">
        <f t="shared" si="4"/>
        <v>0.19444444444444445</v>
      </c>
      <c r="G26" s="633">
        <v>0.35</v>
      </c>
      <c r="H26" s="583"/>
      <c r="I26" s="601">
        <v>14</v>
      </c>
      <c r="J26" s="609">
        <f t="shared" si="2"/>
        <v>369118.40138667665</v>
      </c>
      <c r="K26" s="610"/>
      <c r="L26" s="603">
        <v>14</v>
      </c>
      <c r="M26" s="611">
        <f t="shared" si="3"/>
        <v>205065.7785481537</v>
      </c>
      <c r="N26" s="580"/>
    </row>
    <row r="27" spans="1:14">
      <c r="A27" s="581"/>
      <c r="B27" s="629">
        <f>IF(AND(C26 &lt;$C$14,SUM($D$25:D26)&lt;$C$14),C26+1,0)</f>
        <v>17</v>
      </c>
      <c r="C27" s="630">
        <v>24</v>
      </c>
      <c r="D27" s="631">
        <f>IF(AND(C27&lt;=$C$14,B27&gt;0),(C27-SUM($D$25:D26)),0)</f>
        <v>8</v>
      </c>
      <c r="E27" s="586"/>
      <c r="F27" s="632">
        <f t="shared" si="4"/>
        <v>0.22222222222222221</v>
      </c>
      <c r="G27" s="633">
        <v>7.0000000000000007E-2</v>
      </c>
      <c r="H27" s="583"/>
      <c r="I27" s="601">
        <v>15</v>
      </c>
      <c r="J27" s="609">
        <f t="shared" si="2"/>
        <v>369118.40138667665</v>
      </c>
      <c r="K27" s="610"/>
      <c r="L27" s="603">
        <v>15</v>
      </c>
      <c r="M27" s="611">
        <f t="shared" si="3"/>
        <v>205065.7785481537</v>
      </c>
      <c r="N27" s="580"/>
    </row>
    <row r="28" spans="1:14">
      <c r="A28" s="581"/>
      <c r="B28" s="634">
        <f>IF(AND(C27 &lt;$C$14,SUM($D$25:D27)&lt;$C$14),C27+1,0)</f>
        <v>25</v>
      </c>
      <c r="C28" s="630">
        <v>36</v>
      </c>
      <c r="D28" s="602">
        <f>IF(AND(C28&lt;=$C$14,B28&gt;0),(C28-SUM($D$25:D27)),0)</f>
        <v>12</v>
      </c>
      <c r="E28" s="586"/>
      <c r="F28" s="632">
        <f t="shared" si="4"/>
        <v>0.33333333333333331</v>
      </c>
      <c r="G28" s="633">
        <v>0</v>
      </c>
      <c r="H28" s="583"/>
      <c r="I28" s="601">
        <v>16</v>
      </c>
      <c r="J28" s="609">
        <f t="shared" si="2"/>
        <v>369118.40138667665</v>
      </c>
      <c r="K28" s="610"/>
      <c r="L28" s="603">
        <v>16</v>
      </c>
      <c r="M28" s="611">
        <f t="shared" si="3"/>
        <v>205065.7785481537</v>
      </c>
      <c r="N28" s="580"/>
    </row>
    <row r="29" spans="1:14">
      <c r="A29" s="581"/>
      <c r="B29" s="634">
        <f>IF(AND(C28 &lt;$C$14,SUM($D$25:D28)&lt;$C$14),C28+1,0)</f>
        <v>0</v>
      </c>
      <c r="C29" s="630"/>
      <c r="D29" s="602">
        <f>IF(AND(C29&lt;=$C$14,B29&gt;0),(C29-SUM($D$25:D28)),0)</f>
        <v>0</v>
      </c>
      <c r="E29" s="586"/>
      <c r="F29" s="632">
        <f t="shared" si="4"/>
        <v>0</v>
      </c>
      <c r="G29" s="633"/>
      <c r="H29" s="583"/>
      <c r="I29" s="601">
        <v>17</v>
      </c>
      <c r="J29" s="609">
        <f t="shared" si="2"/>
        <v>64595.720242668416</v>
      </c>
      <c r="K29" s="610"/>
      <c r="L29" s="603">
        <v>17</v>
      </c>
      <c r="M29" s="611">
        <f t="shared" si="3"/>
        <v>205065.7785481537</v>
      </c>
      <c r="N29" s="580"/>
    </row>
    <row r="30" spans="1:14">
      <c r="A30" s="581"/>
      <c r="B30" s="634">
        <f>IF(AND(C29 &lt;$C$14,SUM($D$25:D29)&lt;$C$14),C29+1,0)</f>
        <v>0</v>
      </c>
      <c r="C30" s="630"/>
      <c r="D30" s="602">
        <f>IF(AND(C30&lt;=$C$14,B30&gt;0),(C30-SUM($D$25:D29)),0)</f>
        <v>0</v>
      </c>
      <c r="E30" s="586"/>
      <c r="F30" s="632">
        <f t="shared" si="4"/>
        <v>0</v>
      </c>
      <c r="G30" s="633"/>
      <c r="H30" s="583"/>
      <c r="I30" s="601">
        <v>18</v>
      </c>
      <c r="J30" s="609">
        <f t="shared" si="2"/>
        <v>64595.720242668416</v>
      </c>
      <c r="K30" s="610"/>
      <c r="L30" s="603">
        <v>18</v>
      </c>
      <c r="M30" s="611">
        <f t="shared" si="3"/>
        <v>205065.7785481537</v>
      </c>
      <c r="N30" s="580"/>
    </row>
    <row r="31" spans="1:14" ht="11.25" customHeight="1">
      <c r="A31" s="581"/>
      <c r="B31" s="635">
        <f>IF(AND(C30 &lt;$C$14,SUM($D$25:D30)&lt;$C$14),C30+1,0)</f>
        <v>0</v>
      </c>
      <c r="C31" s="636">
        <v>0</v>
      </c>
      <c r="D31" s="637">
        <f>IF(AND(C31&lt;=$C$14,B31&gt;0),(C31-SUM($D$25:D30)),0)</f>
        <v>0</v>
      </c>
      <c r="E31" s="586"/>
      <c r="F31" s="632">
        <f t="shared" si="4"/>
        <v>0</v>
      </c>
      <c r="G31" s="638">
        <v>0</v>
      </c>
      <c r="H31" s="583"/>
      <c r="I31" s="601">
        <v>19</v>
      </c>
      <c r="J31" s="609">
        <f t="shared" si="2"/>
        <v>64595.720242668416</v>
      </c>
      <c r="K31" s="610"/>
      <c r="L31" s="603">
        <v>19</v>
      </c>
      <c r="M31" s="611">
        <f t="shared" si="3"/>
        <v>205065.7785481537</v>
      </c>
      <c r="N31" s="580"/>
    </row>
    <row r="32" spans="1:14">
      <c r="A32" s="581"/>
      <c r="B32" s="939" t="s">
        <v>625</v>
      </c>
      <c r="C32" s="939"/>
      <c r="D32" s="639">
        <f>SUM(D25:D31)</f>
        <v>36</v>
      </c>
      <c r="E32" s="586"/>
      <c r="F32" s="640">
        <f>SUM(F25:F31)</f>
        <v>1</v>
      </c>
      <c r="G32" s="641">
        <f>SUM(G25:G31)</f>
        <v>1</v>
      </c>
      <c r="H32" s="583"/>
      <c r="I32" s="601">
        <v>20</v>
      </c>
      <c r="J32" s="609">
        <f t="shared" si="2"/>
        <v>64595.720242668416</v>
      </c>
      <c r="K32" s="610"/>
      <c r="L32" s="603">
        <v>20</v>
      </c>
      <c r="M32" s="611">
        <f t="shared" si="3"/>
        <v>205065.7785481537</v>
      </c>
      <c r="N32" s="580"/>
    </row>
    <row r="33" spans="1:14">
      <c r="A33" s="581"/>
      <c r="B33" s="580"/>
      <c r="C33" s="578"/>
      <c r="D33" s="580"/>
      <c r="E33" s="586"/>
      <c r="F33" s="580"/>
      <c r="G33" s="580"/>
      <c r="H33" s="583"/>
      <c r="I33" s="601">
        <v>21</v>
      </c>
      <c r="J33" s="609">
        <f t="shared" si="2"/>
        <v>64595.720242668416</v>
      </c>
      <c r="K33" s="610"/>
      <c r="L33" s="603">
        <v>21</v>
      </c>
      <c r="M33" s="611">
        <f t="shared" si="3"/>
        <v>205065.7785481537</v>
      </c>
      <c r="N33" s="580"/>
    </row>
    <row r="34" spans="1:14">
      <c r="A34" s="581"/>
      <c r="B34" s="580"/>
      <c r="C34" s="578"/>
      <c r="D34" s="580"/>
      <c r="E34" s="586"/>
      <c r="F34" s="580"/>
      <c r="G34" s="580"/>
      <c r="H34" s="583"/>
      <c r="I34" s="601">
        <v>22</v>
      </c>
      <c r="J34" s="609">
        <f t="shared" si="2"/>
        <v>64595.720242668416</v>
      </c>
      <c r="K34" s="610"/>
      <c r="L34" s="603">
        <v>22</v>
      </c>
      <c r="M34" s="611">
        <f t="shared" si="3"/>
        <v>205065.7785481537</v>
      </c>
      <c r="N34" s="580"/>
    </row>
    <row r="35" spans="1:14">
      <c r="A35" s="581"/>
      <c r="B35" s="580"/>
      <c r="C35" s="578"/>
      <c r="D35" s="580"/>
      <c r="E35" s="586"/>
      <c r="F35" s="580"/>
      <c r="G35" s="580"/>
      <c r="H35" s="583"/>
      <c r="I35" s="601">
        <v>23</v>
      </c>
      <c r="J35" s="609">
        <f t="shared" si="2"/>
        <v>64595.720242668416</v>
      </c>
      <c r="K35" s="610"/>
      <c r="L35" s="603">
        <v>23</v>
      </c>
      <c r="M35" s="611">
        <f t="shared" si="3"/>
        <v>205065.7785481537</v>
      </c>
      <c r="N35" s="580"/>
    </row>
    <row r="36" spans="1:14">
      <c r="A36" s="581"/>
      <c r="B36" s="586"/>
      <c r="C36" s="585"/>
      <c r="D36" s="586"/>
      <c r="E36" s="586"/>
      <c r="F36" s="586"/>
      <c r="G36" s="586"/>
      <c r="H36" s="583"/>
      <c r="I36" s="601">
        <v>24</v>
      </c>
      <c r="J36" s="609">
        <f t="shared" si="2"/>
        <v>64595.720242668416</v>
      </c>
      <c r="K36" s="610"/>
      <c r="L36" s="603">
        <v>24</v>
      </c>
      <c r="M36" s="611">
        <f t="shared" si="3"/>
        <v>205065.7785481537</v>
      </c>
      <c r="N36" s="580"/>
    </row>
    <row r="37" spans="1:14" ht="11.25" customHeight="1">
      <c r="A37" s="581"/>
      <c r="B37" s="932" t="s">
        <v>626</v>
      </c>
      <c r="C37" s="932"/>
      <c r="D37" s="932"/>
      <c r="E37" s="932"/>
      <c r="F37" s="932"/>
      <c r="G37" s="932"/>
      <c r="H37" s="583"/>
      <c r="I37" s="601">
        <v>25</v>
      </c>
      <c r="J37" s="609">
        <f t="shared" si="2"/>
        <v>0</v>
      </c>
      <c r="K37" s="610"/>
      <c r="L37" s="603">
        <v>25</v>
      </c>
      <c r="M37" s="611">
        <f t="shared" si="3"/>
        <v>205065.7785481537</v>
      </c>
      <c r="N37" s="580"/>
    </row>
    <row r="38" spans="1:14" ht="6" customHeight="1">
      <c r="A38" s="581"/>
      <c r="B38" s="642"/>
      <c r="C38" s="642"/>
      <c r="D38" s="586"/>
      <c r="E38" s="586"/>
      <c r="F38" s="586"/>
      <c r="G38" s="586"/>
      <c r="H38" s="583"/>
      <c r="I38" s="601">
        <v>26</v>
      </c>
      <c r="J38" s="609">
        <f t="shared" si="2"/>
        <v>0</v>
      </c>
      <c r="K38" s="610"/>
      <c r="L38" s="603">
        <v>26</v>
      </c>
      <c r="M38" s="611">
        <f t="shared" si="3"/>
        <v>205065.7785481537</v>
      </c>
      <c r="N38" s="580"/>
    </row>
    <row r="39" spans="1:14" ht="12.75" customHeight="1">
      <c r="A39" s="581"/>
      <c r="B39" s="933" t="s">
        <v>627</v>
      </c>
      <c r="C39" s="933"/>
      <c r="D39" s="933"/>
      <c r="E39" s="586"/>
      <c r="F39" s="643"/>
      <c r="G39" s="644">
        <v>6000000</v>
      </c>
      <c r="H39" s="583"/>
      <c r="I39" s="601">
        <v>27</v>
      </c>
      <c r="J39" s="609">
        <f t="shared" si="2"/>
        <v>0</v>
      </c>
      <c r="K39" s="610"/>
      <c r="L39" s="603">
        <v>27</v>
      </c>
      <c r="M39" s="611">
        <f t="shared" si="3"/>
        <v>205065.7785481537</v>
      </c>
      <c r="N39" s="580"/>
    </row>
    <row r="40" spans="1:14">
      <c r="A40" s="581"/>
      <c r="B40" s="934" t="s">
        <v>628</v>
      </c>
      <c r="C40" s="934"/>
      <c r="D40" s="934"/>
      <c r="E40" s="586"/>
      <c r="F40" s="645"/>
      <c r="G40" s="646">
        <v>0.14000000000000001</v>
      </c>
      <c r="H40" s="583"/>
      <c r="I40" s="601">
        <v>28</v>
      </c>
      <c r="J40" s="609">
        <f t="shared" si="2"/>
        <v>0</v>
      </c>
      <c r="K40" s="610"/>
      <c r="L40" s="603">
        <v>28</v>
      </c>
      <c r="M40" s="611">
        <f t="shared" si="3"/>
        <v>205065.7785481537</v>
      </c>
      <c r="N40" s="580"/>
    </row>
    <row r="41" spans="1:14">
      <c r="A41" s="581"/>
      <c r="B41" s="934" t="s">
        <v>615</v>
      </c>
      <c r="C41" s="934"/>
      <c r="D41" s="934"/>
      <c r="E41" s="586"/>
      <c r="F41" s="647"/>
      <c r="G41" s="648">
        <v>36</v>
      </c>
      <c r="H41" s="583"/>
      <c r="I41" s="601">
        <v>29</v>
      </c>
      <c r="J41" s="609">
        <f t="shared" si="2"/>
        <v>0</v>
      </c>
      <c r="K41" s="610"/>
      <c r="L41" s="603">
        <v>29</v>
      </c>
      <c r="M41" s="611">
        <f t="shared" si="3"/>
        <v>205065.7785481537</v>
      </c>
      <c r="N41" s="580"/>
    </row>
    <row r="42" spans="1:14">
      <c r="A42" s="581"/>
      <c r="B42" s="934" t="s">
        <v>492</v>
      </c>
      <c r="C42" s="934"/>
      <c r="D42" s="934"/>
      <c r="E42" s="586"/>
      <c r="F42" s="649"/>
      <c r="G42" s="650">
        <f>PMT(G40/12,G41,-G39)</f>
        <v>205065.7785481537</v>
      </c>
      <c r="H42" s="583"/>
      <c r="I42" s="601">
        <v>30</v>
      </c>
      <c r="J42" s="609">
        <f t="shared" si="2"/>
        <v>0</v>
      </c>
      <c r="K42" s="610"/>
      <c r="L42" s="603">
        <v>30</v>
      </c>
      <c r="M42" s="611">
        <f t="shared" si="3"/>
        <v>205065.7785481537</v>
      </c>
      <c r="N42" s="580"/>
    </row>
    <row r="43" spans="1:14">
      <c r="A43" s="581"/>
      <c r="B43" s="930" t="s">
        <v>629</v>
      </c>
      <c r="C43" s="930"/>
      <c r="D43" s="930"/>
      <c r="E43" s="586"/>
      <c r="F43" s="651"/>
      <c r="G43" s="652">
        <f>(G42*G41-G39)/(G41/12)/G39</f>
        <v>7.679822376297403E-2</v>
      </c>
      <c r="H43" s="583"/>
      <c r="I43" s="601">
        <v>31</v>
      </c>
      <c r="J43" s="609">
        <f t="shared" si="2"/>
        <v>0</v>
      </c>
      <c r="K43" s="610"/>
      <c r="L43" s="603">
        <v>31</v>
      </c>
      <c r="M43" s="611">
        <f t="shared" si="3"/>
        <v>205065.7785481537</v>
      </c>
      <c r="N43" s="580"/>
    </row>
    <row r="44" spans="1:14">
      <c r="A44" s="581"/>
      <c r="B44" s="931" t="s">
        <v>630</v>
      </c>
      <c r="C44" s="931"/>
      <c r="D44" s="931"/>
      <c r="E44" s="586"/>
      <c r="F44" s="649"/>
      <c r="G44" s="650">
        <f>G42*G41</f>
        <v>7382368.0277335327</v>
      </c>
      <c r="H44" s="583"/>
      <c r="I44" s="601">
        <v>32</v>
      </c>
      <c r="J44" s="609">
        <f t="shared" si="2"/>
        <v>0</v>
      </c>
      <c r="K44" s="610"/>
      <c r="L44" s="603">
        <v>32</v>
      </c>
      <c r="M44" s="611">
        <f t="shared" si="3"/>
        <v>205065.7785481537</v>
      </c>
      <c r="N44" s="580"/>
    </row>
    <row r="45" spans="1:14">
      <c r="A45" s="589"/>
      <c r="B45" s="591"/>
      <c r="C45" s="591"/>
      <c r="D45" s="591"/>
      <c r="E45" s="591"/>
      <c r="F45" s="591"/>
      <c r="G45" s="591"/>
      <c r="H45" s="592"/>
      <c r="I45" s="601">
        <v>33</v>
      </c>
      <c r="J45" s="609">
        <f t="shared" ref="J45:J72" si="5">IF(I45&lt;=$C$25,$G$13,IF(AND(I45&gt;$C$25,I45&lt;=$C$26),$G$14,IF(AND(I45&gt;$C$26,I45&lt;=$C$27),$G$15,IF(AND(I45&gt;$C$27,I45&lt;=$C$28),$G$16,IF(AND(I45&gt;$C$28,I45&lt;=$C$29),$G$17,IF(AND(I45&gt;$C$29,I45&lt;=$C$30),$G$18,IF(AND(I45&gt;$C$30,I45&lt;=$C$31),$G$14,"0")))))))</f>
        <v>0</v>
      </c>
      <c r="K45" s="610"/>
      <c r="L45" s="603">
        <v>33</v>
      </c>
      <c r="M45" s="611">
        <f t="shared" ref="M45:M72" si="6">IF(I45&lt;=C$14,C$20/C$14,0)</f>
        <v>205065.7785481537</v>
      </c>
      <c r="N45" s="580"/>
    </row>
    <row r="46" spans="1:14" hidden="1">
      <c r="A46" s="653"/>
      <c r="B46" s="653"/>
      <c r="C46" s="654"/>
      <c r="D46" s="653"/>
      <c r="E46" s="653"/>
      <c r="F46" s="653"/>
      <c r="G46" s="653"/>
      <c r="H46" s="653"/>
      <c r="I46" s="603">
        <v>34</v>
      </c>
      <c r="J46" s="609">
        <f t="shared" si="5"/>
        <v>0</v>
      </c>
      <c r="K46" s="610"/>
      <c r="L46" s="603">
        <v>34</v>
      </c>
      <c r="M46" s="611">
        <f t="shared" si="6"/>
        <v>205065.7785481537</v>
      </c>
      <c r="N46" s="580"/>
    </row>
    <row r="47" spans="1:14" hidden="1">
      <c r="A47" s="653"/>
      <c r="B47" s="653"/>
      <c r="C47" s="654"/>
      <c r="D47" s="653"/>
      <c r="E47" s="653"/>
      <c r="F47" s="653"/>
      <c r="G47" s="653"/>
      <c r="H47" s="653"/>
      <c r="I47" s="603">
        <v>35</v>
      </c>
      <c r="J47" s="609">
        <f t="shared" si="5"/>
        <v>0</v>
      </c>
      <c r="K47" s="610"/>
      <c r="L47" s="603">
        <v>35</v>
      </c>
      <c r="M47" s="611">
        <f t="shared" si="6"/>
        <v>205065.7785481537</v>
      </c>
      <c r="N47" s="580"/>
    </row>
    <row r="48" spans="1:14" hidden="1">
      <c r="A48" s="653"/>
      <c r="B48" s="653"/>
      <c r="C48" s="654"/>
      <c r="D48" s="653"/>
      <c r="E48" s="653"/>
      <c r="F48" s="653"/>
      <c r="G48" s="653"/>
      <c r="H48" s="653"/>
      <c r="I48" s="603">
        <v>36</v>
      </c>
      <c r="J48" s="609">
        <f t="shared" si="5"/>
        <v>0</v>
      </c>
      <c r="K48" s="610"/>
      <c r="L48" s="603">
        <v>36</v>
      </c>
      <c r="M48" s="611">
        <f t="shared" si="6"/>
        <v>205065.7785481537</v>
      </c>
      <c r="N48" s="580"/>
    </row>
    <row r="49" spans="1:14" hidden="1">
      <c r="A49" s="653"/>
      <c r="B49" s="653"/>
      <c r="C49" s="654"/>
      <c r="D49" s="653"/>
      <c r="E49" s="653"/>
      <c r="F49" s="653"/>
      <c r="G49" s="653"/>
      <c r="H49" s="653"/>
      <c r="I49" s="603">
        <f t="shared" ref="I49:I72" si="7">+I48+1</f>
        <v>37</v>
      </c>
      <c r="J49" s="609" t="str">
        <f t="shared" si="5"/>
        <v>0</v>
      </c>
      <c r="K49" s="610"/>
      <c r="L49" s="603">
        <f t="shared" ref="L49:L72" si="8">+L48+1</f>
        <v>37</v>
      </c>
      <c r="M49" s="611">
        <f t="shared" si="6"/>
        <v>0</v>
      </c>
      <c r="N49" s="580"/>
    </row>
    <row r="50" spans="1:14" hidden="1">
      <c r="A50" s="653"/>
      <c r="B50" s="653"/>
      <c r="C50" s="654"/>
      <c r="D50" s="653"/>
      <c r="E50" s="653"/>
      <c r="F50" s="653"/>
      <c r="G50" s="653"/>
      <c r="H50" s="653"/>
      <c r="I50" s="603">
        <f t="shared" si="7"/>
        <v>38</v>
      </c>
      <c r="J50" s="609" t="str">
        <f t="shared" si="5"/>
        <v>0</v>
      </c>
      <c r="K50" s="610"/>
      <c r="L50" s="603">
        <f t="shared" si="8"/>
        <v>38</v>
      </c>
      <c r="M50" s="611">
        <f t="shared" si="6"/>
        <v>0</v>
      </c>
      <c r="N50" s="580"/>
    </row>
    <row r="51" spans="1:14" hidden="1">
      <c r="A51" s="653"/>
      <c r="B51" s="653"/>
      <c r="C51" s="654"/>
      <c r="D51" s="653"/>
      <c r="E51" s="653"/>
      <c r="F51" s="653"/>
      <c r="G51" s="653"/>
      <c r="H51" s="653"/>
      <c r="I51" s="603">
        <f t="shared" si="7"/>
        <v>39</v>
      </c>
      <c r="J51" s="609" t="str">
        <f t="shared" si="5"/>
        <v>0</v>
      </c>
      <c r="K51" s="610"/>
      <c r="L51" s="603">
        <f t="shared" si="8"/>
        <v>39</v>
      </c>
      <c r="M51" s="611">
        <f t="shared" si="6"/>
        <v>0</v>
      </c>
      <c r="N51" s="580"/>
    </row>
    <row r="52" spans="1:14" hidden="1">
      <c r="A52" s="653"/>
      <c r="B52" s="653"/>
      <c r="C52" s="654"/>
      <c r="D52" s="653"/>
      <c r="E52" s="653"/>
      <c r="F52" s="653"/>
      <c r="G52" s="653"/>
      <c r="H52" s="653"/>
      <c r="I52" s="603">
        <f t="shared" si="7"/>
        <v>40</v>
      </c>
      <c r="J52" s="609" t="str">
        <f t="shared" si="5"/>
        <v>0</v>
      </c>
      <c r="K52" s="610"/>
      <c r="L52" s="603">
        <f t="shared" si="8"/>
        <v>40</v>
      </c>
      <c r="M52" s="611">
        <f t="shared" si="6"/>
        <v>0</v>
      </c>
      <c r="N52" s="580"/>
    </row>
    <row r="53" spans="1:14" hidden="1">
      <c r="A53" s="653"/>
      <c r="B53" s="653"/>
      <c r="C53" s="654"/>
      <c r="D53" s="653"/>
      <c r="E53" s="653"/>
      <c r="F53" s="653"/>
      <c r="G53" s="653"/>
      <c r="H53" s="653"/>
      <c r="I53" s="603">
        <f t="shared" si="7"/>
        <v>41</v>
      </c>
      <c r="J53" s="609" t="str">
        <f t="shared" si="5"/>
        <v>0</v>
      </c>
      <c r="K53" s="610"/>
      <c r="L53" s="603">
        <f t="shared" si="8"/>
        <v>41</v>
      </c>
      <c r="M53" s="611">
        <f t="shared" si="6"/>
        <v>0</v>
      </c>
      <c r="N53" s="580"/>
    </row>
    <row r="54" spans="1:14" hidden="1">
      <c r="A54" s="653"/>
      <c r="B54" s="655"/>
      <c r="C54" s="654"/>
      <c r="D54" s="653"/>
      <c r="E54" s="653"/>
      <c r="F54" s="653"/>
      <c r="G54" s="653"/>
      <c r="H54" s="653"/>
      <c r="I54" s="603">
        <f t="shared" si="7"/>
        <v>42</v>
      </c>
      <c r="J54" s="609" t="str">
        <f t="shared" si="5"/>
        <v>0</v>
      </c>
      <c r="K54" s="610"/>
      <c r="L54" s="603">
        <f t="shared" si="8"/>
        <v>42</v>
      </c>
      <c r="M54" s="611">
        <f t="shared" si="6"/>
        <v>0</v>
      </c>
      <c r="N54" s="580"/>
    </row>
    <row r="55" spans="1:14" hidden="1">
      <c r="A55" s="653"/>
      <c r="B55" s="653"/>
      <c r="C55" s="654"/>
      <c r="D55" s="653"/>
      <c r="E55" s="653"/>
      <c r="F55" s="653"/>
      <c r="G55" s="653"/>
      <c r="H55" s="653"/>
      <c r="I55" s="603">
        <f t="shared" si="7"/>
        <v>43</v>
      </c>
      <c r="J55" s="609" t="str">
        <f t="shared" si="5"/>
        <v>0</v>
      </c>
      <c r="K55" s="610"/>
      <c r="L55" s="603">
        <f t="shared" si="8"/>
        <v>43</v>
      </c>
      <c r="M55" s="611">
        <f t="shared" si="6"/>
        <v>0</v>
      </c>
      <c r="N55" s="580"/>
    </row>
    <row r="56" spans="1:14" hidden="1">
      <c r="A56" s="653"/>
      <c r="B56" s="653"/>
      <c r="C56" s="654"/>
      <c r="D56" s="653"/>
      <c r="E56" s="653"/>
      <c r="F56" s="653"/>
      <c r="G56" s="653"/>
      <c r="H56" s="653"/>
      <c r="I56" s="603">
        <f t="shared" si="7"/>
        <v>44</v>
      </c>
      <c r="J56" s="609" t="str">
        <f t="shared" si="5"/>
        <v>0</v>
      </c>
      <c r="K56" s="610"/>
      <c r="L56" s="603">
        <f t="shared" si="8"/>
        <v>44</v>
      </c>
      <c r="M56" s="611">
        <f t="shared" si="6"/>
        <v>0</v>
      </c>
      <c r="N56" s="580"/>
    </row>
    <row r="57" spans="1:14" hidden="1">
      <c r="A57" s="653"/>
      <c r="B57" s="653"/>
      <c r="C57" s="654"/>
      <c r="D57" s="653"/>
      <c r="E57" s="653"/>
      <c r="F57" s="653"/>
      <c r="G57" s="653"/>
      <c r="H57" s="653"/>
      <c r="I57" s="603">
        <f t="shared" si="7"/>
        <v>45</v>
      </c>
      <c r="J57" s="609" t="str">
        <f t="shared" si="5"/>
        <v>0</v>
      </c>
      <c r="K57" s="610"/>
      <c r="L57" s="603">
        <f t="shared" si="8"/>
        <v>45</v>
      </c>
      <c r="M57" s="611">
        <f t="shared" si="6"/>
        <v>0</v>
      </c>
      <c r="N57" s="580"/>
    </row>
    <row r="58" spans="1:14" hidden="1">
      <c r="A58" s="653"/>
      <c r="B58" s="653"/>
      <c r="C58" s="654"/>
      <c r="D58" s="653"/>
      <c r="E58" s="653"/>
      <c r="F58" s="653"/>
      <c r="G58" s="653"/>
      <c r="H58" s="653"/>
      <c r="I58" s="603">
        <f t="shared" si="7"/>
        <v>46</v>
      </c>
      <c r="J58" s="609" t="str">
        <f t="shared" si="5"/>
        <v>0</v>
      </c>
      <c r="K58" s="610"/>
      <c r="L58" s="603">
        <f t="shared" si="8"/>
        <v>46</v>
      </c>
      <c r="M58" s="611">
        <f t="shared" si="6"/>
        <v>0</v>
      </c>
      <c r="N58" s="580"/>
    </row>
    <row r="59" spans="1:14" hidden="1">
      <c r="A59" s="653"/>
      <c r="B59" s="653"/>
      <c r="C59" s="654"/>
      <c r="D59" s="653"/>
      <c r="E59" s="653"/>
      <c r="F59" s="653"/>
      <c r="G59" s="653"/>
      <c r="H59" s="653"/>
      <c r="I59" s="603">
        <f t="shared" si="7"/>
        <v>47</v>
      </c>
      <c r="J59" s="609" t="str">
        <f t="shared" si="5"/>
        <v>0</v>
      </c>
      <c r="K59" s="610"/>
      <c r="L59" s="603">
        <f t="shared" si="8"/>
        <v>47</v>
      </c>
      <c r="M59" s="611">
        <f t="shared" si="6"/>
        <v>0</v>
      </c>
      <c r="N59" s="580"/>
    </row>
    <row r="60" spans="1:14" hidden="1">
      <c r="A60" s="653"/>
      <c r="B60" s="653"/>
      <c r="C60" s="654"/>
      <c r="D60" s="653"/>
      <c r="E60" s="653"/>
      <c r="F60" s="653"/>
      <c r="G60" s="653"/>
      <c r="H60" s="653"/>
      <c r="I60" s="603">
        <f t="shared" si="7"/>
        <v>48</v>
      </c>
      <c r="J60" s="609" t="str">
        <f t="shared" si="5"/>
        <v>0</v>
      </c>
      <c r="K60" s="610"/>
      <c r="L60" s="603">
        <f t="shared" si="8"/>
        <v>48</v>
      </c>
      <c r="M60" s="611">
        <f t="shared" si="6"/>
        <v>0</v>
      </c>
      <c r="N60" s="580"/>
    </row>
    <row r="61" spans="1:14" hidden="1">
      <c r="A61" s="653"/>
      <c r="B61" s="653"/>
      <c r="C61" s="654"/>
      <c r="D61" s="653"/>
      <c r="E61" s="653"/>
      <c r="F61" s="653"/>
      <c r="G61" s="653"/>
      <c r="H61" s="653"/>
      <c r="I61" s="603">
        <f t="shared" si="7"/>
        <v>49</v>
      </c>
      <c r="J61" s="609" t="str">
        <f t="shared" si="5"/>
        <v>0</v>
      </c>
      <c r="K61" s="610"/>
      <c r="L61" s="603">
        <f t="shared" si="8"/>
        <v>49</v>
      </c>
      <c r="M61" s="611">
        <f t="shared" si="6"/>
        <v>0</v>
      </c>
      <c r="N61" s="580"/>
    </row>
    <row r="62" spans="1:14" hidden="1">
      <c r="A62" s="653"/>
      <c r="B62" s="653"/>
      <c r="C62" s="654"/>
      <c r="D62" s="653"/>
      <c r="E62" s="653"/>
      <c r="F62" s="653"/>
      <c r="G62" s="653"/>
      <c r="H62" s="653"/>
      <c r="I62" s="603">
        <f t="shared" si="7"/>
        <v>50</v>
      </c>
      <c r="J62" s="609" t="str">
        <f t="shared" si="5"/>
        <v>0</v>
      </c>
      <c r="K62" s="610"/>
      <c r="L62" s="603">
        <f t="shared" si="8"/>
        <v>50</v>
      </c>
      <c r="M62" s="611">
        <f t="shared" si="6"/>
        <v>0</v>
      </c>
      <c r="N62" s="580"/>
    </row>
    <row r="63" spans="1:14" hidden="1">
      <c r="A63" s="653"/>
      <c r="B63" s="653"/>
      <c r="C63" s="654"/>
      <c r="D63" s="653"/>
      <c r="E63" s="653"/>
      <c r="F63" s="653"/>
      <c r="G63" s="653"/>
      <c r="H63" s="653"/>
      <c r="I63" s="603">
        <f t="shared" si="7"/>
        <v>51</v>
      </c>
      <c r="J63" s="609" t="str">
        <f t="shared" si="5"/>
        <v>0</v>
      </c>
      <c r="K63" s="610"/>
      <c r="L63" s="603">
        <f t="shared" si="8"/>
        <v>51</v>
      </c>
      <c r="M63" s="611">
        <f t="shared" si="6"/>
        <v>0</v>
      </c>
      <c r="N63" s="580"/>
    </row>
    <row r="64" spans="1:14" hidden="1">
      <c r="A64" s="653"/>
      <c r="B64" s="653"/>
      <c r="C64" s="654"/>
      <c r="D64" s="653"/>
      <c r="E64" s="653"/>
      <c r="F64" s="653"/>
      <c r="G64" s="653"/>
      <c r="H64" s="653"/>
      <c r="I64" s="603">
        <f t="shared" si="7"/>
        <v>52</v>
      </c>
      <c r="J64" s="609" t="str">
        <f t="shared" si="5"/>
        <v>0</v>
      </c>
      <c r="K64" s="610"/>
      <c r="L64" s="603">
        <f t="shared" si="8"/>
        <v>52</v>
      </c>
      <c r="M64" s="611">
        <f t="shared" si="6"/>
        <v>0</v>
      </c>
      <c r="N64" s="580"/>
    </row>
    <row r="65" spans="1:14" hidden="1">
      <c r="A65" s="653"/>
      <c r="B65" s="653"/>
      <c r="C65" s="654"/>
      <c r="D65" s="653"/>
      <c r="E65" s="653"/>
      <c r="F65" s="653"/>
      <c r="G65" s="653"/>
      <c r="H65" s="653"/>
      <c r="I65" s="603">
        <f t="shared" si="7"/>
        <v>53</v>
      </c>
      <c r="J65" s="609" t="str">
        <f t="shared" si="5"/>
        <v>0</v>
      </c>
      <c r="K65" s="610"/>
      <c r="L65" s="603">
        <f t="shared" si="8"/>
        <v>53</v>
      </c>
      <c r="M65" s="611">
        <f t="shared" si="6"/>
        <v>0</v>
      </c>
      <c r="N65" s="580"/>
    </row>
    <row r="66" spans="1:14" hidden="1">
      <c r="A66" s="653"/>
      <c r="B66" s="653"/>
      <c r="C66" s="654"/>
      <c r="D66" s="653"/>
      <c r="E66" s="653"/>
      <c r="F66" s="653"/>
      <c r="G66" s="653"/>
      <c r="H66" s="653"/>
      <c r="I66" s="603">
        <f t="shared" si="7"/>
        <v>54</v>
      </c>
      <c r="J66" s="609" t="str">
        <f t="shared" si="5"/>
        <v>0</v>
      </c>
      <c r="K66" s="610"/>
      <c r="L66" s="603">
        <f t="shared" si="8"/>
        <v>54</v>
      </c>
      <c r="M66" s="611">
        <f t="shared" si="6"/>
        <v>0</v>
      </c>
      <c r="N66" s="580"/>
    </row>
    <row r="67" spans="1:14" hidden="1">
      <c r="A67" s="653"/>
      <c r="B67" s="653"/>
      <c r="C67" s="654"/>
      <c r="D67" s="653"/>
      <c r="E67" s="653"/>
      <c r="F67" s="653"/>
      <c r="G67" s="653"/>
      <c r="H67" s="653"/>
      <c r="I67" s="603">
        <f t="shared" si="7"/>
        <v>55</v>
      </c>
      <c r="J67" s="609" t="str">
        <f t="shared" si="5"/>
        <v>0</v>
      </c>
      <c r="K67" s="610"/>
      <c r="L67" s="603">
        <f t="shared" si="8"/>
        <v>55</v>
      </c>
      <c r="M67" s="611">
        <f t="shared" si="6"/>
        <v>0</v>
      </c>
      <c r="N67" s="580"/>
    </row>
    <row r="68" spans="1:14" hidden="1">
      <c r="A68" s="653"/>
      <c r="B68" s="653"/>
      <c r="C68" s="654"/>
      <c r="D68" s="653"/>
      <c r="E68" s="653"/>
      <c r="F68" s="653"/>
      <c r="G68" s="653"/>
      <c r="H68" s="653"/>
      <c r="I68" s="603">
        <f t="shared" si="7"/>
        <v>56</v>
      </c>
      <c r="J68" s="609" t="str">
        <f t="shared" si="5"/>
        <v>0</v>
      </c>
      <c r="K68" s="610"/>
      <c r="L68" s="603">
        <f t="shared" si="8"/>
        <v>56</v>
      </c>
      <c r="M68" s="611">
        <f t="shared" si="6"/>
        <v>0</v>
      </c>
      <c r="N68" s="580"/>
    </row>
    <row r="69" spans="1:14" hidden="1">
      <c r="A69" s="653"/>
      <c r="B69" s="653"/>
      <c r="C69" s="654"/>
      <c r="D69" s="653"/>
      <c r="E69" s="653"/>
      <c r="F69" s="653"/>
      <c r="G69" s="653"/>
      <c r="H69" s="653"/>
      <c r="I69" s="603">
        <f t="shared" si="7"/>
        <v>57</v>
      </c>
      <c r="J69" s="609" t="str">
        <f t="shared" si="5"/>
        <v>0</v>
      </c>
      <c r="K69" s="610"/>
      <c r="L69" s="603">
        <f t="shared" si="8"/>
        <v>57</v>
      </c>
      <c r="M69" s="611">
        <f t="shared" si="6"/>
        <v>0</v>
      </c>
      <c r="N69" s="580"/>
    </row>
    <row r="70" spans="1:14" hidden="1">
      <c r="A70" s="653"/>
      <c r="B70" s="653"/>
      <c r="C70" s="654"/>
      <c r="D70" s="653"/>
      <c r="E70" s="653"/>
      <c r="F70" s="653"/>
      <c r="G70" s="653"/>
      <c r="H70" s="653"/>
      <c r="I70" s="603">
        <f t="shared" si="7"/>
        <v>58</v>
      </c>
      <c r="J70" s="609" t="str">
        <f t="shared" si="5"/>
        <v>0</v>
      </c>
      <c r="K70" s="610"/>
      <c r="L70" s="603">
        <f t="shared" si="8"/>
        <v>58</v>
      </c>
      <c r="M70" s="611">
        <f t="shared" si="6"/>
        <v>0</v>
      </c>
      <c r="N70" s="580"/>
    </row>
    <row r="71" spans="1:14" hidden="1">
      <c r="A71" s="653"/>
      <c r="B71" s="653"/>
      <c r="C71" s="654"/>
      <c r="D71" s="653"/>
      <c r="E71" s="653"/>
      <c r="F71" s="653"/>
      <c r="G71" s="653"/>
      <c r="H71" s="653"/>
      <c r="I71" s="603">
        <f t="shared" si="7"/>
        <v>59</v>
      </c>
      <c r="J71" s="609" t="str">
        <f t="shared" si="5"/>
        <v>0</v>
      </c>
      <c r="K71" s="610"/>
      <c r="L71" s="603">
        <f t="shared" si="8"/>
        <v>59</v>
      </c>
      <c r="M71" s="611">
        <f t="shared" si="6"/>
        <v>0</v>
      </c>
      <c r="N71" s="580"/>
    </row>
    <row r="72" spans="1:14" hidden="1">
      <c r="A72" s="653"/>
      <c r="B72" s="653"/>
      <c r="C72" s="654"/>
      <c r="D72" s="653"/>
      <c r="E72" s="653"/>
      <c r="F72" s="653"/>
      <c r="G72" s="653"/>
      <c r="H72" s="653"/>
      <c r="I72" s="603">
        <f t="shared" si="7"/>
        <v>60</v>
      </c>
      <c r="J72" s="609" t="str">
        <f t="shared" si="5"/>
        <v>0</v>
      </c>
      <c r="K72" s="610"/>
      <c r="L72" s="603">
        <f t="shared" si="8"/>
        <v>60</v>
      </c>
      <c r="M72" s="611">
        <f t="shared" si="6"/>
        <v>0</v>
      </c>
      <c r="N72" s="580"/>
    </row>
    <row r="73" spans="1:14" hidden="1">
      <c r="A73" s="653"/>
      <c r="B73" s="653"/>
      <c r="C73" s="654"/>
      <c r="D73" s="653"/>
      <c r="E73" s="653"/>
      <c r="F73" s="653"/>
      <c r="G73" s="653"/>
      <c r="H73" s="653"/>
      <c r="I73" s="578"/>
      <c r="J73" s="578"/>
      <c r="K73" s="578"/>
      <c r="L73" s="578"/>
      <c r="M73" s="578"/>
      <c r="N73" s="580"/>
    </row>
    <row r="74" spans="1:14" ht="15.75" hidden="1" customHeight="1"/>
    <row r="75" spans="1:14" ht="15.75" hidden="1" customHeight="1"/>
    <row r="76" spans="1:14" ht="15.75" hidden="1" customHeight="1"/>
    <row r="77" spans="1:14" ht="15.75" hidden="1" customHeight="1"/>
    <row r="78" spans="1:14" ht="15.75" hidden="1" customHeight="1"/>
    <row r="79" spans="1:14" ht="15.75" hidden="1" customHeight="1"/>
    <row r="80" spans="1:14" ht="15.75" hidden="1" customHeight="1"/>
    <row r="81" ht="15.75" hidden="1" customHeight="1"/>
    <row r="82" ht="15.75" hidden="1" customHeight="1"/>
    <row r="83" ht="15.75" hidden="1" customHeight="1"/>
    <row r="84" ht="15.75" hidden="1" customHeight="1"/>
    <row r="85" ht="15.75" hidden="1" customHeight="1"/>
    <row r="86" ht="15.75" hidden="1" customHeight="1"/>
    <row r="87" ht="15.75" hidden="1" customHeight="1"/>
    <row r="88" ht="15.75" hidden="1" customHeight="1"/>
    <row r="89" ht="15.75" hidden="1" customHeight="1"/>
    <row r="90" ht="15.75" hidden="1" customHeight="1"/>
    <row r="91" ht="15.75" hidden="1" customHeight="1"/>
    <row r="92" ht="15.75" hidden="1" customHeight="1"/>
    <row r="93" ht="15.75" hidden="1" customHeight="1"/>
    <row r="94" ht="15.75" hidden="1" customHeight="1"/>
    <row r="95" ht="15.75" hidden="1" customHeight="1"/>
    <row r="96" ht="15.75" hidden="1" customHeight="1"/>
    <row r="97" ht="15.75" hidden="1" customHeight="1"/>
    <row r="98" ht="15.75" hidden="1" customHeight="1"/>
    <row r="99" ht="15.75" hidden="1" customHeight="1"/>
    <row r="100" ht="15.75" hidden="1" customHeight="1"/>
    <row r="101" ht="15.75" hidden="1" customHeight="1"/>
    <row r="102" ht="15.75" hidden="1" customHeight="1"/>
    <row r="103" ht="15.75" hidden="1" customHeight="1"/>
    <row r="104" ht="15.75" hidden="1" customHeight="1"/>
    <row r="105" ht="15.75" hidden="1" customHeight="1"/>
    <row r="106" ht="15.75" hidden="1" customHeight="1"/>
    <row r="107" ht="15.75" hidden="1" customHeight="1"/>
    <row r="108" ht="15.75" hidden="1" customHeight="1"/>
  </sheetData>
  <sheetProtection password="857C" sheet="1" objects="1" scenarios="1"/>
  <mergeCells count="12">
    <mergeCell ref="B9:G9"/>
    <mergeCell ref="I11:J11"/>
    <mergeCell ref="L11:M11"/>
    <mergeCell ref="F20:G22"/>
    <mergeCell ref="B32:C32"/>
    <mergeCell ref="B43:D43"/>
    <mergeCell ref="B44:D44"/>
    <mergeCell ref="B37:G37"/>
    <mergeCell ref="B39:D39"/>
    <mergeCell ref="B40:D40"/>
    <mergeCell ref="B41:D41"/>
    <mergeCell ref="B42:D42"/>
  </mergeCells>
  <conditionalFormatting sqref="J13:J72">
    <cfRule type="expression" dxfId="43" priority="2">
      <formula>I13&gt;$C$14</formula>
    </cfRule>
  </conditionalFormatting>
  <conditionalFormatting sqref="M13:M72">
    <cfRule type="cellIs" dxfId="42" priority="3" operator="equal">
      <formula>0</formula>
    </cfRule>
  </conditionalFormatting>
  <conditionalFormatting sqref="I13:I72 L13:L72">
    <cfRule type="cellIs" dxfId="41" priority="4" operator="greaterThan">
      <formula>$C$14</formula>
    </cfRule>
  </conditionalFormatting>
  <conditionalFormatting sqref="C31 F28:F31 G31 D25:D31">
    <cfRule type="cellIs" dxfId="40" priority="5" operator="equal">
      <formula>0</formula>
    </cfRule>
  </conditionalFormatting>
  <conditionalFormatting sqref="G25:G27">
    <cfRule type="expression" dxfId="39" priority="6">
      <formula>$C$25&lt;=0%</formula>
    </cfRule>
    <cfRule type="expression" dxfId="38" priority="7">
      <formula>$G$25&gt;0%</formula>
    </cfRule>
  </conditionalFormatting>
  <conditionalFormatting sqref="G28">
    <cfRule type="expression" dxfId="37" priority="8">
      <formula>$C$28&lt;=0%</formula>
    </cfRule>
    <cfRule type="expression" dxfId="36" priority="9">
      <formula>$C$28&gt;0%</formula>
    </cfRule>
  </conditionalFormatting>
  <conditionalFormatting sqref="G29">
    <cfRule type="expression" dxfId="35" priority="10">
      <formula>$C$29&lt;=0%</formula>
    </cfRule>
    <cfRule type="expression" dxfId="34" priority="11">
      <formula>$C$29&gt;0%</formula>
    </cfRule>
  </conditionalFormatting>
  <conditionalFormatting sqref="G30">
    <cfRule type="expression" dxfId="33" priority="12">
      <formula>$C$30&lt;=0%</formula>
    </cfRule>
    <cfRule type="expression" dxfId="32" priority="13">
      <formula>$C$30&gt;0%</formula>
    </cfRule>
  </conditionalFormatting>
  <conditionalFormatting sqref="G32">
    <cfRule type="cellIs" dxfId="31" priority="14" operator="equal">
      <formula>1</formula>
    </cfRule>
    <cfRule type="cellIs" dxfId="30" priority="15" operator="lessThan">
      <formula>1</formula>
    </cfRule>
    <cfRule type="cellIs" dxfId="29" priority="16" operator="greaterThan">
      <formula>1</formula>
    </cfRule>
  </conditionalFormatting>
  <conditionalFormatting sqref="C16">
    <cfRule type="cellIs" dxfId="28" priority="17" operator="notEqual">
      <formula>$G$43</formula>
    </cfRule>
  </conditionalFormatting>
  <conditionalFormatting sqref="B26:B31">
    <cfRule type="cellIs" dxfId="27" priority="18" operator="lessThanOrEqual">
      <formula>1</formula>
    </cfRule>
  </conditionalFormatting>
  <conditionalFormatting sqref="B25">
    <cfRule type="cellIs" dxfId="26" priority="19" operator="lessThan">
      <formula>1</formula>
    </cfRule>
  </conditionalFormatting>
  <conditionalFormatting sqref="C26">
    <cfRule type="expression" dxfId="25" priority="20">
      <formula>$C$25&gt;1</formula>
    </cfRule>
    <cfRule type="cellIs" dxfId="24" priority="21" operator="lessThanOrEqual">
      <formula>$C$25&lt;0</formula>
    </cfRule>
  </conditionalFormatting>
  <conditionalFormatting sqref="C27">
    <cfRule type="expression" dxfId="23" priority="22">
      <formula>$C$26&gt;1</formula>
    </cfRule>
    <cfRule type="cellIs" dxfId="22" priority="23" operator="lessThanOrEqual">
      <formula>$C$26&lt;0</formula>
    </cfRule>
  </conditionalFormatting>
  <conditionalFormatting sqref="C28">
    <cfRule type="expression" dxfId="21" priority="24">
      <formula>$C$27&gt;1</formula>
    </cfRule>
    <cfRule type="cellIs" dxfId="20" priority="25" operator="lessThanOrEqual">
      <formula>$C$27&lt;0</formula>
    </cfRule>
  </conditionalFormatting>
  <conditionalFormatting sqref="C29">
    <cfRule type="expression" dxfId="19" priority="26">
      <formula>$C$28&gt;1</formula>
    </cfRule>
    <cfRule type="cellIs" dxfId="18" priority="27" operator="lessThanOrEqual">
      <formula>$C$28&lt;0</formula>
    </cfRule>
  </conditionalFormatting>
  <conditionalFormatting sqref="C30">
    <cfRule type="expression" dxfId="17" priority="28">
      <formula>$C$29&gt;1</formula>
    </cfRule>
    <cfRule type="cellIs" dxfId="16" priority="29" operator="lessThanOrEqual">
      <formula>$C$29&lt;0</formula>
    </cfRule>
  </conditionalFormatting>
  <printOptions horizontalCentered="1"/>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76"/>
  <sheetViews>
    <sheetView zoomScaleNormal="100" workbookViewId="0">
      <selection activeCell="T1" sqref="T1:AA1"/>
    </sheetView>
  </sheetViews>
  <sheetFormatPr defaultRowHeight="15" zeroHeight="1"/>
  <cols>
    <col min="1" max="1" width="1.7109375" style="656" customWidth="1"/>
    <col min="2" max="2" width="6.140625" style="657" customWidth="1"/>
    <col min="3" max="3" width="8.85546875" style="657" customWidth="1"/>
    <col min="4" max="9" width="10.7109375" style="657" customWidth="1"/>
    <col min="10" max="10" width="1.7109375" style="657" customWidth="1"/>
    <col min="11" max="11" width="5.140625" style="658" hidden="1" customWidth="1"/>
    <col min="12" max="12" width="4.5703125" style="657" hidden="1" customWidth="1"/>
    <col min="13" max="13" width="9.85546875" style="656" hidden="1" customWidth="1"/>
    <col min="14" max="14" width="9.7109375" style="656" hidden="1" customWidth="1"/>
    <col min="15" max="15" width="10" style="656" hidden="1" customWidth="1"/>
    <col min="16" max="18" width="10.140625" style="656" hidden="1" customWidth="1"/>
    <col min="19" max="19" width="6.5703125" style="656" hidden="1" customWidth="1"/>
    <col min="20" max="20" width="3.7109375" style="656" customWidth="1"/>
    <col min="21" max="21" width="8.7109375" style="659" customWidth="1"/>
    <col min="22" max="25" width="10.7109375" style="656" customWidth="1"/>
    <col min="26" max="26" width="10.7109375" style="660" customWidth="1"/>
    <col min="27" max="27" width="3.7109375" style="656" customWidth="1"/>
    <col min="28" max="256" width="9.140625" style="661" customWidth="1"/>
    <col min="257" max="257" width="1.7109375" style="661" customWidth="1"/>
    <col min="258" max="258" width="6.140625" style="661" customWidth="1"/>
    <col min="259" max="259" width="8.85546875" style="661" customWidth="1"/>
    <col min="260" max="265" width="10.7109375" style="661" customWidth="1"/>
    <col min="266" max="266" width="1.7109375" style="661" customWidth="1"/>
    <col min="267" max="267" width="5.140625" style="661" customWidth="1"/>
    <col min="268" max="268" width="4.5703125" style="661" customWidth="1"/>
    <col min="269" max="269" width="9.85546875" style="661" customWidth="1"/>
    <col min="270" max="270" width="9.7109375" style="661" customWidth="1"/>
    <col min="271" max="271" width="10" style="661" customWidth="1"/>
    <col min="272" max="274" width="10.140625" style="661" customWidth="1"/>
    <col min="275" max="275" width="6.5703125" style="661" customWidth="1"/>
    <col min="276" max="276" width="3.7109375" style="661" customWidth="1"/>
    <col min="277" max="277" width="8.7109375" style="661" customWidth="1"/>
    <col min="278" max="282" width="10.7109375" style="661" customWidth="1"/>
    <col min="283" max="283" width="3.7109375" style="661" customWidth="1"/>
    <col min="284" max="512" width="9.140625" style="661" customWidth="1"/>
    <col min="513" max="513" width="1.7109375" style="661" customWidth="1"/>
    <col min="514" max="514" width="6.140625" style="661" customWidth="1"/>
    <col min="515" max="515" width="8.85546875" style="661" customWidth="1"/>
    <col min="516" max="521" width="10.7109375" style="661" customWidth="1"/>
    <col min="522" max="522" width="1.7109375" style="661" customWidth="1"/>
    <col min="523" max="523" width="5.140625" style="661" customWidth="1"/>
    <col min="524" max="524" width="4.5703125" style="661" customWidth="1"/>
    <col min="525" max="525" width="9.85546875" style="661" customWidth="1"/>
    <col min="526" max="526" width="9.7109375" style="661" customWidth="1"/>
    <col min="527" max="527" width="10" style="661" customWidth="1"/>
    <col min="528" max="530" width="10.140625" style="661" customWidth="1"/>
    <col min="531" max="531" width="6.5703125" style="661" customWidth="1"/>
    <col min="532" max="532" width="3.7109375" style="661" customWidth="1"/>
    <col min="533" max="533" width="8.7109375" style="661" customWidth="1"/>
    <col min="534" max="538" width="10.7109375" style="661" customWidth="1"/>
    <col min="539" max="539" width="3.7109375" style="661" customWidth="1"/>
    <col min="540" max="768" width="9.140625" style="661" customWidth="1"/>
    <col min="769" max="769" width="1.7109375" style="661" customWidth="1"/>
    <col min="770" max="770" width="6.140625" style="661" customWidth="1"/>
    <col min="771" max="771" width="8.85546875" style="661" customWidth="1"/>
    <col min="772" max="777" width="10.7109375" style="661" customWidth="1"/>
    <col min="778" max="778" width="1.7109375" style="661" customWidth="1"/>
    <col min="779" max="779" width="5.140625" style="661" customWidth="1"/>
    <col min="780" max="780" width="4.5703125" style="661" customWidth="1"/>
    <col min="781" max="781" width="9.85546875" style="661" customWidth="1"/>
    <col min="782" max="782" width="9.7109375" style="661" customWidth="1"/>
    <col min="783" max="783" width="10" style="661" customWidth="1"/>
    <col min="784" max="786" width="10.140625" style="661" customWidth="1"/>
    <col min="787" max="787" width="6.5703125" style="661" customWidth="1"/>
    <col min="788" max="788" width="3.7109375" style="661" customWidth="1"/>
    <col min="789" max="789" width="8.7109375" style="661" customWidth="1"/>
    <col min="790" max="794" width="10.7109375" style="661" customWidth="1"/>
    <col min="795" max="795" width="3.7109375" style="661" customWidth="1"/>
    <col min="796" max="1025" width="9.140625" style="661" customWidth="1"/>
  </cols>
  <sheetData>
    <row r="1" spans="1:27" ht="21" customHeight="1">
      <c r="A1" s="955" t="s">
        <v>631</v>
      </c>
      <c r="B1" s="955"/>
      <c r="C1" s="955"/>
      <c r="D1" s="955"/>
      <c r="E1" s="955"/>
      <c r="F1" s="955"/>
      <c r="G1" s="955"/>
      <c r="H1" s="955"/>
      <c r="I1" s="955"/>
      <c r="J1" s="955"/>
      <c r="K1" s="662"/>
      <c r="L1" s="662"/>
      <c r="M1" s="663"/>
      <c r="N1" s="663"/>
      <c r="O1" s="663"/>
      <c r="P1" s="663"/>
      <c r="Q1" s="663"/>
      <c r="R1" s="663"/>
      <c r="S1" s="663"/>
      <c r="T1" s="956" t="s">
        <v>632</v>
      </c>
      <c r="U1" s="956"/>
      <c r="V1" s="956"/>
      <c r="W1" s="956"/>
      <c r="X1" s="956"/>
      <c r="Y1" s="956"/>
      <c r="Z1" s="956"/>
      <c r="AA1" s="956"/>
    </row>
    <row r="2" spans="1:27" ht="16.5" customHeight="1">
      <c r="A2" s="664"/>
      <c r="B2" s="665"/>
      <c r="C2" s="665"/>
      <c r="D2" s="665"/>
      <c r="E2" s="665"/>
      <c r="F2" s="665"/>
      <c r="G2" s="665"/>
      <c r="H2" s="665"/>
      <c r="I2" s="665"/>
      <c r="J2" s="666"/>
      <c r="K2" s="662"/>
      <c r="L2" s="662"/>
      <c r="M2" s="663"/>
      <c r="N2" s="663"/>
      <c r="O2" s="663"/>
      <c r="P2" s="663"/>
      <c r="Q2" s="663"/>
      <c r="R2" s="663"/>
      <c r="S2" s="663"/>
      <c r="T2" s="667"/>
      <c r="U2" s="668"/>
      <c r="V2" s="669"/>
      <c r="W2" s="669"/>
      <c r="X2" s="669"/>
      <c r="Y2" s="669"/>
      <c r="Z2" s="669"/>
      <c r="AA2" s="670"/>
    </row>
    <row r="3" spans="1:27" ht="16.5" customHeight="1">
      <c r="A3" s="671"/>
      <c r="B3" s="672"/>
      <c r="C3" s="672"/>
      <c r="D3" s="672"/>
      <c r="E3" s="672"/>
      <c r="F3" s="672"/>
      <c r="G3" s="672"/>
      <c r="H3" s="672"/>
      <c r="I3" s="672"/>
      <c r="J3" s="673"/>
      <c r="K3" s="662"/>
      <c r="L3" s="662"/>
      <c r="M3" s="663"/>
      <c r="N3" s="663"/>
      <c r="O3" s="663"/>
      <c r="P3" s="663"/>
      <c r="Q3" s="663"/>
      <c r="R3" s="663"/>
      <c r="S3" s="663"/>
      <c r="T3" s="674"/>
      <c r="U3" s="675"/>
      <c r="V3" s="957" t="s">
        <v>633</v>
      </c>
      <c r="W3" s="957"/>
      <c r="X3" s="958">
        <f>'Step Down EMI Calculator'!$C$18</f>
        <v>0.29518400072638684</v>
      </c>
      <c r="Y3" s="958"/>
      <c r="Z3" s="676"/>
      <c r="AA3" s="677"/>
    </row>
    <row r="4" spans="1:27" s="690" customFormat="1" ht="15" customHeight="1">
      <c r="A4" s="671"/>
      <c r="B4" s="672"/>
      <c r="C4" s="678"/>
      <c r="D4" s="672"/>
      <c r="E4" s="672"/>
      <c r="F4" s="679" t="s">
        <v>465</v>
      </c>
      <c r="G4" s="680" t="s">
        <v>634</v>
      </c>
      <c r="H4" s="680" t="s">
        <v>635</v>
      </c>
      <c r="I4" s="681" t="s">
        <v>492</v>
      </c>
      <c r="J4" s="682"/>
      <c r="K4" s="683"/>
      <c r="L4" s="683"/>
      <c r="M4" s="684"/>
      <c r="N4" s="684"/>
      <c r="O4" s="684"/>
      <c r="P4" s="685">
        <f>SUM(($N$28*$N$30)+($O$28*$O$30)+($P$28*$P$30)+(Q28*Q30)+(R28*R30)+(S28*S30))</f>
        <v>7382368.0277335327</v>
      </c>
      <c r="Q4" s="684"/>
      <c r="R4" s="684"/>
      <c r="S4" s="684"/>
      <c r="T4" s="686"/>
      <c r="U4" s="687"/>
      <c r="V4" s="959" t="s">
        <v>636</v>
      </c>
      <c r="W4" s="959"/>
      <c r="X4" s="959"/>
      <c r="Y4" s="959"/>
      <c r="Z4" s="688"/>
      <c r="AA4" s="689"/>
    </row>
    <row r="5" spans="1:27" s="690" customFormat="1" ht="15" customHeight="1">
      <c r="A5" s="671"/>
      <c r="B5" s="951" t="s">
        <v>637</v>
      </c>
      <c r="C5" s="951"/>
      <c r="D5" s="691">
        <f>$X$5</f>
        <v>6000000</v>
      </c>
      <c r="E5" s="672"/>
      <c r="F5" s="692" t="str">
        <f>CONCATENATE('Step Down EMI Calculator'!$B$25,"  -  ",'Step Down EMI Calculator'!$C$25)</f>
        <v>1  -  9</v>
      </c>
      <c r="G5" s="693">
        <f>N30</f>
        <v>9</v>
      </c>
      <c r="H5" s="694">
        <f>$N$29</f>
        <v>7929.210103861943</v>
      </c>
      <c r="I5" s="695">
        <f>$N$28</f>
        <v>475752.60623171658</v>
      </c>
      <c r="J5" s="696"/>
      <c r="K5" s="697"/>
      <c r="L5" s="697"/>
      <c r="M5" s="684"/>
      <c r="N5" s="684"/>
      <c r="O5" s="684"/>
      <c r="P5" s="684"/>
      <c r="Q5" s="684"/>
      <c r="R5" s="684"/>
      <c r="S5" s="684"/>
      <c r="T5" s="686"/>
      <c r="U5" s="687"/>
      <c r="V5" s="952" t="s">
        <v>627</v>
      </c>
      <c r="W5" s="952"/>
      <c r="X5" s="953">
        <f>'Step Down EMI Calculator'!$G$39</f>
        <v>6000000</v>
      </c>
      <c r="Y5" s="953"/>
      <c r="Z5" s="688"/>
      <c r="AA5" s="689"/>
    </row>
    <row r="6" spans="1:27" s="690" customFormat="1" ht="15" customHeight="1">
      <c r="A6" s="671"/>
      <c r="B6" s="948" t="s">
        <v>615</v>
      </c>
      <c r="C6" s="948"/>
      <c r="D6" s="698">
        <f>$X$7</f>
        <v>36</v>
      </c>
      <c r="E6" s="672"/>
      <c r="F6" s="699" t="str">
        <f>CONCATENATE('Step Down EMI Calculator'!$B$26,"  - ",'Step Down EMI Calculator'!$C$26)</f>
        <v>10  - 16</v>
      </c>
      <c r="G6" s="700">
        <f>O30</f>
        <v>7</v>
      </c>
      <c r="H6" s="701">
        <f>$O$29</f>
        <v>6151.9733564446105</v>
      </c>
      <c r="I6" s="702">
        <f>$O$28</f>
        <v>369118.40138667665</v>
      </c>
      <c r="J6" s="696"/>
      <c r="K6" s="697"/>
      <c r="L6" s="697"/>
      <c r="M6" s="684"/>
      <c r="N6" s="684"/>
      <c r="O6" s="684"/>
      <c r="P6" s="684"/>
      <c r="Q6" s="684"/>
      <c r="R6" s="684"/>
      <c r="S6" s="684"/>
      <c r="T6" s="686"/>
      <c r="U6" s="687"/>
      <c r="V6" s="942" t="s">
        <v>628</v>
      </c>
      <c r="W6" s="942"/>
      <c r="X6" s="954">
        <f>'Step Down EMI Calculator'!$G$40</f>
        <v>0.14000000000000001</v>
      </c>
      <c r="Y6" s="954"/>
      <c r="Z6" s="688"/>
      <c r="AA6" s="689"/>
    </row>
    <row r="7" spans="1:27" s="690" customFormat="1" ht="15" customHeight="1">
      <c r="A7" s="671"/>
      <c r="B7" s="948" t="s">
        <v>628</v>
      </c>
      <c r="C7" s="948"/>
      <c r="D7" s="703">
        <f>'Step Down EMI Calculator'!G40</f>
        <v>0.14000000000000001</v>
      </c>
      <c r="E7" s="672"/>
      <c r="F7" s="699" t="str">
        <f>CONCATENATE('Step Down EMI Calculator'!$B$27," - ",'Step Down EMI Calculator'!$C$27)</f>
        <v>17 - 24</v>
      </c>
      <c r="G7" s="700">
        <f>P30</f>
        <v>8</v>
      </c>
      <c r="H7" s="701">
        <f>$P$29</f>
        <v>1076.595337377807</v>
      </c>
      <c r="I7" s="702">
        <f>$P$28</f>
        <v>64595.720242668416</v>
      </c>
      <c r="J7" s="682"/>
      <c r="K7" s="683"/>
      <c r="L7" s="683"/>
      <c r="M7" s="684"/>
      <c r="N7" s="684"/>
      <c r="O7" s="684"/>
      <c r="P7" s="684"/>
      <c r="Q7" s="684"/>
      <c r="R7" s="684"/>
      <c r="S7" s="684"/>
      <c r="T7" s="686"/>
      <c r="U7" s="687"/>
      <c r="V7" s="942" t="s">
        <v>615</v>
      </c>
      <c r="W7" s="942"/>
      <c r="X7" s="949">
        <f>'Step Down EMI Calculator'!$G$41</f>
        <v>36</v>
      </c>
      <c r="Y7" s="949"/>
      <c r="Z7" s="688"/>
      <c r="AA7" s="689"/>
    </row>
    <row r="8" spans="1:27" s="690" customFormat="1" ht="15" customHeight="1">
      <c r="A8" s="671"/>
      <c r="B8" s="948" t="s">
        <v>638</v>
      </c>
      <c r="C8" s="948"/>
      <c r="D8" s="704">
        <f>$O$31</f>
        <v>7.679822376297403E-2</v>
      </c>
      <c r="E8" s="672"/>
      <c r="F8" s="699" t="str">
        <f>CONCATENATE('Step Down EMI Calculator'!$B$28," - ",'Step Down EMI Calculator'!$C$28)</f>
        <v>25 - 36</v>
      </c>
      <c r="G8" s="700">
        <f>Q30</f>
        <v>12</v>
      </c>
      <c r="H8" s="701">
        <f>$Q$29</f>
        <v>0</v>
      </c>
      <c r="I8" s="702">
        <f>$Q$28</f>
        <v>0</v>
      </c>
      <c r="J8" s="682"/>
      <c r="K8" s="683"/>
      <c r="L8" s="683"/>
      <c r="M8" s="684"/>
      <c r="N8" s="684"/>
      <c r="O8" s="684"/>
      <c r="P8" s="684"/>
      <c r="Q8" s="684"/>
      <c r="R8" s="684"/>
      <c r="S8" s="684"/>
      <c r="T8" s="686"/>
      <c r="U8" s="687"/>
      <c r="V8" s="942" t="s">
        <v>639</v>
      </c>
      <c r="W8" s="942"/>
      <c r="X8" s="950">
        <f>'Step Down EMI Calculator'!$G$42</f>
        <v>205065.7785481537</v>
      </c>
      <c r="Y8" s="950"/>
      <c r="Z8" s="688"/>
      <c r="AA8" s="689"/>
    </row>
    <row r="9" spans="1:27" s="690" customFormat="1" ht="15" customHeight="1">
      <c r="A9" s="671"/>
      <c r="B9" s="705" t="s">
        <v>630</v>
      </c>
      <c r="C9" s="706"/>
      <c r="D9" s="707">
        <f>$O$32</f>
        <v>7382368.0277335327</v>
      </c>
      <c r="E9" s="672"/>
      <c r="F9" s="699" t="str">
        <f>CONCATENATE('Step Down EMI Calculator'!$B$29," - ",'Step Down EMI Calculator'!$C$29)</f>
        <v xml:space="preserve">0 - </v>
      </c>
      <c r="G9" s="700">
        <f>R30</f>
        <v>0</v>
      </c>
      <c r="H9" s="701">
        <f>$R$29</f>
        <v>0</v>
      </c>
      <c r="I9" s="702">
        <f>$R$28</f>
        <v>0</v>
      </c>
      <c r="J9" s="682"/>
      <c r="K9" s="683"/>
      <c r="L9" s="683"/>
      <c r="M9" s="684"/>
      <c r="N9" s="684"/>
      <c r="O9" s="684"/>
      <c r="P9" s="684"/>
      <c r="Q9" s="684"/>
      <c r="R9" s="684"/>
      <c r="S9" s="684"/>
      <c r="T9" s="686"/>
      <c r="U9" s="687"/>
      <c r="V9" s="942" t="s">
        <v>638</v>
      </c>
      <c r="W9" s="942"/>
      <c r="X9" s="943">
        <f>'Step Down EMI Calculator'!$G$43</f>
        <v>7.679822376297403E-2</v>
      </c>
      <c r="Y9" s="943"/>
      <c r="Z9" s="688"/>
      <c r="AA9" s="689"/>
    </row>
    <row r="10" spans="1:27" ht="15" customHeight="1">
      <c r="A10" s="671"/>
      <c r="B10" s="672"/>
      <c r="C10" s="678"/>
      <c r="D10" s="672"/>
      <c r="E10" s="708"/>
      <c r="F10" s="709" t="str">
        <f>CONCATENATE('Step Down EMI Calculator'!$B$30," - ",'Step Down EMI Calculator'!$C$30)</f>
        <v xml:space="preserve">0 - </v>
      </c>
      <c r="G10" s="710">
        <f>S30</f>
        <v>0</v>
      </c>
      <c r="H10" s="711">
        <f>$S$29</f>
        <v>0</v>
      </c>
      <c r="I10" s="712">
        <f>$S$28</f>
        <v>0</v>
      </c>
      <c r="J10" s="673"/>
      <c r="K10" s="662"/>
      <c r="L10" s="662"/>
      <c r="M10" s="713"/>
      <c r="N10" s="713"/>
      <c r="O10" s="713"/>
      <c r="P10" s="713"/>
      <c r="Q10" s="713"/>
      <c r="R10" s="713"/>
      <c r="S10" s="713"/>
      <c r="T10" s="714"/>
      <c r="U10" s="715"/>
      <c r="V10" s="944" t="s">
        <v>630</v>
      </c>
      <c r="W10" s="944"/>
      <c r="X10" s="945">
        <f>X8*X7</f>
        <v>7382368.0277335327</v>
      </c>
      <c r="Y10" s="945"/>
      <c r="Z10" s="716"/>
      <c r="AA10" s="717"/>
    </row>
    <row r="11" spans="1:27" ht="6.75" customHeight="1">
      <c r="A11" s="671"/>
      <c r="B11" s="672"/>
      <c r="C11" s="672"/>
      <c r="D11" s="672"/>
      <c r="E11" s="672"/>
      <c r="F11" s="672"/>
      <c r="G11" s="672"/>
      <c r="H11" s="672"/>
      <c r="I11" s="672"/>
      <c r="J11" s="673"/>
      <c r="K11" s="662"/>
      <c r="L11" s="662"/>
      <c r="M11" s="713"/>
      <c r="N11" s="713"/>
      <c r="O11" s="713"/>
      <c r="P11" s="713"/>
      <c r="Q11" s="713"/>
      <c r="R11" s="713"/>
      <c r="S11" s="713"/>
      <c r="T11" s="714"/>
      <c r="U11" s="718"/>
      <c r="V11" s="718"/>
      <c r="W11" s="718"/>
      <c r="X11" s="719"/>
      <c r="Y11" s="716"/>
      <c r="Z11" s="716"/>
      <c r="AA11" s="717"/>
    </row>
    <row r="12" spans="1:27" ht="15.75" customHeight="1">
      <c r="A12" s="671"/>
      <c r="B12" s="672"/>
      <c r="C12" s="946" t="s">
        <v>640</v>
      </c>
      <c r="D12" s="946"/>
      <c r="E12" s="946"/>
      <c r="F12" s="946"/>
      <c r="G12" s="946"/>
      <c r="H12" s="946"/>
      <c r="I12" s="720"/>
      <c r="J12" s="673"/>
      <c r="K12" s="662"/>
      <c r="L12" s="662"/>
      <c r="M12" s="713"/>
      <c r="N12" s="713"/>
      <c r="O12" s="713"/>
      <c r="P12" s="713"/>
      <c r="Q12" s="713"/>
      <c r="R12" s="713"/>
      <c r="S12" s="713"/>
      <c r="T12" s="721"/>
      <c r="U12" s="947" t="s">
        <v>641</v>
      </c>
      <c r="V12" s="947"/>
      <c r="W12" s="947"/>
      <c r="X12" s="947"/>
      <c r="Y12" s="947"/>
      <c r="Z12" s="947"/>
      <c r="AA12" s="717"/>
    </row>
    <row r="13" spans="1:27">
      <c r="A13" s="671"/>
      <c r="B13" s="672"/>
      <c r="C13" s="722" t="s">
        <v>642</v>
      </c>
      <c r="D13" s="723">
        <f>IRR(D14:D75,0.015)*12</f>
        <v>0.29518400072638418</v>
      </c>
      <c r="E13" s="724"/>
      <c r="F13" s="725"/>
      <c r="G13" s="726"/>
      <c r="H13" s="727"/>
      <c r="I13" s="672"/>
      <c r="J13" s="673"/>
      <c r="K13" s="662"/>
      <c r="L13" s="662"/>
      <c r="M13" s="713"/>
      <c r="N13" s="713"/>
      <c r="O13" s="713"/>
      <c r="P13" s="713"/>
      <c r="Q13" s="713"/>
      <c r="R13" s="713"/>
      <c r="S13" s="713"/>
      <c r="T13" s="714"/>
      <c r="U13" s="728" t="s">
        <v>642</v>
      </c>
      <c r="V13" s="729">
        <f>IRR(V14:V75,0.015)*12</f>
        <v>0.14000000000000057</v>
      </c>
      <c r="W13" s="730"/>
      <c r="X13" s="731"/>
      <c r="Y13" s="731"/>
      <c r="Z13" s="732"/>
      <c r="AA13" s="717"/>
    </row>
    <row r="14" spans="1:27">
      <c r="A14" s="671"/>
      <c r="B14" s="672"/>
      <c r="C14" s="733"/>
      <c r="D14" s="734">
        <f>-'Step Down EMI Calculator'!C12</f>
        <v>-6000000</v>
      </c>
      <c r="E14" s="735"/>
      <c r="F14" s="734"/>
      <c r="G14" s="735"/>
      <c r="H14" s="736"/>
      <c r="I14" s="672"/>
      <c r="J14" s="673"/>
      <c r="K14" s="662"/>
      <c r="L14" s="662"/>
      <c r="M14" s="713"/>
      <c r="N14" s="713"/>
      <c r="O14" s="713"/>
      <c r="P14" s="713"/>
      <c r="Q14" s="713"/>
      <c r="R14" s="713"/>
      <c r="S14" s="713"/>
      <c r="T14" s="714"/>
      <c r="U14" s="737"/>
      <c r="V14" s="738">
        <f>-'Step Down EMI Calculator'!C12</f>
        <v>-6000000</v>
      </c>
      <c r="W14" s="738"/>
      <c r="X14" s="739"/>
      <c r="Y14" s="739"/>
      <c r="Z14" s="740"/>
      <c r="AA14" s="717"/>
    </row>
    <row r="15" spans="1:27">
      <c r="A15" s="671"/>
      <c r="B15" s="672"/>
      <c r="C15" s="741" t="s">
        <v>643</v>
      </c>
      <c r="D15" s="742" t="s">
        <v>644</v>
      </c>
      <c r="E15" s="742" t="s">
        <v>645</v>
      </c>
      <c r="F15" s="742" t="s">
        <v>646</v>
      </c>
      <c r="G15" s="742" t="s">
        <v>645</v>
      </c>
      <c r="H15" s="743" t="s">
        <v>647</v>
      </c>
      <c r="I15" s="672"/>
      <c r="J15" s="673"/>
      <c r="K15" s="662"/>
      <c r="L15" s="662"/>
      <c r="M15" s="744" t="s">
        <v>648</v>
      </c>
      <c r="N15" s="745" t="s">
        <v>649</v>
      </c>
      <c r="O15" s="746" t="s">
        <v>645</v>
      </c>
      <c r="P15" s="746" t="s">
        <v>643</v>
      </c>
      <c r="Q15" s="747"/>
      <c r="R15" s="747"/>
      <c r="S15" s="747"/>
      <c r="T15" s="714"/>
      <c r="U15" s="748" t="s">
        <v>643</v>
      </c>
      <c r="V15" s="749" t="s">
        <v>644</v>
      </c>
      <c r="W15" s="749" t="s">
        <v>650</v>
      </c>
      <c r="X15" s="749" t="s">
        <v>646</v>
      </c>
      <c r="Y15" s="749" t="s">
        <v>645</v>
      </c>
      <c r="Z15" s="750" t="s">
        <v>647</v>
      </c>
      <c r="AA15" s="717"/>
    </row>
    <row r="16" spans="1:27">
      <c r="A16" s="671"/>
      <c r="B16" s="672"/>
      <c r="C16" s="692">
        <v>1</v>
      </c>
      <c r="D16" s="751">
        <f>'Step Down EMI Calculator'!J13</f>
        <v>475752.60623171658</v>
      </c>
      <c r="E16" s="751">
        <f>-D14</f>
        <v>6000000</v>
      </c>
      <c r="F16" s="751">
        <f t="shared" ref="F16:F47" si="0">+E16*$D$13/12</f>
        <v>147592.00036319208</v>
      </c>
      <c r="G16" s="751">
        <f t="shared" ref="G16:G47" si="1">+D16-F16</f>
        <v>328160.60586852452</v>
      </c>
      <c r="H16" s="752">
        <f>-D14-G16</f>
        <v>5671839.3941314751</v>
      </c>
      <c r="I16" s="672"/>
      <c r="J16" s="673"/>
      <c r="K16" s="662"/>
      <c r="L16" s="662"/>
      <c r="M16" s="753" t="s">
        <v>651</v>
      </c>
      <c r="N16" s="754">
        <f>SUM(F16:F27)</f>
        <v>1200064.2473570274</v>
      </c>
      <c r="O16" s="754">
        <f>SUM(G16:G27)</f>
        <v>4189064.4128884515</v>
      </c>
      <c r="P16" s="754">
        <f>SUM(D16:D27)</f>
        <v>5389128.6602454782</v>
      </c>
      <c r="Q16" s="755"/>
      <c r="R16" s="755"/>
      <c r="S16" s="755"/>
      <c r="T16" s="714"/>
      <c r="U16" s="756">
        <v>1</v>
      </c>
      <c r="V16" s="751">
        <f>'Step Down EMI Calculator'!M13</f>
        <v>205065.7785481537</v>
      </c>
      <c r="W16" s="751">
        <f>-V14</f>
        <v>6000000</v>
      </c>
      <c r="X16" s="751">
        <f t="shared" ref="X16:X47" si="2">W16*($V$13/12)</f>
        <v>70000.000000000291</v>
      </c>
      <c r="Y16" s="751">
        <f>V16-X16</f>
        <v>135065.77854815341</v>
      </c>
      <c r="Z16" s="752">
        <f>-V14-Y16</f>
        <v>5864934.2214518469</v>
      </c>
      <c r="AA16" s="717"/>
    </row>
    <row r="17" spans="1:28">
      <c r="A17" s="671"/>
      <c r="B17" s="672"/>
      <c r="C17" s="699">
        <f t="shared" ref="C17:C48" si="3">+C16+1</f>
        <v>2</v>
      </c>
      <c r="D17" s="757">
        <f>'Step Down EMI Calculator'!J14</f>
        <v>475752.60623171658</v>
      </c>
      <c r="E17" s="757">
        <f t="shared" ref="E17:E48" si="4">+H16</f>
        <v>5671839.3941314751</v>
      </c>
      <c r="F17" s="757">
        <f t="shared" si="0"/>
        <v>139519.68698643663</v>
      </c>
      <c r="G17" s="757">
        <f t="shared" si="1"/>
        <v>336232.91924527998</v>
      </c>
      <c r="H17" s="758">
        <f t="shared" ref="H17:H48" si="5">+E17-G17</f>
        <v>5335606.4748861948</v>
      </c>
      <c r="I17" s="672"/>
      <c r="J17" s="673"/>
      <c r="K17" s="662"/>
      <c r="L17" s="662"/>
      <c r="M17" s="753" t="s">
        <v>652</v>
      </c>
      <c r="N17" s="754">
        <f>SUM(F28:F39)</f>
        <v>182303.7803764909</v>
      </c>
      <c r="O17" s="754">
        <f>SUM(G28:G39)</f>
        <v>1810935.5871115632</v>
      </c>
      <c r="P17" s="754">
        <f>SUM(D28:D39)</f>
        <v>1993239.3674880539</v>
      </c>
      <c r="Q17" s="755"/>
      <c r="R17" s="755"/>
      <c r="S17" s="755"/>
      <c r="T17" s="714"/>
      <c r="U17" s="759">
        <v>2</v>
      </c>
      <c r="V17" s="757">
        <f>'Step Down EMI Calculator'!M14</f>
        <v>205065.7785481537</v>
      </c>
      <c r="W17" s="757">
        <f t="shared" ref="W17:W48" si="6">Z16</f>
        <v>5864934.2214518469</v>
      </c>
      <c r="X17" s="757">
        <f t="shared" si="2"/>
        <v>68424.23258360516</v>
      </c>
      <c r="Y17" s="757">
        <f t="shared" ref="Y17:Y48" si="7">+V17-X17</f>
        <v>136641.54596454854</v>
      </c>
      <c r="Z17" s="758">
        <f t="shared" ref="Z17:Z48" si="8">W17-Y17</f>
        <v>5728292.6754872985</v>
      </c>
      <c r="AA17" s="717"/>
      <c r="AB17" s="760"/>
    </row>
    <row r="18" spans="1:28">
      <c r="A18" s="671"/>
      <c r="B18" s="672"/>
      <c r="C18" s="699">
        <f t="shared" si="3"/>
        <v>3</v>
      </c>
      <c r="D18" s="757">
        <f>'Step Down EMI Calculator'!J15</f>
        <v>475752.60623171658</v>
      </c>
      <c r="E18" s="757">
        <f t="shared" si="4"/>
        <v>5335606.4748861948</v>
      </c>
      <c r="F18" s="757">
        <f t="shared" si="0"/>
        <v>131248.8054632089</v>
      </c>
      <c r="G18" s="757">
        <f t="shared" si="1"/>
        <v>344503.80076850764</v>
      </c>
      <c r="H18" s="758">
        <f t="shared" si="5"/>
        <v>4991102.6741176872</v>
      </c>
      <c r="I18" s="672"/>
      <c r="J18" s="673"/>
      <c r="K18" s="662"/>
      <c r="L18" s="662"/>
      <c r="M18" s="753" t="s">
        <v>653</v>
      </c>
      <c r="N18" s="754">
        <f>SUM(F40:F51)</f>
        <v>-5.2497579478205169E-9</v>
      </c>
      <c r="O18" s="754">
        <f>SUM(G40:G51)</f>
        <v>5.2497579478205169E-9</v>
      </c>
      <c r="P18" s="754">
        <f>SUM(D40:D51)</f>
        <v>0</v>
      </c>
      <c r="Q18" s="755"/>
      <c r="R18" s="755"/>
      <c r="S18" s="755"/>
      <c r="T18" s="714"/>
      <c r="U18" s="759">
        <v>3</v>
      </c>
      <c r="V18" s="757">
        <f>'Step Down EMI Calculator'!M15</f>
        <v>205065.7785481537</v>
      </c>
      <c r="W18" s="757">
        <f t="shared" si="6"/>
        <v>5728292.6754872985</v>
      </c>
      <c r="X18" s="757">
        <f t="shared" si="2"/>
        <v>66830.081214018748</v>
      </c>
      <c r="Y18" s="757">
        <f t="shared" si="7"/>
        <v>138235.69733413495</v>
      </c>
      <c r="Z18" s="758">
        <f t="shared" si="8"/>
        <v>5590056.9781531636</v>
      </c>
      <c r="AA18" s="717"/>
      <c r="AB18" s="761"/>
    </row>
    <row r="19" spans="1:28">
      <c r="A19" s="671"/>
      <c r="B19" s="672"/>
      <c r="C19" s="699">
        <f t="shared" si="3"/>
        <v>4</v>
      </c>
      <c r="D19" s="757">
        <f>'Step Down EMI Calculator'!J16</f>
        <v>475752.60623171658</v>
      </c>
      <c r="E19" s="757">
        <f t="shared" si="4"/>
        <v>4991102.6741176872</v>
      </c>
      <c r="F19" s="757">
        <f t="shared" si="0"/>
        <v>122774.47128185112</v>
      </c>
      <c r="G19" s="757">
        <f t="shared" si="1"/>
        <v>352978.13494986546</v>
      </c>
      <c r="H19" s="758">
        <f t="shared" si="5"/>
        <v>4638124.5391678214</v>
      </c>
      <c r="I19" s="672"/>
      <c r="J19" s="673"/>
      <c r="K19" s="662"/>
      <c r="L19" s="662"/>
      <c r="M19" s="753" t="s">
        <v>654</v>
      </c>
      <c r="N19" s="754">
        <f>SUM(F52:F63)</f>
        <v>-7.0272388748233286E-9</v>
      </c>
      <c r="O19" s="754">
        <f>SUM(G52:G63)</f>
        <v>7.0272388748233286E-9</v>
      </c>
      <c r="P19" s="754">
        <f>SUM(D52:D63)</f>
        <v>0</v>
      </c>
      <c r="Q19" s="755"/>
      <c r="R19" s="755"/>
      <c r="S19" s="755"/>
      <c r="T19" s="714"/>
      <c r="U19" s="759">
        <v>4</v>
      </c>
      <c r="V19" s="757">
        <f>'Step Down EMI Calculator'!M16</f>
        <v>205065.7785481537</v>
      </c>
      <c r="W19" s="757">
        <f t="shared" si="6"/>
        <v>5590056.9781531636</v>
      </c>
      <c r="X19" s="757">
        <f t="shared" si="2"/>
        <v>65217.331411787171</v>
      </c>
      <c r="Y19" s="757">
        <f t="shared" si="7"/>
        <v>139848.44713636654</v>
      </c>
      <c r="Z19" s="758">
        <f t="shared" si="8"/>
        <v>5450208.5310167968</v>
      </c>
      <c r="AA19" s="717"/>
      <c r="AB19" s="761"/>
    </row>
    <row r="20" spans="1:28">
      <c r="A20" s="671"/>
      <c r="B20" s="672"/>
      <c r="C20" s="699">
        <f t="shared" si="3"/>
        <v>5</v>
      </c>
      <c r="D20" s="757">
        <f>'Step Down EMI Calculator'!J17</f>
        <v>475752.60623171658</v>
      </c>
      <c r="E20" s="757">
        <f t="shared" si="4"/>
        <v>4638124.5391678214</v>
      </c>
      <c r="F20" s="757">
        <f t="shared" si="0"/>
        <v>114091.67977823121</v>
      </c>
      <c r="G20" s="757">
        <f t="shared" si="1"/>
        <v>361660.92645348539</v>
      </c>
      <c r="H20" s="758">
        <f t="shared" si="5"/>
        <v>4276463.6127143363</v>
      </c>
      <c r="I20" s="672"/>
      <c r="J20" s="673"/>
      <c r="K20" s="662"/>
      <c r="L20" s="662"/>
      <c r="M20" s="753" t="s">
        <v>655</v>
      </c>
      <c r="N20" s="754">
        <f>SUM(F64:F75)</f>
        <v>-9.4065453483107046E-9</v>
      </c>
      <c r="O20" s="754">
        <f>SUM(G64:G75)</f>
        <v>9.4065453483107046E-9</v>
      </c>
      <c r="P20" s="754">
        <f>SUM(D64:D75)</f>
        <v>0</v>
      </c>
      <c r="Q20" s="755"/>
      <c r="R20" s="755"/>
      <c r="S20" s="755"/>
      <c r="T20" s="714"/>
      <c r="U20" s="759">
        <v>5</v>
      </c>
      <c r="V20" s="757">
        <f>'Step Down EMI Calculator'!M17</f>
        <v>205065.7785481537</v>
      </c>
      <c r="W20" s="757">
        <f t="shared" si="6"/>
        <v>5450208.5310167968</v>
      </c>
      <c r="X20" s="757">
        <f t="shared" si="2"/>
        <v>63585.766195196222</v>
      </c>
      <c r="Y20" s="757">
        <f t="shared" si="7"/>
        <v>141480.01235295748</v>
      </c>
      <c r="Z20" s="758">
        <f t="shared" si="8"/>
        <v>5308728.5186638394</v>
      </c>
      <c r="AA20" s="717"/>
      <c r="AB20" s="761"/>
    </row>
    <row r="21" spans="1:28">
      <c r="A21" s="671"/>
      <c r="B21" s="672"/>
      <c r="C21" s="699">
        <f t="shared" si="3"/>
        <v>6</v>
      </c>
      <c r="D21" s="757">
        <f>'Step Down EMI Calculator'!J18</f>
        <v>475752.60623171658</v>
      </c>
      <c r="E21" s="757">
        <f t="shared" si="4"/>
        <v>4276463.6127143363</v>
      </c>
      <c r="F21" s="757">
        <f t="shared" si="0"/>
        <v>105195.30318015201</v>
      </c>
      <c r="G21" s="757">
        <f t="shared" si="1"/>
        <v>370557.30305156455</v>
      </c>
      <c r="H21" s="758">
        <f t="shared" si="5"/>
        <v>3905906.3096627719</v>
      </c>
      <c r="I21" s="672"/>
      <c r="J21" s="673"/>
      <c r="K21" s="662"/>
      <c r="L21" s="662"/>
      <c r="M21" s="713"/>
      <c r="N21" s="713"/>
      <c r="O21" s="713"/>
      <c r="P21" s="713"/>
      <c r="Q21" s="713"/>
      <c r="R21" s="713"/>
      <c r="S21" s="713"/>
      <c r="T21" s="714"/>
      <c r="U21" s="759">
        <v>6</v>
      </c>
      <c r="V21" s="757">
        <f>'Step Down EMI Calculator'!M18</f>
        <v>205065.7785481537</v>
      </c>
      <c r="W21" s="757">
        <f t="shared" si="6"/>
        <v>5308728.5186638394</v>
      </c>
      <c r="X21" s="757">
        <f t="shared" si="2"/>
        <v>61935.166051078377</v>
      </c>
      <c r="Y21" s="757">
        <f t="shared" si="7"/>
        <v>143130.61249707532</v>
      </c>
      <c r="Z21" s="758">
        <f t="shared" si="8"/>
        <v>5165597.906166764</v>
      </c>
      <c r="AA21" s="717"/>
      <c r="AB21" s="761"/>
    </row>
    <row r="22" spans="1:28">
      <c r="A22" s="671"/>
      <c r="B22" s="672"/>
      <c r="C22" s="699">
        <f t="shared" si="3"/>
        <v>7</v>
      </c>
      <c r="D22" s="757">
        <f>'Step Down EMI Calculator'!J19</f>
        <v>475752.60623171658</v>
      </c>
      <c r="E22" s="757">
        <f t="shared" si="4"/>
        <v>3905906.3096627719</v>
      </c>
      <c r="F22" s="757">
        <f t="shared" si="0"/>
        <v>96080.087579057013</v>
      </c>
      <c r="G22" s="757">
        <f t="shared" si="1"/>
        <v>379672.51865265955</v>
      </c>
      <c r="H22" s="758">
        <f t="shared" si="5"/>
        <v>3526233.7910101125</v>
      </c>
      <c r="I22" s="672"/>
      <c r="J22" s="673"/>
      <c r="K22" s="662"/>
      <c r="L22" s="662"/>
      <c r="M22" s="753" t="s">
        <v>478</v>
      </c>
      <c r="N22" s="754">
        <f>+N18+N17+N16+N19+N20</f>
        <v>1382368.0277334969</v>
      </c>
      <c r="O22" s="754">
        <f>+O18+O17+O16+O19+O20</f>
        <v>6000000.0000000373</v>
      </c>
      <c r="P22" s="754">
        <f>+P18+P17+P16+P19+P20</f>
        <v>7382368.0277335318</v>
      </c>
      <c r="Q22" s="755"/>
      <c r="R22" s="755"/>
      <c r="S22" s="755"/>
      <c r="T22" s="714"/>
      <c r="U22" s="759">
        <v>7</v>
      </c>
      <c r="V22" s="757">
        <f>'Step Down EMI Calculator'!M19</f>
        <v>205065.7785481537</v>
      </c>
      <c r="W22" s="757">
        <f t="shared" si="6"/>
        <v>5165597.906166764</v>
      </c>
      <c r="X22" s="757">
        <f t="shared" si="2"/>
        <v>60265.308905279155</v>
      </c>
      <c r="Y22" s="757">
        <f t="shared" si="7"/>
        <v>144800.46964287455</v>
      </c>
      <c r="Z22" s="758">
        <f t="shared" si="8"/>
        <v>5020797.4365238892</v>
      </c>
      <c r="AA22" s="717"/>
      <c r="AB22" s="761"/>
    </row>
    <row r="23" spans="1:28">
      <c r="A23" s="671"/>
      <c r="B23" s="672"/>
      <c r="C23" s="699">
        <f t="shared" si="3"/>
        <v>8</v>
      </c>
      <c r="D23" s="757">
        <f>'Step Down EMI Calculator'!J20</f>
        <v>475752.60623171658</v>
      </c>
      <c r="E23" s="757">
        <f t="shared" si="4"/>
        <v>3526233.7910101125</v>
      </c>
      <c r="F23" s="757">
        <f t="shared" si="0"/>
        <v>86740.649827244124</v>
      </c>
      <c r="G23" s="757">
        <f t="shared" si="1"/>
        <v>389011.95640447247</v>
      </c>
      <c r="H23" s="758">
        <f t="shared" si="5"/>
        <v>3137221.8346056398</v>
      </c>
      <c r="I23" s="672"/>
      <c r="J23" s="673"/>
      <c r="K23" s="662"/>
      <c r="L23" s="662"/>
      <c r="M23" s="713"/>
      <c r="N23" s="713"/>
      <c r="O23" s="713"/>
      <c r="P23" s="713"/>
      <c r="Q23" s="713"/>
      <c r="R23" s="713"/>
      <c r="S23" s="713"/>
      <c r="T23" s="714"/>
      <c r="U23" s="759">
        <v>8</v>
      </c>
      <c r="V23" s="757">
        <f>'Step Down EMI Calculator'!M20</f>
        <v>205065.7785481537</v>
      </c>
      <c r="W23" s="757">
        <f t="shared" si="6"/>
        <v>5020797.4365238892</v>
      </c>
      <c r="X23" s="757">
        <f t="shared" si="2"/>
        <v>58575.970092778945</v>
      </c>
      <c r="Y23" s="757">
        <f t="shared" si="7"/>
        <v>146489.80845537476</v>
      </c>
      <c r="Z23" s="758">
        <f t="shared" si="8"/>
        <v>4874307.6280685142</v>
      </c>
      <c r="AA23" s="717"/>
      <c r="AB23" s="761"/>
    </row>
    <row r="24" spans="1:28">
      <c r="A24" s="671"/>
      <c r="B24" s="672"/>
      <c r="C24" s="699">
        <f t="shared" si="3"/>
        <v>9</v>
      </c>
      <c r="D24" s="757">
        <f>'Step Down EMI Calculator'!J21</f>
        <v>475752.60623171658</v>
      </c>
      <c r="E24" s="757">
        <f t="shared" si="4"/>
        <v>3137221.8346056398</v>
      </c>
      <c r="F24" s="757">
        <f t="shared" si="0"/>
        <v>77171.47435875496</v>
      </c>
      <c r="G24" s="757">
        <f t="shared" si="1"/>
        <v>398581.13187296165</v>
      </c>
      <c r="H24" s="758">
        <f t="shared" si="5"/>
        <v>2738640.702732678</v>
      </c>
      <c r="I24" s="672"/>
      <c r="J24" s="673"/>
      <c r="K24" s="662"/>
      <c r="L24" s="662"/>
      <c r="M24" s="713"/>
      <c r="N24" s="713"/>
      <c r="O24" s="713"/>
      <c r="P24" s="713"/>
      <c r="Q24" s="713"/>
      <c r="R24" s="713"/>
      <c r="S24" s="713"/>
      <c r="T24" s="714"/>
      <c r="U24" s="759">
        <v>9</v>
      </c>
      <c r="V24" s="757">
        <f>'Step Down EMI Calculator'!M21</f>
        <v>205065.7785481537</v>
      </c>
      <c r="W24" s="757">
        <f t="shared" si="6"/>
        <v>4874307.6280685142</v>
      </c>
      <c r="X24" s="757">
        <f t="shared" si="2"/>
        <v>56866.922327466229</v>
      </c>
      <c r="Y24" s="757">
        <f t="shared" si="7"/>
        <v>148198.85622068748</v>
      </c>
      <c r="Z24" s="758">
        <f t="shared" si="8"/>
        <v>4726108.7718478264</v>
      </c>
      <c r="AA24" s="717"/>
      <c r="AB24" s="761"/>
    </row>
    <row r="25" spans="1:28">
      <c r="A25" s="671"/>
      <c r="B25" s="672"/>
      <c r="C25" s="699">
        <f t="shared" si="3"/>
        <v>10</v>
      </c>
      <c r="D25" s="757">
        <f>'Step Down EMI Calculator'!J22</f>
        <v>369118.40138667665</v>
      </c>
      <c r="E25" s="757">
        <f t="shared" si="4"/>
        <v>2738640.702732678</v>
      </c>
      <c r="F25" s="757">
        <f t="shared" si="0"/>
        <v>67366.909932062335</v>
      </c>
      <c r="G25" s="757">
        <f t="shared" si="1"/>
        <v>301751.49145461433</v>
      </c>
      <c r="H25" s="758">
        <f t="shared" si="5"/>
        <v>2436889.2112780637</v>
      </c>
      <c r="I25" s="672"/>
      <c r="J25" s="673"/>
      <c r="K25" s="662"/>
      <c r="L25" s="662"/>
      <c r="M25" s="713"/>
      <c r="N25" s="713"/>
      <c r="O25" s="713"/>
      <c r="P25" s="713"/>
      <c r="Q25" s="713"/>
      <c r="R25" s="713"/>
      <c r="S25" s="713"/>
      <c r="T25" s="714"/>
      <c r="U25" s="759">
        <v>10</v>
      </c>
      <c r="V25" s="757">
        <f>'Step Down EMI Calculator'!M22</f>
        <v>205065.7785481537</v>
      </c>
      <c r="W25" s="757">
        <f t="shared" si="6"/>
        <v>4726108.7718478264</v>
      </c>
      <c r="X25" s="757">
        <f t="shared" si="2"/>
        <v>55137.935671558196</v>
      </c>
      <c r="Y25" s="757">
        <f t="shared" si="7"/>
        <v>149927.8428765955</v>
      </c>
      <c r="Z25" s="758">
        <f t="shared" si="8"/>
        <v>4576180.928971231</v>
      </c>
      <c r="AA25" s="717"/>
      <c r="AB25" s="761"/>
    </row>
    <row r="26" spans="1:28">
      <c r="A26" s="671"/>
      <c r="B26" s="672"/>
      <c r="C26" s="699">
        <f t="shared" si="3"/>
        <v>11</v>
      </c>
      <c r="D26" s="757">
        <f>'Step Down EMI Calculator'!J23</f>
        <v>369118.40138667665</v>
      </c>
      <c r="E26" s="757">
        <f t="shared" si="4"/>
        <v>2436889.2112780637</v>
      </c>
      <c r="F26" s="757">
        <f t="shared" si="0"/>
        <v>59944.225559335144</v>
      </c>
      <c r="G26" s="757">
        <f t="shared" si="1"/>
        <v>309174.1758273415</v>
      </c>
      <c r="H26" s="758">
        <f t="shared" si="5"/>
        <v>2127715.0354507221</v>
      </c>
      <c r="I26" s="672"/>
      <c r="J26" s="673"/>
      <c r="K26" s="662"/>
      <c r="L26" s="662"/>
      <c r="M26" s="713"/>
      <c r="N26" s="713"/>
      <c r="O26" s="713"/>
      <c r="P26" s="713"/>
      <c r="Q26" s="713"/>
      <c r="R26" s="713"/>
      <c r="S26" s="713"/>
      <c r="T26" s="714"/>
      <c r="U26" s="759">
        <v>11</v>
      </c>
      <c r="V26" s="757">
        <f>'Step Down EMI Calculator'!M23</f>
        <v>205065.7785481537</v>
      </c>
      <c r="W26" s="757">
        <f t="shared" si="6"/>
        <v>4576180.928971231</v>
      </c>
      <c r="X26" s="757">
        <f t="shared" si="2"/>
        <v>53388.777504664577</v>
      </c>
      <c r="Y26" s="757">
        <f t="shared" si="7"/>
        <v>151677.00104348912</v>
      </c>
      <c r="Z26" s="758">
        <f t="shared" si="8"/>
        <v>4424503.9279277418</v>
      </c>
      <c r="AA26" s="717"/>
      <c r="AB26" s="761"/>
    </row>
    <row r="27" spans="1:28">
      <c r="A27" s="671"/>
      <c r="B27" s="672"/>
      <c r="C27" s="699">
        <f t="shared" si="3"/>
        <v>12</v>
      </c>
      <c r="D27" s="757">
        <f>'Step Down EMI Calculator'!J24</f>
        <v>369118.40138667665</v>
      </c>
      <c r="E27" s="757">
        <f t="shared" si="4"/>
        <v>2127715.0354507221</v>
      </c>
      <c r="F27" s="757">
        <f t="shared" si="0"/>
        <v>52338.953047502036</v>
      </c>
      <c r="G27" s="757">
        <f t="shared" si="1"/>
        <v>316779.44833917462</v>
      </c>
      <c r="H27" s="758">
        <f t="shared" si="5"/>
        <v>1810935.5871115476</v>
      </c>
      <c r="I27" s="672"/>
      <c r="J27" s="673"/>
      <c r="K27" s="662"/>
      <c r="L27" s="662"/>
      <c r="M27" s="762" t="s">
        <v>656</v>
      </c>
      <c r="N27" s="763" t="s">
        <v>657</v>
      </c>
      <c r="O27" s="764" t="s">
        <v>658</v>
      </c>
      <c r="P27" s="765" t="s">
        <v>659</v>
      </c>
      <c r="Q27" s="765" t="s">
        <v>660</v>
      </c>
      <c r="R27" s="765" t="s">
        <v>661</v>
      </c>
      <c r="S27" s="766" t="s">
        <v>662</v>
      </c>
      <c r="T27" s="714"/>
      <c r="U27" s="759">
        <v>12</v>
      </c>
      <c r="V27" s="757">
        <f>'Step Down EMI Calculator'!M24</f>
        <v>205065.7785481537</v>
      </c>
      <c r="W27" s="757">
        <f t="shared" si="6"/>
        <v>4424503.9279277418</v>
      </c>
      <c r="X27" s="757">
        <f t="shared" si="2"/>
        <v>51619.212492490529</v>
      </c>
      <c r="Y27" s="757">
        <f t="shared" si="7"/>
        <v>153446.56605566316</v>
      </c>
      <c r="Z27" s="758">
        <f t="shared" si="8"/>
        <v>4271057.3618720789</v>
      </c>
      <c r="AA27" s="717"/>
      <c r="AB27" s="761"/>
    </row>
    <row r="28" spans="1:28">
      <c r="A28" s="671"/>
      <c r="B28" s="672"/>
      <c r="C28" s="699">
        <f t="shared" si="3"/>
        <v>13</v>
      </c>
      <c r="D28" s="757">
        <f>'Step Down EMI Calculator'!J25</f>
        <v>369118.40138667665</v>
      </c>
      <c r="E28" s="757">
        <f t="shared" si="4"/>
        <v>1810935.5871115476</v>
      </c>
      <c r="F28" s="757">
        <f t="shared" si="0"/>
        <v>44546.600971780834</v>
      </c>
      <c r="G28" s="757">
        <f t="shared" si="1"/>
        <v>324571.80041489581</v>
      </c>
      <c r="H28" s="758">
        <f t="shared" si="5"/>
        <v>1486363.7866966517</v>
      </c>
      <c r="I28" s="672"/>
      <c r="J28" s="673"/>
      <c r="K28" s="662"/>
      <c r="L28" s="662"/>
      <c r="M28" s="767" t="s">
        <v>492</v>
      </c>
      <c r="N28" s="768">
        <f>'Step Down EMI Calculator'!$G$13</f>
        <v>475752.60623171658</v>
      </c>
      <c r="O28" s="769">
        <f>'Step Down EMI Calculator'!$G$14</f>
        <v>369118.40138667665</v>
      </c>
      <c r="P28" s="770">
        <f>'Step Down EMI Calculator'!$G$15</f>
        <v>64595.720242668416</v>
      </c>
      <c r="Q28" s="770">
        <f>'Step Down EMI Calculator'!$G$16</f>
        <v>0</v>
      </c>
      <c r="R28" s="770">
        <f>'Step Down EMI Calculator'!$G$17</f>
        <v>0</v>
      </c>
      <c r="S28" s="771">
        <f>'Step Down EMI Calculator'!$G$18</f>
        <v>0</v>
      </c>
      <c r="T28" s="714"/>
      <c r="U28" s="759">
        <v>13</v>
      </c>
      <c r="V28" s="757">
        <f>'Step Down EMI Calculator'!M25</f>
        <v>205065.7785481537</v>
      </c>
      <c r="W28" s="757">
        <f t="shared" si="6"/>
        <v>4271057.3618720789</v>
      </c>
      <c r="X28" s="757">
        <f t="shared" si="2"/>
        <v>49829.002555174455</v>
      </c>
      <c r="Y28" s="757">
        <f t="shared" si="7"/>
        <v>155236.77599297924</v>
      </c>
      <c r="Z28" s="758">
        <f t="shared" si="8"/>
        <v>4115820.5858790996</v>
      </c>
      <c r="AA28" s="717"/>
      <c r="AB28" s="761"/>
    </row>
    <row r="29" spans="1:28">
      <c r="A29" s="671"/>
      <c r="B29" s="672"/>
      <c r="C29" s="699">
        <f t="shared" si="3"/>
        <v>14</v>
      </c>
      <c r="D29" s="757">
        <f>'Step Down EMI Calculator'!J26</f>
        <v>369118.40138667665</v>
      </c>
      <c r="E29" s="757">
        <f t="shared" si="4"/>
        <v>1486363.7866966517</v>
      </c>
      <c r="F29" s="757">
        <f t="shared" si="0"/>
        <v>36562.567424327965</v>
      </c>
      <c r="G29" s="757">
        <f t="shared" si="1"/>
        <v>332555.8339623487</v>
      </c>
      <c r="H29" s="758">
        <f t="shared" si="5"/>
        <v>1153807.952734303</v>
      </c>
      <c r="I29" s="672"/>
      <c r="J29" s="673"/>
      <c r="K29" s="662"/>
      <c r="L29" s="662"/>
      <c r="M29" s="767" t="s">
        <v>635</v>
      </c>
      <c r="N29" s="772">
        <f t="shared" ref="N29:S29" si="9">SUM((N28/$X$5)*100000)</f>
        <v>7929.210103861943</v>
      </c>
      <c r="O29" s="773">
        <f t="shared" si="9"/>
        <v>6151.9733564446105</v>
      </c>
      <c r="P29" s="772">
        <f t="shared" si="9"/>
        <v>1076.595337377807</v>
      </c>
      <c r="Q29" s="772">
        <f t="shared" si="9"/>
        <v>0</v>
      </c>
      <c r="R29" s="772">
        <f t="shared" si="9"/>
        <v>0</v>
      </c>
      <c r="S29" s="774">
        <f t="shared" si="9"/>
        <v>0</v>
      </c>
      <c r="T29" s="714"/>
      <c r="U29" s="759">
        <v>14</v>
      </c>
      <c r="V29" s="757">
        <f>'Step Down EMI Calculator'!M26</f>
        <v>205065.7785481537</v>
      </c>
      <c r="W29" s="757">
        <f t="shared" si="6"/>
        <v>4115820.5858790996</v>
      </c>
      <c r="X29" s="757">
        <f t="shared" si="2"/>
        <v>48017.906835256355</v>
      </c>
      <c r="Y29" s="757">
        <f t="shared" si="7"/>
        <v>157047.87171289735</v>
      </c>
      <c r="Z29" s="758">
        <f t="shared" si="8"/>
        <v>3958772.7141662021</v>
      </c>
      <c r="AA29" s="717"/>
      <c r="AB29" s="761"/>
    </row>
    <row r="30" spans="1:28">
      <c r="A30" s="671"/>
      <c r="B30" s="672"/>
      <c r="C30" s="699">
        <f t="shared" si="3"/>
        <v>15</v>
      </c>
      <c r="D30" s="757">
        <f>'Step Down EMI Calculator'!J27</f>
        <v>369118.40138667665</v>
      </c>
      <c r="E30" s="757">
        <f t="shared" si="4"/>
        <v>1153807.952734303</v>
      </c>
      <c r="F30" s="757">
        <f t="shared" si="0"/>
        <v>28382.137296502526</v>
      </c>
      <c r="G30" s="757">
        <f t="shared" si="1"/>
        <v>340736.26409017411</v>
      </c>
      <c r="H30" s="758">
        <f t="shared" si="5"/>
        <v>813071.68864412885</v>
      </c>
      <c r="I30" s="672"/>
      <c r="J30" s="673"/>
      <c r="K30" s="662"/>
      <c r="L30" s="662"/>
      <c r="M30" s="775" t="s">
        <v>615</v>
      </c>
      <c r="N30" s="776">
        <f>'Step Down EMI Calculator'!$D$25</f>
        <v>9</v>
      </c>
      <c r="O30" s="777">
        <f>'Step Down EMI Calculator'!$D$26</f>
        <v>7</v>
      </c>
      <c r="P30" s="776">
        <f>'Step Down EMI Calculator'!$D$27</f>
        <v>8</v>
      </c>
      <c r="Q30" s="776">
        <f>'Step Down EMI Calculator'!$D$28</f>
        <v>12</v>
      </c>
      <c r="R30" s="776">
        <f>'Step Down EMI Calculator'!$D$29</f>
        <v>0</v>
      </c>
      <c r="S30" s="778">
        <f>'Step Down EMI Calculator'!$D$30</f>
        <v>0</v>
      </c>
      <c r="T30" s="714"/>
      <c r="U30" s="759">
        <v>15</v>
      </c>
      <c r="V30" s="757">
        <f>'Step Down EMI Calculator'!M27</f>
        <v>205065.7785481537</v>
      </c>
      <c r="W30" s="757">
        <f t="shared" si="6"/>
        <v>3958772.7141662021</v>
      </c>
      <c r="X30" s="757">
        <f t="shared" si="2"/>
        <v>46185.681665272547</v>
      </c>
      <c r="Y30" s="757">
        <f t="shared" si="7"/>
        <v>158880.09688288116</v>
      </c>
      <c r="Z30" s="758">
        <f t="shared" si="8"/>
        <v>3799892.617283321</v>
      </c>
      <c r="AA30" s="717"/>
      <c r="AB30" s="761"/>
    </row>
    <row r="31" spans="1:28">
      <c r="A31" s="671"/>
      <c r="B31" s="672"/>
      <c r="C31" s="699">
        <f t="shared" si="3"/>
        <v>16</v>
      </c>
      <c r="D31" s="757">
        <f>'Step Down EMI Calculator'!J28</f>
        <v>369118.40138667665</v>
      </c>
      <c r="E31" s="757">
        <f t="shared" si="4"/>
        <v>813071.68864412885</v>
      </c>
      <c r="F31" s="757">
        <f t="shared" si="0"/>
        <v>20000.479494277581</v>
      </c>
      <c r="G31" s="757">
        <f t="shared" si="1"/>
        <v>349117.92189239908</v>
      </c>
      <c r="H31" s="758">
        <f t="shared" si="5"/>
        <v>463953.76675172977</v>
      </c>
      <c r="I31" s="672"/>
      <c r="J31" s="673"/>
      <c r="K31" s="662"/>
      <c r="L31" s="662"/>
      <c r="M31" s="779" t="s">
        <v>638</v>
      </c>
      <c r="N31" s="780"/>
      <c r="O31" s="940">
        <f>'Step Down EMI Calculator'!$G$43</f>
        <v>7.679822376297403E-2</v>
      </c>
      <c r="P31" s="940"/>
      <c r="Q31" s="781"/>
      <c r="R31" s="781"/>
      <c r="S31" s="782"/>
      <c r="T31" s="714"/>
      <c r="U31" s="759">
        <v>16</v>
      </c>
      <c r="V31" s="757">
        <f>'Step Down EMI Calculator'!M28</f>
        <v>205065.7785481537</v>
      </c>
      <c r="W31" s="757">
        <f t="shared" si="6"/>
        <v>3799892.617283321</v>
      </c>
      <c r="X31" s="757">
        <f t="shared" si="2"/>
        <v>44332.080534972258</v>
      </c>
      <c r="Y31" s="757">
        <f t="shared" si="7"/>
        <v>160733.69801318145</v>
      </c>
      <c r="Z31" s="758">
        <f t="shared" si="8"/>
        <v>3639158.9192701397</v>
      </c>
      <c r="AA31" s="717"/>
      <c r="AB31" s="761"/>
    </row>
    <row r="32" spans="1:28">
      <c r="A32" s="671"/>
      <c r="B32" s="672"/>
      <c r="C32" s="699">
        <f t="shared" si="3"/>
        <v>17</v>
      </c>
      <c r="D32" s="757">
        <f>'Step Down EMI Calculator'!J29</f>
        <v>64595.720242668416</v>
      </c>
      <c r="E32" s="757">
        <f t="shared" si="4"/>
        <v>463953.76675172977</v>
      </c>
      <c r="F32" s="757">
        <f t="shared" si="0"/>
        <v>11412.644085154272</v>
      </c>
      <c r="G32" s="757">
        <f t="shared" si="1"/>
        <v>53183.076157514144</v>
      </c>
      <c r="H32" s="758">
        <f t="shared" si="5"/>
        <v>410770.69059421564</v>
      </c>
      <c r="I32" s="672"/>
      <c r="J32" s="673"/>
      <c r="K32" s="662"/>
      <c r="L32" s="662"/>
      <c r="M32" s="779" t="s">
        <v>630</v>
      </c>
      <c r="N32" s="780"/>
      <c r="O32" s="941">
        <f>P4</f>
        <v>7382368.0277335327</v>
      </c>
      <c r="P32" s="941"/>
      <c r="Q32" s="783"/>
      <c r="R32" s="783"/>
      <c r="S32" s="784"/>
      <c r="T32" s="714"/>
      <c r="U32" s="759">
        <v>17</v>
      </c>
      <c r="V32" s="757">
        <f>'Step Down EMI Calculator'!M29</f>
        <v>205065.7785481537</v>
      </c>
      <c r="W32" s="757">
        <f t="shared" si="6"/>
        <v>3639158.9192701397</v>
      </c>
      <c r="X32" s="757">
        <f t="shared" si="2"/>
        <v>42456.854058151803</v>
      </c>
      <c r="Y32" s="757">
        <f t="shared" si="7"/>
        <v>162608.9244900019</v>
      </c>
      <c r="Z32" s="758">
        <f t="shared" si="8"/>
        <v>3476549.9947801377</v>
      </c>
      <c r="AA32" s="717"/>
      <c r="AB32" s="761"/>
    </row>
    <row r="33" spans="1:28">
      <c r="A33" s="671"/>
      <c r="B33" s="672"/>
      <c r="C33" s="699">
        <f t="shared" si="3"/>
        <v>18</v>
      </c>
      <c r="D33" s="757">
        <f>'Step Down EMI Calculator'!J30</f>
        <v>64595.720242668416</v>
      </c>
      <c r="E33" s="757">
        <f t="shared" si="4"/>
        <v>410770.69059421564</v>
      </c>
      <c r="F33" s="757">
        <f t="shared" si="0"/>
        <v>10104.411319228357</v>
      </c>
      <c r="G33" s="757">
        <f t="shared" si="1"/>
        <v>54491.308923440061</v>
      </c>
      <c r="H33" s="758">
        <f t="shared" si="5"/>
        <v>356279.38167077559</v>
      </c>
      <c r="I33" s="672"/>
      <c r="J33" s="673"/>
      <c r="K33" s="662"/>
      <c r="L33" s="662"/>
      <c r="M33" s="713"/>
      <c r="N33" s="713"/>
      <c r="O33" s="713"/>
      <c r="P33" s="713"/>
      <c r="Q33" s="713"/>
      <c r="R33" s="713"/>
      <c r="S33" s="713"/>
      <c r="T33" s="714"/>
      <c r="U33" s="759">
        <v>18</v>
      </c>
      <c r="V33" s="757">
        <f>'Step Down EMI Calculator'!M30</f>
        <v>205065.7785481537</v>
      </c>
      <c r="W33" s="757">
        <f t="shared" si="6"/>
        <v>3476549.9947801377</v>
      </c>
      <c r="X33" s="757">
        <f t="shared" si="2"/>
        <v>40559.74993910177</v>
      </c>
      <c r="Y33" s="757">
        <f t="shared" si="7"/>
        <v>164506.02860905192</v>
      </c>
      <c r="Z33" s="758">
        <f t="shared" si="8"/>
        <v>3312043.9661710858</v>
      </c>
      <c r="AA33" s="717"/>
      <c r="AB33" s="761"/>
    </row>
    <row r="34" spans="1:28">
      <c r="A34" s="671"/>
      <c r="B34" s="672"/>
      <c r="C34" s="699">
        <f t="shared" si="3"/>
        <v>19</v>
      </c>
      <c r="D34" s="757">
        <f>'Step Down EMI Calculator'!J31</f>
        <v>64595.720242668416</v>
      </c>
      <c r="E34" s="757">
        <f t="shared" si="4"/>
        <v>356279.38167077559</v>
      </c>
      <c r="F34" s="757">
        <f t="shared" si="0"/>
        <v>8763.9977714918277</v>
      </c>
      <c r="G34" s="757">
        <f t="shared" si="1"/>
        <v>55831.722471176588</v>
      </c>
      <c r="H34" s="758">
        <f t="shared" si="5"/>
        <v>300447.659199599</v>
      </c>
      <c r="I34" s="672"/>
      <c r="J34" s="673"/>
      <c r="K34" s="662"/>
      <c r="L34" s="662"/>
      <c r="M34" s="713"/>
      <c r="N34" s="713"/>
      <c r="O34" s="713"/>
      <c r="P34" s="713"/>
      <c r="Q34" s="713"/>
      <c r="R34" s="713"/>
      <c r="S34" s="713"/>
      <c r="T34" s="714"/>
      <c r="U34" s="759">
        <v>19</v>
      </c>
      <c r="V34" s="757">
        <f>'Step Down EMI Calculator'!M31</f>
        <v>205065.7785481537</v>
      </c>
      <c r="W34" s="757">
        <f t="shared" si="6"/>
        <v>3312043.9661710858</v>
      </c>
      <c r="X34" s="757">
        <f t="shared" si="2"/>
        <v>38640.512938662825</v>
      </c>
      <c r="Y34" s="757">
        <f t="shared" si="7"/>
        <v>166425.26560949086</v>
      </c>
      <c r="Z34" s="758">
        <f t="shared" si="8"/>
        <v>3145618.7005615951</v>
      </c>
      <c r="AA34" s="717"/>
      <c r="AB34" s="761"/>
    </row>
    <row r="35" spans="1:28">
      <c r="A35" s="671"/>
      <c r="B35" s="672"/>
      <c r="C35" s="699">
        <f t="shared" si="3"/>
        <v>20</v>
      </c>
      <c r="D35" s="757">
        <f>'Step Down EMI Calculator'!J32</f>
        <v>64595.720242668416</v>
      </c>
      <c r="E35" s="757">
        <f t="shared" si="4"/>
        <v>300447.659199599</v>
      </c>
      <c r="F35" s="757">
        <f t="shared" si="0"/>
        <v>7390.6118376179047</v>
      </c>
      <c r="G35" s="757">
        <f t="shared" si="1"/>
        <v>57205.108405050509</v>
      </c>
      <c r="H35" s="758">
        <f t="shared" si="5"/>
        <v>243242.5507945485</v>
      </c>
      <c r="I35" s="672"/>
      <c r="J35" s="673"/>
      <c r="K35" s="662"/>
      <c r="L35" s="662"/>
      <c r="M35" s="713"/>
      <c r="N35" s="713"/>
      <c r="O35" s="713"/>
      <c r="P35" s="713"/>
      <c r="Q35" s="713"/>
      <c r="R35" s="713"/>
      <c r="S35" s="713"/>
      <c r="T35" s="714"/>
      <c r="U35" s="759">
        <v>20</v>
      </c>
      <c r="V35" s="757">
        <f>'Step Down EMI Calculator'!M32</f>
        <v>205065.7785481537</v>
      </c>
      <c r="W35" s="757">
        <f t="shared" si="6"/>
        <v>3145618.7005615951</v>
      </c>
      <c r="X35" s="757">
        <f t="shared" si="2"/>
        <v>36698.884839885424</v>
      </c>
      <c r="Y35" s="757">
        <f t="shared" si="7"/>
        <v>168366.89370826827</v>
      </c>
      <c r="Z35" s="758">
        <f t="shared" si="8"/>
        <v>2977251.806853327</v>
      </c>
      <c r="AA35" s="717"/>
      <c r="AB35" s="761"/>
    </row>
    <row r="36" spans="1:28">
      <c r="A36" s="671"/>
      <c r="B36" s="672"/>
      <c r="C36" s="699">
        <f t="shared" si="3"/>
        <v>21</v>
      </c>
      <c r="D36" s="757">
        <f>'Step Down EMI Calculator'!J33</f>
        <v>64595.720242668416</v>
      </c>
      <c r="E36" s="757">
        <f t="shared" si="4"/>
        <v>243242.5507945485</v>
      </c>
      <c r="F36" s="757">
        <f t="shared" si="0"/>
        <v>5983.4424408687955</v>
      </c>
      <c r="G36" s="757">
        <f t="shared" si="1"/>
        <v>58612.277801799617</v>
      </c>
      <c r="H36" s="758">
        <f t="shared" si="5"/>
        <v>184630.27299274888</v>
      </c>
      <c r="I36" s="672"/>
      <c r="J36" s="673"/>
      <c r="K36" s="662"/>
      <c r="L36" s="662"/>
      <c r="M36" s="713"/>
      <c r="N36" s="713"/>
      <c r="O36" s="713"/>
      <c r="P36" s="713"/>
      <c r="Q36" s="713"/>
      <c r="R36" s="713"/>
      <c r="S36" s="713"/>
      <c r="T36" s="714"/>
      <c r="U36" s="759">
        <v>21</v>
      </c>
      <c r="V36" s="757">
        <f>'Step Down EMI Calculator'!M33</f>
        <v>205065.7785481537</v>
      </c>
      <c r="W36" s="757">
        <f t="shared" si="6"/>
        <v>2977251.806853327</v>
      </c>
      <c r="X36" s="757">
        <f t="shared" si="2"/>
        <v>34734.604413288958</v>
      </c>
      <c r="Y36" s="757">
        <f t="shared" si="7"/>
        <v>170331.17413486473</v>
      </c>
      <c r="Z36" s="758">
        <f t="shared" si="8"/>
        <v>2806920.632718462</v>
      </c>
      <c r="AA36" s="717"/>
      <c r="AB36" s="761"/>
    </row>
    <row r="37" spans="1:28">
      <c r="A37" s="671"/>
      <c r="B37" s="672"/>
      <c r="C37" s="699">
        <f t="shared" si="3"/>
        <v>22</v>
      </c>
      <c r="D37" s="757">
        <f>'Step Down EMI Calculator'!J34</f>
        <v>64595.720242668416</v>
      </c>
      <c r="E37" s="757">
        <f t="shared" si="4"/>
        <v>184630.27299274888</v>
      </c>
      <c r="F37" s="757">
        <f t="shared" si="0"/>
        <v>4541.6585531003411</v>
      </c>
      <c r="G37" s="757">
        <f t="shared" si="1"/>
        <v>60054.061689568072</v>
      </c>
      <c r="H37" s="758">
        <f t="shared" si="5"/>
        <v>124576.21130318081</v>
      </c>
      <c r="I37" s="672"/>
      <c r="J37" s="673"/>
      <c r="K37" s="662"/>
      <c r="L37" s="662"/>
      <c r="M37" s="713"/>
      <c r="N37" s="713"/>
      <c r="O37" s="713"/>
      <c r="P37" s="713"/>
      <c r="Q37" s="713"/>
      <c r="R37" s="713"/>
      <c r="S37" s="713"/>
      <c r="T37" s="714"/>
      <c r="U37" s="759">
        <v>22</v>
      </c>
      <c r="V37" s="757">
        <f>'Step Down EMI Calculator'!M34</f>
        <v>205065.7785481537</v>
      </c>
      <c r="W37" s="757">
        <f t="shared" si="6"/>
        <v>2806920.632718462</v>
      </c>
      <c r="X37" s="757">
        <f t="shared" si="2"/>
        <v>32747.407381715522</v>
      </c>
      <c r="Y37" s="757">
        <f t="shared" si="7"/>
        <v>172318.37116643818</v>
      </c>
      <c r="Z37" s="758">
        <f t="shared" si="8"/>
        <v>2634602.2615520237</v>
      </c>
      <c r="AA37" s="717"/>
      <c r="AB37" s="761"/>
    </row>
    <row r="38" spans="1:28">
      <c r="A38" s="671"/>
      <c r="B38" s="672"/>
      <c r="C38" s="699">
        <f t="shared" si="3"/>
        <v>23</v>
      </c>
      <c r="D38" s="757">
        <f>'Step Down EMI Calculator'!J35</f>
        <v>64595.720242668416</v>
      </c>
      <c r="E38" s="757">
        <f t="shared" si="4"/>
        <v>124576.21130318081</v>
      </c>
      <c r="F38" s="757">
        <f t="shared" si="0"/>
        <v>3064.4087039840265</v>
      </c>
      <c r="G38" s="757">
        <f t="shared" si="1"/>
        <v>61531.311538684393</v>
      </c>
      <c r="H38" s="758">
        <f t="shared" si="5"/>
        <v>63044.899764496418</v>
      </c>
      <c r="I38" s="672"/>
      <c r="J38" s="673"/>
      <c r="K38" s="662"/>
      <c r="L38" s="662"/>
      <c r="M38" s="713"/>
      <c r="N38" s="713"/>
      <c r="O38" s="713"/>
      <c r="P38" s="713"/>
      <c r="Q38" s="713"/>
      <c r="R38" s="713"/>
      <c r="S38" s="713"/>
      <c r="T38" s="714"/>
      <c r="U38" s="759">
        <v>23</v>
      </c>
      <c r="V38" s="757">
        <f>'Step Down EMI Calculator'!M35</f>
        <v>205065.7785481537</v>
      </c>
      <c r="W38" s="757">
        <f t="shared" si="6"/>
        <v>2634602.2615520237</v>
      </c>
      <c r="X38" s="757">
        <f t="shared" si="2"/>
        <v>30737.026384773733</v>
      </c>
      <c r="Y38" s="757">
        <f t="shared" si="7"/>
        <v>174328.75216337998</v>
      </c>
      <c r="Z38" s="758">
        <f t="shared" si="8"/>
        <v>2460273.5093886438</v>
      </c>
      <c r="AA38" s="717"/>
      <c r="AB38" s="761"/>
    </row>
    <row r="39" spans="1:28">
      <c r="A39" s="671"/>
      <c r="B39" s="672"/>
      <c r="C39" s="699">
        <f t="shared" si="3"/>
        <v>24</v>
      </c>
      <c r="D39" s="757">
        <f>'Step Down EMI Calculator'!J36</f>
        <v>64595.720242668416</v>
      </c>
      <c r="E39" s="757">
        <f t="shared" si="4"/>
        <v>63044.899764496418</v>
      </c>
      <c r="F39" s="757">
        <f t="shared" si="0"/>
        <v>1550.8204781564939</v>
      </c>
      <c r="G39" s="757">
        <f t="shared" si="1"/>
        <v>63044.899764511923</v>
      </c>
      <c r="H39" s="758">
        <f t="shared" si="5"/>
        <v>-1.5505065675824881E-8</v>
      </c>
      <c r="I39" s="672"/>
      <c r="J39" s="673"/>
      <c r="K39" s="662"/>
      <c r="L39" s="662"/>
      <c r="M39" s="713"/>
      <c r="N39" s="713"/>
      <c r="O39" s="713"/>
      <c r="P39" s="713"/>
      <c r="Q39" s="713"/>
      <c r="R39" s="713"/>
      <c r="S39" s="713"/>
      <c r="T39" s="714"/>
      <c r="U39" s="759">
        <v>24</v>
      </c>
      <c r="V39" s="757">
        <f>'Step Down EMI Calculator'!M36</f>
        <v>205065.7785481537</v>
      </c>
      <c r="W39" s="757">
        <f t="shared" si="6"/>
        <v>2460273.5093886438</v>
      </c>
      <c r="X39" s="757">
        <f t="shared" si="2"/>
        <v>28703.190942867626</v>
      </c>
      <c r="Y39" s="757">
        <f t="shared" si="7"/>
        <v>176362.58760528607</v>
      </c>
      <c r="Z39" s="758">
        <f t="shared" si="8"/>
        <v>2283910.9217833579</v>
      </c>
      <c r="AA39" s="717"/>
      <c r="AB39" s="761"/>
    </row>
    <row r="40" spans="1:28">
      <c r="A40" s="671"/>
      <c r="B40" s="672"/>
      <c r="C40" s="699">
        <f t="shared" si="3"/>
        <v>25</v>
      </c>
      <c r="D40" s="785">
        <f>'Step Down EMI Calculator'!J37</f>
        <v>0</v>
      </c>
      <c r="E40" s="757">
        <f t="shared" si="4"/>
        <v>-1.5505065675824881E-8</v>
      </c>
      <c r="F40" s="757">
        <f t="shared" si="0"/>
        <v>-3.8140394314294379E-10</v>
      </c>
      <c r="G40" s="757">
        <f t="shared" si="1"/>
        <v>3.8140394314294379E-10</v>
      </c>
      <c r="H40" s="758">
        <f t="shared" si="5"/>
        <v>-1.5886469618967825E-8</v>
      </c>
      <c r="I40" s="672"/>
      <c r="J40" s="673"/>
      <c r="K40" s="662"/>
      <c r="L40" s="662"/>
      <c r="M40" s="713"/>
      <c r="N40" s="713"/>
      <c r="O40" s="713"/>
      <c r="P40" s="713"/>
      <c r="Q40" s="713"/>
      <c r="R40" s="713"/>
      <c r="S40" s="713"/>
      <c r="T40" s="714"/>
      <c r="U40" s="759">
        <v>25</v>
      </c>
      <c r="V40" s="757">
        <f>'Step Down EMI Calculator'!M37</f>
        <v>205065.7785481537</v>
      </c>
      <c r="W40" s="757">
        <f t="shared" si="6"/>
        <v>2283910.9217833579</v>
      </c>
      <c r="X40" s="757">
        <f t="shared" si="2"/>
        <v>26645.627420805951</v>
      </c>
      <c r="Y40" s="757">
        <f t="shared" si="7"/>
        <v>178420.15112734775</v>
      </c>
      <c r="Z40" s="758">
        <f t="shared" si="8"/>
        <v>2105490.7706560101</v>
      </c>
      <c r="AA40" s="717"/>
      <c r="AB40" s="761"/>
    </row>
    <row r="41" spans="1:28">
      <c r="A41" s="671"/>
      <c r="B41" s="672"/>
      <c r="C41" s="699">
        <f t="shared" si="3"/>
        <v>26</v>
      </c>
      <c r="D41" s="785">
        <f>'Step Down EMI Calculator'!J38</f>
        <v>0</v>
      </c>
      <c r="E41" s="757">
        <f t="shared" si="4"/>
        <v>-1.5886469618967825E-8</v>
      </c>
      <c r="F41" s="757">
        <f t="shared" si="0"/>
        <v>-3.9078597162875656E-10</v>
      </c>
      <c r="G41" s="757">
        <f t="shared" si="1"/>
        <v>3.9078597162875656E-10</v>
      </c>
      <c r="H41" s="758">
        <f t="shared" si="5"/>
        <v>-1.6277255590596581E-8</v>
      </c>
      <c r="I41" s="672"/>
      <c r="J41" s="673"/>
      <c r="K41" s="662"/>
      <c r="L41" s="662"/>
      <c r="M41" s="713"/>
      <c r="N41" s="713"/>
      <c r="O41" s="713"/>
      <c r="P41" s="713"/>
      <c r="Q41" s="713"/>
      <c r="R41" s="713"/>
      <c r="S41" s="713"/>
      <c r="T41" s="714"/>
      <c r="U41" s="759">
        <v>26</v>
      </c>
      <c r="V41" s="757">
        <f>'Step Down EMI Calculator'!M38</f>
        <v>205065.7785481537</v>
      </c>
      <c r="W41" s="757">
        <f t="shared" si="6"/>
        <v>2105490.7706560101</v>
      </c>
      <c r="X41" s="757">
        <f t="shared" si="2"/>
        <v>24564.058990986883</v>
      </c>
      <c r="Y41" s="757">
        <f t="shared" si="7"/>
        <v>180501.71955716683</v>
      </c>
      <c r="Z41" s="758">
        <f t="shared" si="8"/>
        <v>1924989.0510988433</v>
      </c>
      <c r="AA41" s="717"/>
      <c r="AB41" s="761"/>
    </row>
    <row r="42" spans="1:28">
      <c r="A42" s="671"/>
      <c r="B42" s="672"/>
      <c r="C42" s="699">
        <f t="shared" si="3"/>
        <v>27</v>
      </c>
      <c r="D42" s="785">
        <f>'Step Down EMI Calculator'!J39</f>
        <v>0</v>
      </c>
      <c r="E42" s="757">
        <f t="shared" si="4"/>
        <v>-1.6277255590596581E-8</v>
      </c>
      <c r="F42" s="757">
        <f t="shared" si="0"/>
        <v>-4.0039878550651686E-10</v>
      </c>
      <c r="G42" s="757">
        <f t="shared" si="1"/>
        <v>4.0039878550651686E-10</v>
      </c>
      <c r="H42" s="758">
        <f t="shared" si="5"/>
        <v>-1.6677654376103097E-8</v>
      </c>
      <c r="I42" s="672"/>
      <c r="J42" s="673"/>
      <c r="K42" s="662"/>
      <c r="L42" s="662"/>
      <c r="M42" s="713"/>
      <c r="N42" s="713"/>
      <c r="O42" s="713"/>
      <c r="P42" s="713"/>
      <c r="Q42" s="713"/>
      <c r="R42" s="713"/>
      <c r="S42" s="713"/>
      <c r="T42" s="714"/>
      <c r="U42" s="759">
        <v>27</v>
      </c>
      <c r="V42" s="757">
        <f>'Step Down EMI Calculator'!M39</f>
        <v>205065.7785481537</v>
      </c>
      <c r="W42" s="757">
        <f t="shared" si="6"/>
        <v>1924989.0510988433</v>
      </c>
      <c r="X42" s="757">
        <f t="shared" si="2"/>
        <v>22458.205596153264</v>
      </c>
      <c r="Y42" s="757">
        <f t="shared" si="7"/>
        <v>182607.57295200042</v>
      </c>
      <c r="Z42" s="758">
        <f t="shared" si="8"/>
        <v>1742381.4781468429</v>
      </c>
      <c r="AA42" s="717"/>
      <c r="AB42" s="761"/>
    </row>
    <row r="43" spans="1:28">
      <c r="A43" s="671"/>
      <c r="B43" s="672"/>
      <c r="C43" s="699">
        <f t="shared" si="3"/>
        <v>28</v>
      </c>
      <c r="D43" s="785">
        <f>'Step Down EMI Calculator'!J40</f>
        <v>0</v>
      </c>
      <c r="E43" s="757">
        <f t="shared" si="4"/>
        <v>-1.6677654376103097E-8</v>
      </c>
      <c r="F43" s="757">
        <f t="shared" si="0"/>
        <v>-4.1024806178916674E-10</v>
      </c>
      <c r="G43" s="757">
        <f t="shared" si="1"/>
        <v>4.1024806178916674E-10</v>
      </c>
      <c r="H43" s="758">
        <f t="shared" si="5"/>
        <v>-1.7087902437892263E-8</v>
      </c>
      <c r="I43" s="672"/>
      <c r="J43" s="673"/>
      <c r="K43" s="662"/>
      <c r="L43" s="662"/>
      <c r="M43" s="713"/>
      <c r="N43" s="713"/>
      <c r="O43" s="713"/>
      <c r="P43" s="713"/>
      <c r="Q43" s="713"/>
      <c r="R43" s="713"/>
      <c r="S43" s="713"/>
      <c r="T43" s="714"/>
      <c r="U43" s="759">
        <v>28</v>
      </c>
      <c r="V43" s="757">
        <f>'Step Down EMI Calculator'!M40</f>
        <v>205065.7785481537</v>
      </c>
      <c r="W43" s="757">
        <f t="shared" si="6"/>
        <v>1742381.4781468429</v>
      </c>
      <c r="X43" s="757">
        <f t="shared" si="2"/>
        <v>20327.78391171325</v>
      </c>
      <c r="Y43" s="757">
        <f t="shared" si="7"/>
        <v>184737.99463644045</v>
      </c>
      <c r="Z43" s="758">
        <f t="shared" si="8"/>
        <v>1557643.4835104025</v>
      </c>
      <c r="AA43" s="717"/>
      <c r="AB43" s="761"/>
    </row>
    <row r="44" spans="1:28">
      <c r="A44" s="671"/>
      <c r="B44" s="672"/>
      <c r="C44" s="699">
        <f t="shared" si="3"/>
        <v>29</v>
      </c>
      <c r="D44" s="785">
        <f>'Step Down EMI Calculator'!J41</f>
        <v>0</v>
      </c>
      <c r="E44" s="757">
        <f t="shared" si="4"/>
        <v>-1.7087902437892263E-8</v>
      </c>
      <c r="F44" s="757">
        <f t="shared" si="0"/>
        <v>-4.2033961713659766E-10</v>
      </c>
      <c r="G44" s="757">
        <f t="shared" si="1"/>
        <v>4.2033961713659766E-10</v>
      </c>
      <c r="H44" s="758">
        <f t="shared" si="5"/>
        <v>-1.750824205502886E-8</v>
      </c>
      <c r="I44" s="672"/>
      <c r="J44" s="673"/>
      <c r="K44" s="662"/>
      <c r="L44" s="662"/>
      <c r="M44" s="713"/>
      <c r="N44" s="713"/>
      <c r="O44" s="713"/>
      <c r="P44" s="713"/>
      <c r="Q44" s="713"/>
      <c r="R44" s="713"/>
      <c r="S44" s="713"/>
      <c r="T44" s="714"/>
      <c r="U44" s="759">
        <v>29</v>
      </c>
      <c r="V44" s="757">
        <f>'Step Down EMI Calculator'!M41</f>
        <v>205065.7785481537</v>
      </c>
      <c r="W44" s="757">
        <f t="shared" si="6"/>
        <v>1557643.4835104025</v>
      </c>
      <c r="X44" s="757">
        <f t="shared" si="2"/>
        <v>18172.507307621436</v>
      </c>
      <c r="Y44" s="757">
        <f t="shared" si="7"/>
        <v>186893.27124053225</v>
      </c>
      <c r="Z44" s="758">
        <f t="shared" si="8"/>
        <v>1370750.2122698703</v>
      </c>
      <c r="AA44" s="717"/>
      <c r="AB44" s="761"/>
    </row>
    <row r="45" spans="1:28">
      <c r="A45" s="671"/>
      <c r="B45" s="672"/>
      <c r="C45" s="699">
        <f t="shared" si="3"/>
        <v>30</v>
      </c>
      <c r="D45" s="785">
        <f>'Step Down EMI Calculator'!J42</f>
        <v>0</v>
      </c>
      <c r="E45" s="757">
        <f t="shared" si="4"/>
        <v>-1.750824205502886E-8</v>
      </c>
      <c r="F45" s="757">
        <f t="shared" si="0"/>
        <v>-4.3067941129077907E-10</v>
      </c>
      <c r="G45" s="757">
        <f t="shared" si="1"/>
        <v>4.3067941129077907E-10</v>
      </c>
      <c r="H45" s="758">
        <f t="shared" si="5"/>
        <v>-1.793892146631964E-8</v>
      </c>
      <c r="I45" s="672"/>
      <c r="J45" s="673"/>
      <c r="K45" s="662"/>
      <c r="L45" s="662"/>
      <c r="M45" s="713"/>
      <c r="N45" s="713"/>
      <c r="O45" s="713"/>
      <c r="P45" s="713"/>
      <c r="Q45" s="713"/>
      <c r="R45" s="713"/>
      <c r="S45" s="713"/>
      <c r="T45" s="714"/>
      <c r="U45" s="759">
        <v>30</v>
      </c>
      <c r="V45" s="757">
        <f>'Step Down EMI Calculator'!M42</f>
        <v>205065.7785481537</v>
      </c>
      <c r="W45" s="757">
        <f t="shared" si="6"/>
        <v>1370750.2122698703</v>
      </c>
      <c r="X45" s="757">
        <f t="shared" si="2"/>
        <v>15992.085809815218</v>
      </c>
      <c r="Y45" s="757">
        <f t="shared" si="7"/>
        <v>189073.69273833849</v>
      </c>
      <c r="Z45" s="758">
        <f t="shared" si="8"/>
        <v>1181676.5195315317</v>
      </c>
      <c r="AA45" s="717"/>
      <c r="AB45" s="761"/>
    </row>
    <row r="46" spans="1:28">
      <c r="A46" s="671"/>
      <c r="B46" s="672"/>
      <c r="C46" s="699">
        <f t="shared" si="3"/>
        <v>31</v>
      </c>
      <c r="D46" s="785">
        <f>'Step Down EMI Calculator'!J43</f>
        <v>0</v>
      </c>
      <c r="E46" s="757">
        <f t="shared" si="4"/>
        <v>-1.793892146631964E-8</v>
      </c>
      <c r="F46" s="757">
        <f t="shared" si="0"/>
        <v>-4.4127355059538714E-10</v>
      </c>
      <c r="G46" s="757">
        <f t="shared" si="1"/>
        <v>4.4127355059538714E-10</v>
      </c>
      <c r="H46" s="758">
        <f t="shared" si="5"/>
        <v>-1.8380195016915025E-8</v>
      </c>
      <c r="I46" s="672"/>
      <c r="J46" s="673"/>
      <c r="K46" s="662"/>
      <c r="L46" s="662"/>
      <c r="M46" s="713"/>
      <c r="N46" s="713"/>
      <c r="O46" s="713"/>
      <c r="P46" s="713"/>
      <c r="Q46" s="713"/>
      <c r="R46" s="713"/>
      <c r="S46" s="713"/>
      <c r="T46" s="714"/>
      <c r="U46" s="759">
        <v>31</v>
      </c>
      <c r="V46" s="757">
        <f>'Step Down EMI Calculator'!M43</f>
        <v>205065.7785481537</v>
      </c>
      <c r="W46" s="757">
        <f t="shared" si="6"/>
        <v>1181676.5195315317</v>
      </c>
      <c r="X46" s="757">
        <f t="shared" si="2"/>
        <v>13786.22606120126</v>
      </c>
      <c r="Y46" s="757">
        <f t="shared" si="7"/>
        <v>191279.55248695245</v>
      </c>
      <c r="Z46" s="758">
        <f t="shared" si="8"/>
        <v>990396.96704457933</v>
      </c>
      <c r="AA46" s="717"/>
      <c r="AB46" s="761"/>
    </row>
    <row r="47" spans="1:28">
      <c r="A47" s="671"/>
      <c r="B47" s="672"/>
      <c r="C47" s="699">
        <f t="shared" si="3"/>
        <v>32</v>
      </c>
      <c r="D47" s="785">
        <f>'Step Down EMI Calculator'!J44</f>
        <v>0</v>
      </c>
      <c r="E47" s="757">
        <f t="shared" si="4"/>
        <v>-1.8380195016915025E-8</v>
      </c>
      <c r="F47" s="757">
        <f t="shared" si="0"/>
        <v>-4.5212829160201062E-10</v>
      </c>
      <c r="G47" s="757">
        <f t="shared" si="1"/>
        <v>4.5212829160201062E-10</v>
      </c>
      <c r="H47" s="758">
        <f t="shared" si="5"/>
        <v>-1.8832323308517037E-8</v>
      </c>
      <c r="I47" s="672"/>
      <c r="J47" s="673"/>
      <c r="K47" s="662"/>
      <c r="L47" s="662"/>
      <c r="M47" s="713"/>
      <c r="N47" s="713"/>
      <c r="O47" s="713"/>
      <c r="P47" s="713"/>
      <c r="Q47" s="713"/>
      <c r="R47" s="713"/>
      <c r="S47" s="713"/>
      <c r="T47" s="714"/>
      <c r="U47" s="759">
        <v>32</v>
      </c>
      <c r="V47" s="757">
        <f>'Step Down EMI Calculator'!M44</f>
        <v>205065.7785481537</v>
      </c>
      <c r="W47" s="757">
        <f t="shared" si="6"/>
        <v>990396.96704457933</v>
      </c>
      <c r="X47" s="757">
        <f t="shared" si="2"/>
        <v>11554.631282186805</v>
      </c>
      <c r="Y47" s="757">
        <f t="shared" si="7"/>
        <v>193511.14726596689</v>
      </c>
      <c r="Z47" s="758">
        <f t="shared" si="8"/>
        <v>796885.81977861247</v>
      </c>
      <c r="AA47" s="717"/>
      <c r="AB47" s="761"/>
    </row>
    <row r="48" spans="1:28">
      <c r="A48" s="671"/>
      <c r="B48" s="672"/>
      <c r="C48" s="699">
        <f t="shared" si="3"/>
        <v>33</v>
      </c>
      <c r="D48" s="785">
        <f>'Step Down EMI Calculator'!J45</f>
        <v>0</v>
      </c>
      <c r="E48" s="757">
        <f t="shared" si="4"/>
        <v>-1.8832323308517037E-8</v>
      </c>
      <c r="F48" s="757">
        <f t="shared" ref="F48:F75" si="10">+E48*$D$13/12</f>
        <v>-4.632500447650662E-10</v>
      </c>
      <c r="G48" s="757">
        <f t="shared" ref="G48:G75" si="11">+D48-F48</f>
        <v>4.632500447650662E-10</v>
      </c>
      <c r="H48" s="758">
        <f t="shared" si="5"/>
        <v>-1.9295573353282102E-8</v>
      </c>
      <c r="I48" s="672"/>
      <c r="J48" s="673"/>
      <c r="K48" s="662"/>
      <c r="L48" s="662"/>
      <c r="M48" s="713"/>
      <c r="N48" s="713"/>
      <c r="O48" s="713"/>
      <c r="P48" s="713"/>
      <c r="Q48" s="713"/>
      <c r="R48" s="713"/>
      <c r="S48" s="713"/>
      <c r="T48" s="714"/>
      <c r="U48" s="759">
        <v>33</v>
      </c>
      <c r="V48" s="757">
        <f>'Step Down EMI Calculator'!M45</f>
        <v>205065.7785481537</v>
      </c>
      <c r="W48" s="757">
        <f t="shared" si="6"/>
        <v>796885.81977861247</v>
      </c>
      <c r="X48" s="757">
        <f t="shared" ref="X48:X75" si="12">W48*($V$13/12)</f>
        <v>9297.0012307505167</v>
      </c>
      <c r="Y48" s="757">
        <f t="shared" si="7"/>
        <v>195768.77731740318</v>
      </c>
      <c r="Z48" s="758">
        <f t="shared" si="8"/>
        <v>601117.04246120923</v>
      </c>
      <c r="AA48" s="717"/>
      <c r="AB48" s="761"/>
    </row>
    <row r="49" spans="1:28">
      <c r="A49" s="671"/>
      <c r="B49" s="672"/>
      <c r="C49" s="699">
        <f t="shared" ref="C49:C75" si="13">+C48+1</f>
        <v>34</v>
      </c>
      <c r="D49" s="785">
        <f>'Step Down EMI Calculator'!J46</f>
        <v>0</v>
      </c>
      <c r="E49" s="757">
        <f t="shared" ref="E49:E75" si="14">+H48</f>
        <v>-1.9295573353282102E-8</v>
      </c>
      <c r="F49" s="757">
        <f t="shared" si="10"/>
        <v>-4.7464537822760197E-10</v>
      </c>
      <c r="G49" s="757">
        <f t="shared" si="11"/>
        <v>4.7464537822760197E-10</v>
      </c>
      <c r="H49" s="758">
        <f t="shared" ref="H49:H75" si="15">+E49-G49</f>
        <v>-1.9770218731509705E-8</v>
      </c>
      <c r="I49" s="672"/>
      <c r="J49" s="673"/>
      <c r="K49" s="662"/>
      <c r="L49" s="662"/>
      <c r="M49" s="713"/>
      <c r="N49" s="713"/>
      <c r="O49" s="713"/>
      <c r="P49" s="713"/>
      <c r="Q49" s="713"/>
      <c r="R49" s="713"/>
      <c r="S49" s="713"/>
      <c r="T49" s="714"/>
      <c r="U49" s="759">
        <v>34</v>
      </c>
      <c r="V49" s="757">
        <f>'Step Down EMI Calculator'!M46</f>
        <v>205065.7785481537</v>
      </c>
      <c r="W49" s="757">
        <f t="shared" ref="W49:W75" si="16">Z48</f>
        <v>601117.04246120923</v>
      </c>
      <c r="X49" s="757">
        <f t="shared" si="12"/>
        <v>7013.0321620474697</v>
      </c>
      <c r="Y49" s="757">
        <f t="shared" ref="Y49:Y75" si="17">+V49-X49</f>
        <v>198052.74638610624</v>
      </c>
      <c r="Z49" s="758">
        <f t="shared" ref="Z49:Z75" si="18">W49-Y49</f>
        <v>403064.29607510299</v>
      </c>
      <c r="AA49" s="717"/>
      <c r="AB49" s="761"/>
    </row>
    <row r="50" spans="1:28">
      <c r="A50" s="671"/>
      <c r="B50" s="672"/>
      <c r="C50" s="699">
        <f t="shared" si="13"/>
        <v>35</v>
      </c>
      <c r="D50" s="785">
        <f>'Step Down EMI Calculator'!J47</f>
        <v>0</v>
      </c>
      <c r="E50" s="757">
        <f t="shared" si="14"/>
        <v>-1.9770218731509705E-8</v>
      </c>
      <c r="F50" s="757">
        <f t="shared" si="10"/>
        <v>-4.863210217002279E-10</v>
      </c>
      <c r="G50" s="757">
        <f t="shared" si="11"/>
        <v>4.863210217002279E-10</v>
      </c>
      <c r="H50" s="758">
        <f t="shared" si="15"/>
        <v>-2.0256539753209933E-8</v>
      </c>
      <c r="I50" s="672"/>
      <c r="J50" s="673"/>
      <c r="K50" s="662"/>
      <c r="L50" s="662"/>
      <c r="M50" s="713"/>
      <c r="N50" s="713"/>
      <c r="O50" s="713"/>
      <c r="P50" s="713"/>
      <c r="Q50" s="713"/>
      <c r="R50" s="713"/>
      <c r="S50" s="713"/>
      <c r="T50" s="714"/>
      <c r="U50" s="759">
        <v>35</v>
      </c>
      <c r="V50" s="757">
        <f>'Step Down EMI Calculator'!M47</f>
        <v>205065.7785481537</v>
      </c>
      <c r="W50" s="757">
        <f t="shared" si="16"/>
        <v>403064.29607510299</v>
      </c>
      <c r="X50" s="757">
        <f t="shared" si="12"/>
        <v>4702.4167875428875</v>
      </c>
      <c r="Y50" s="757">
        <f t="shared" si="17"/>
        <v>200363.3617606108</v>
      </c>
      <c r="Z50" s="758">
        <f t="shared" si="18"/>
        <v>202700.93431449219</v>
      </c>
      <c r="AA50" s="717"/>
      <c r="AB50" s="761"/>
    </row>
    <row r="51" spans="1:28">
      <c r="A51" s="671"/>
      <c r="B51" s="672"/>
      <c r="C51" s="709">
        <f t="shared" si="13"/>
        <v>36</v>
      </c>
      <c r="D51" s="786">
        <f>'Step Down EMI Calculator'!J48</f>
        <v>0</v>
      </c>
      <c r="E51" s="787">
        <f t="shared" si="14"/>
        <v>-2.0256539753209933E-8</v>
      </c>
      <c r="F51" s="787">
        <f t="shared" si="10"/>
        <v>-4.9828387043546255E-10</v>
      </c>
      <c r="G51" s="787">
        <f t="shared" si="11"/>
        <v>4.9828387043546255E-10</v>
      </c>
      <c r="H51" s="788">
        <f t="shared" si="15"/>
        <v>-2.0754823623645394E-8</v>
      </c>
      <c r="I51" s="672"/>
      <c r="J51" s="673"/>
      <c r="K51" s="662"/>
      <c r="L51" s="662"/>
      <c r="M51" s="713"/>
      <c r="N51" s="713"/>
      <c r="O51" s="713"/>
      <c r="P51" s="713"/>
      <c r="Q51" s="713"/>
      <c r="R51" s="713"/>
      <c r="S51" s="713"/>
      <c r="T51" s="714"/>
      <c r="U51" s="789">
        <v>36</v>
      </c>
      <c r="V51" s="787">
        <f>'Step Down EMI Calculator'!M48</f>
        <v>205065.7785481537</v>
      </c>
      <c r="W51" s="787">
        <f t="shared" si="16"/>
        <v>202700.93431449219</v>
      </c>
      <c r="X51" s="787">
        <f t="shared" si="12"/>
        <v>2364.844233669085</v>
      </c>
      <c r="Y51" s="787">
        <f t="shared" si="17"/>
        <v>202700.93431448462</v>
      </c>
      <c r="Z51" s="788">
        <f t="shared" si="18"/>
        <v>7.5669959187507629E-9</v>
      </c>
      <c r="AA51" s="717"/>
      <c r="AB51" s="761"/>
    </row>
    <row r="52" spans="1:28" hidden="1">
      <c r="A52" s="671"/>
      <c r="B52" s="672"/>
      <c r="C52" s="790">
        <f t="shared" si="13"/>
        <v>37</v>
      </c>
      <c r="D52" s="791" t="str">
        <f>'Step Down EMI Calculator'!J49</f>
        <v>0</v>
      </c>
      <c r="E52" s="791">
        <f t="shared" si="14"/>
        <v>-2.0754823623645394E-8</v>
      </c>
      <c r="F52" s="791">
        <f t="shared" si="10"/>
        <v>-5.1054098929984315E-10</v>
      </c>
      <c r="G52" s="791">
        <f t="shared" si="11"/>
        <v>5.1054098929984315E-10</v>
      </c>
      <c r="H52" s="791">
        <f t="shared" si="15"/>
        <v>-2.1265364612945237E-8</v>
      </c>
      <c r="I52" s="672"/>
      <c r="J52" s="673"/>
      <c r="K52" s="662"/>
      <c r="L52" s="662"/>
      <c r="M52" s="713"/>
      <c r="N52" s="713"/>
      <c r="O52" s="713"/>
      <c r="P52" s="713"/>
      <c r="Q52" s="713"/>
      <c r="R52" s="713"/>
      <c r="S52" s="713"/>
      <c r="T52" s="714"/>
      <c r="U52" s="792">
        <v>37</v>
      </c>
      <c r="V52" s="791">
        <f>'Step Down EMI Calculator'!M49</f>
        <v>0</v>
      </c>
      <c r="W52" s="791">
        <f t="shared" si="16"/>
        <v>7.5669959187507629E-9</v>
      </c>
      <c r="X52" s="791">
        <f t="shared" si="12"/>
        <v>8.8281619052092593E-11</v>
      </c>
      <c r="Y52" s="791">
        <f t="shared" si="17"/>
        <v>-8.8281619052092593E-11</v>
      </c>
      <c r="Z52" s="791">
        <f t="shared" si="18"/>
        <v>7.6552775378028559E-9</v>
      </c>
      <c r="AA52" s="717"/>
    </row>
    <row r="53" spans="1:28" hidden="1">
      <c r="A53" s="671"/>
      <c r="B53" s="672"/>
      <c r="C53" s="790">
        <f t="shared" si="13"/>
        <v>38</v>
      </c>
      <c r="D53" s="791" t="str">
        <f>'Step Down EMI Calculator'!J50</f>
        <v>0</v>
      </c>
      <c r="E53" s="791">
        <f t="shared" si="14"/>
        <v>-2.1265364612945237E-8</v>
      </c>
      <c r="F53" s="791">
        <f t="shared" si="10"/>
        <v>-5.2309961694620432E-10</v>
      </c>
      <c r="G53" s="791">
        <f t="shared" si="11"/>
        <v>5.2309961694620432E-10</v>
      </c>
      <c r="H53" s="791">
        <f t="shared" si="15"/>
        <v>-2.1788464229891441E-8</v>
      </c>
      <c r="I53" s="672"/>
      <c r="J53" s="673"/>
      <c r="K53" s="662"/>
      <c r="L53" s="662"/>
      <c r="M53" s="713"/>
      <c r="N53" s="713"/>
      <c r="O53" s="713"/>
      <c r="P53" s="713"/>
      <c r="Q53" s="713"/>
      <c r="R53" s="713"/>
      <c r="S53" s="713"/>
      <c r="T53" s="714"/>
      <c r="U53" s="792">
        <v>38</v>
      </c>
      <c r="V53" s="791">
        <f>'Step Down EMI Calculator'!M50</f>
        <v>0</v>
      </c>
      <c r="W53" s="791">
        <f t="shared" si="16"/>
        <v>7.6552775378028559E-9</v>
      </c>
      <c r="X53" s="791">
        <f t="shared" si="12"/>
        <v>8.9311571274367016E-11</v>
      </c>
      <c r="Y53" s="791">
        <f t="shared" si="17"/>
        <v>-8.9311571274367016E-11</v>
      </c>
      <c r="Z53" s="791">
        <f t="shared" si="18"/>
        <v>7.7445891090772225E-9</v>
      </c>
      <c r="AA53" s="717"/>
    </row>
    <row r="54" spans="1:28" hidden="1">
      <c r="A54" s="671"/>
      <c r="B54" s="672"/>
      <c r="C54" s="790">
        <f t="shared" si="13"/>
        <v>39</v>
      </c>
      <c r="D54" s="791" t="str">
        <f>'Step Down EMI Calculator'!J51</f>
        <v>0</v>
      </c>
      <c r="E54" s="791">
        <f t="shared" si="14"/>
        <v>-2.1788464229891441E-8</v>
      </c>
      <c r="F54" s="791">
        <f t="shared" si="10"/>
        <v>-5.3596717008858925E-10</v>
      </c>
      <c r="G54" s="791">
        <f t="shared" si="11"/>
        <v>5.3596717008858925E-10</v>
      </c>
      <c r="H54" s="791">
        <f t="shared" si="15"/>
        <v>-2.2324431399980029E-8</v>
      </c>
      <c r="I54" s="672"/>
      <c r="J54" s="673"/>
      <c r="K54" s="662"/>
      <c r="L54" s="662"/>
      <c r="M54" s="713"/>
      <c r="N54" s="713"/>
      <c r="O54" s="713"/>
      <c r="P54" s="713"/>
      <c r="Q54" s="713"/>
      <c r="R54" s="713"/>
      <c r="S54" s="713"/>
      <c r="T54" s="714"/>
      <c r="U54" s="792">
        <v>39</v>
      </c>
      <c r="V54" s="791">
        <f>'Step Down EMI Calculator'!M51</f>
        <v>0</v>
      </c>
      <c r="W54" s="791">
        <f t="shared" si="16"/>
        <v>7.7445891090772225E-9</v>
      </c>
      <c r="X54" s="791">
        <f t="shared" si="12"/>
        <v>9.0353539605901292E-11</v>
      </c>
      <c r="Y54" s="791">
        <f t="shared" si="17"/>
        <v>-9.0353539605901292E-11</v>
      </c>
      <c r="Z54" s="791">
        <f t="shared" si="18"/>
        <v>7.8349426486831246E-9</v>
      </c>
      <c r="AA54" s="717"/>
    </row>
    <row r="55" spans="1:28" hidden="1">
      <c r="A55" s="671"/>
      <c r="B55" s="672"/>
      <c r="C55" s="790">
        <f t="shared" si="13"/>
        <v>40</v>
      </c>
      <c r="D55" s="791" t="str">
        <f>'Step Down EMI Calculator'!J52</f>
        <v>0</v>
      </c>
      <c r="E55" s="791">
        <f t="shared" si="14"/>
        <v>-2.2324431399980029E-8</v>
      </c>
      <c r="F55" s="791">
        <f t="shared" si="10"/>
        <v>-5.4915124788231816E-10</v>
      </c>
      <c r="G55" s="791">
        <f t="shared" si="11"/>
        <v>5.4915124788231816E-10</v>
      </c>
      <c r="H55" s="791">
        <f t="shared" si="15"/>
        <v>-2.2873582647862347E-8</v>
      </c>
      <c r="I55" s="672"/>
      <c r="J55" s="673"/>
      <c r="K55" s="662"/>
      <c r="L55" s="662"/>
      <c r="M55" s="713"/>
      <c r="N55" s="713"/>
      <c r="O55" s="713"/>
      <c r="P55" s="713"/>
      <c r="Q55" s="713"/>
      <c r="R55" s="713"/>
      <c r="S55" s="713"/>
      <c r="T55" s="714"/>
      <c r="U55" s="792">
        <v>40</v>
      </c>
      <c r="V55" s="791">
        <f>'Step Down EMI Calculator'!M52</f>
        <v>0</v>
      </c>
      <c r="W55" s="791">
        <f t="shared" si="16"/>
        <v>7.8349426486831246E-9</v>
      </c>
      <c r="X55" s="791">
        <f t="shared" si="12"/>
        <v>9.1407664234636831E-11</v>
      </c>
      <c r="Y55" s="791">
        <f t="shared" si="17"/>
        <v>-9.1407664234636831E-11</v>
      </c>
      <c r="Z55" s="791">
        <f t="shared" si="18"/>
        <v>7.9263503129177621E-9</v>
      </c>
      <c r="AA55" s="717"/>
    </row>
    <row r="56" spans="1:28" hidden="1">
      <c r="A56" s="671"/>
      <c r="B56" s="672"/>
      <c r="C56" s="790">
        <f t="shared" si="13"/>
        <v>41</v>
      </c>
      <c r="D56" s="791" t="str">
        <f>'Step Down EMI Calculator'!J53</f>
        <v>0</v>
      </c>
      <c r="E56" s="791">
        <f t="shared" si="14"/>
        <v>-2.2873582647862347E-8</v>
      </c>
      <c r="F56" s="791">
        <f t="shared" si="10"/>
        <v>-5.6265963641180067E-10</v>
      </c>
      <c r="G56" s="791">
        <f t="shared" si="11"/>
        <v>5.6265963641180067E-10</v>
      </c>
      <c r="H56" s="791">
        <f t="shared" si="15"/>
        <v>-2.3436242284274147E-8</v>
      </c>
      <c r="I56" s="672"/>
      <c r="J56" s="673"/>
      <c r="K56" s="662"/>
      <c r="L56" s="662"/>
      <c r="M56" s="713"/>
      <c r="N56" s="713"/>
      <c r="O56" s="713"/>
      <c r="P56" s="713"/>
      <c r="Q56" s="713"/>
      <c r="R56" s="713"/>
      <c r="S56" s="713"/>
      <c r="T56" s="714"/>
      <c r="U56" s="792">
        <v>41</v>
      </c>
      <c r="V56" s="791">
        <f>'Step Down EMI Calculator'!M53</f>
        <v>0</v>
      </c>
      <c r="W56" s="791">
        <f t="shared" si="16"/>
        <v>7.9263503129177621E-9</v>
      </c>
      <c r="X56" s="791">
        <f t="shared" si="12"/>
        <v>9.2474086984040938E-11</v>
      </c>
      <c r="Y56" s="791">
        <f t="shared" si="17"/>
        <v>-9.2474086984040938E-11</v>
      </c>
      <c r="Z56" s="791">
        <f t="shared" si="18"/>
        <v>8.0188243999018029E-9</v>
      </c>
      <c r="AA56" s="717"/>
    </row>
    <row r="57" spans="1:28" hidden="1">
      <c r="A57" s="671"/>
      <c r="B57" s="672"/>
      <c r="C57" s="790">
        <f t="shared" si="13"/>
        <v>42</v>
      </c>
      <c r="D57" s="791" t="str">
        <f>'Step Down EMI Calculator'!J54</f>
        <v>0</v>
      </c>
      <c r="E57" s="791">
        <f t="shared" si="14"/>
        <v>-2.3436242284274147E-8</v>
      </c>
      <c r="F57" s="791">
        <f t="shared" si="10"/>
        <v>-5.7650031328874134E-10</v>
      </c>
      <c r="G57" s="791">
        <f t="shared" si="11"/>
        <v>5.7650031328874134E-10</v>
      </c>
      <c r="H57" s="791">
        <f t="shared" si="15"/>
        <v>-2.401274259756289E-8</v>
      </c>
      <c r="I57" s="672"/>
      <c r="J57" s="673"/>
      <c r="K57" s="662"/>
      <c r="L57" s="662"/>
      <c r="M57" s="713"/>
      <c r="N57" s="713"/>
      <c r="O57" s="713"/>
      <c r="P57" s="713"/>
      <c r="Q57" s="713"/>
      <c r="R57" s="713"/>
      <c r="S57" s="713"/>
      <c r="T57" s="714"/>
      <c r="U57" s="792">
        <v>42</v>
      </c>
      <c r="V57" s="791">
        <f>'Step Down EMI Calculator'!M54</f>
        <v>0</v>
      </c>
      <c r="W57" s="791">
        <f t="shared" si="16"/>
        <v>8.0188243999018029E-9</v>
      </c>
      <c r="X57" s="791">
        <f t="shared" si="12"/>
        <v>9.3552951332188076E-11</v>
      </c>
      <c r="Y57" s="791">
        <f t="shared" si="17"/>
        <v>-9.3552951332188076E-11</v>
      </c>
      <c r="Z57" s="791">
        <f t="shared" si="18"/>
        <v>8.1123773512339902E-9</v>
      </c>
      <c r="AA57" s="717"/>
    </row>
    <row r="58" spans="1:28" hidden="1">
      <c r="A58" s="671"/>
      <c r="B58" s="672"/>
      <c r="C58" s="790">
        <f t="shared" si="13"/>
        <v>43</v>
      </c>
      <c r="D58" s="791" t="str">
        <f>'Step Down EMI Calculator'!J55</f>
        <v>0</v>
      </c>
      <c r="E58" s="791">
        <f t="shared" si="14"/>
        <v>-2.401274259756289E-8</v>
      </c>
      <c r="F58" s="791">
        <f t="shared" si="10"/>
        <v>-5.9068145236345665E-10</v>
      </c>
      <c r="G58" s="791">
        <f t="shared" si="11"/>
        <v>5.9068145236345665E-10</v>
      </c>
      <c r="H58" s="791">
        <f t="shared" si="15"/>
        <v>-2.4603424049926347E-8</v>
      </c>
      <c r="I58" s="672"/>
      <c r="J58" s="673"/>
      <c r="K58" s="662"/>
      <c r="L58" s="662"/>
      <c r="M58" s="713"/>
      <c r="N58" s="713"/>
      <c r="O58" s="713"/>
      <c r="P58" s="713"/>
      <c r="Q58" s="713"/>
      <c r="R58" s="713"/>
      <c r="S58" s="713"/>
      <c r="T58" s="714"/>
      <c r="U58" s="792">
        <v>43</v>
      </c>
      <c r="V58" s="791">
        <f>'Step Down EMI Calculator'!M55</f>
        <v>0</v>
      </c>
      <c r="W58" s="791">
        <f t="shared" si="16"/>
        <v>8.1123773512339902E-9</v>
      </c>
      <c r="X58" s="791">
        <f t="shared" si="12"/>
        <v>9.4644402431063609E-11</v>
      </c>
      <c r="Y58" s="791">
        <f t="shared" si="17"/>
        <v>-9.4644402431063609E-11</v>
      </c>
      <c r="Z58" s="791">
        <f t="shared" si="18"/>
        <v>8.2070217536650534E-9</v>
      </c>
      <c r="AA58" s="717"/>
    </row>
    <row r="59" spans="1:28" hidden="1">
      <c r="A59" s="671"/>
      <c r="B59" s="672"/>
      <c r="C59" s="790">
        <f t="shared" si="13"/>
        <v>44</v>
      </c>
      <c r="D59" s="791" t="str">
        <f>'Step Down EMI Calculator'!J56</f>
        <v>0</v>
      </c>
      <c r="E59" s="791">
        <f t="shared" si="14"/>
        <v>-2.4603424049926347E-8</v>
      </c>
      <c r="F59" s="791">
        <f t="shared" si="10"/>
        <v>-6.0521142855208308E-10</v>
      </c>
      <c r="G59" s="791">
        <f t="shared" si="11"/>
        <v>6.0521142855208308E-10</v>
      </c>
      <c r="H59" s="791">
        <f t="shared" si="15"/>
        <v>-2.520863547847843E-8</v>
      </c>
      <c r="I59" s="672"/>
      <c r="J59" s="673"/>
      <c r="K59" s="662"/>
      <c r="L59" s="662"/>
      <c r="M59" s="713"/>
      <c r="N59" s="713"/>
      <c r="O59" s="713"/>
      <c r="P59" s="713"/>
      <c r="Q59" s="713"/>
      <c r="R59" s="713"/>
      <c r="S59" s="713"/>
      <c r="T59" s="714"/>
      <c r="U59" s="792">
        <v>44</v>
      </c>
      <c r="V59" s="791">
        <f>'Step Down EMI Calculator'!M56</f>
        <v>0</v>
      </c>
      <c r="W59" s="791">
        <f t="shared" si="16"/>
        <v>8.2070217536650534E-9</v>
      </c>
      <c r="X59" s="791">
        <f t="shared" si="12"/>
        <v>9.5748587126092683E-11</v>
      </c>
      <c r="Y59" s="791">
        <f t="shared" si="17"/>
        <v>-9.5748587126092683E-11</v>
      </c>
      <c r="Z59" s="791">
        <f t="shared" si="18"/>
        <v>8.3027703407911459E-9</v>
      </c>
      <c r="AA59" s="717"/>
    </row>
    <row r="60" spans="1:28" hidden="1">
      <c r="A60" s="671"/>
      <c r="B60" s="672"/>
      <c r="C60" s="790">
        <f t="shared" si="13"/>
        <v>45</v>
      </c>
      <c r="D60" s="791" t="str">
        <f>'Step Down EMI Calculator'!J57</f>
        <v>0</v>
      </c>
      <c r="E60" s="791">
        <f t="shared" si="14"/>
        <v>-2.520863547847843E-8</v>
      </c>
      <c r="F60" s="791">
        <f t="shared" si="10"/>
        <v>-6.2009882278252761E-10</v>
      </c>
      <c r="G60" s="791">
        <f t="shared" si="11"/>
        <v>6.2009882278252761E-10</v>
      </c>
      <c r="H60" s="791">
        <f t="shared" si="15"/>
        <v>-2.5828734301260956E-8</v>
      </c>
      <c r="I60" s="672"/>
      <c r="J60" s="673"/>
      <c r="K60" s="662"/>
      <c r="L60" s="662"/>
      <c r="M60" s="713"/>
      <c r="N60" s="713"/>
      <c r="O60" s="713"/>
      <c r="P60" s="713"/>
      <c r="Q60" s="713"/>
      <c r="R60" s="713"/>
      <c r="S60" s="713"/>
      <c r="T60" s="714"/>
      <c r="U60" s="792">
        <v>45</v>
      </c>
      <c r="V60" s="791">
        <f>'Step Down EMI Calculator'!M57</f>
        <v>0</v>
      </c>
      <c r="W60" s="791">
        <f t="shared" si="16"/>
        <v>8.3027703407911459E-9</v>
      </c>
      <c r="X60" s="791">
        <f t="shared" si="12"/>
        <v>9.686565397589709E-11</v>
      </c>
      <c r="Y60" s="791">
        <f t="shared" si="17"/>
        <v>-9.686565397589709E-11</v>
      </c>
      <c r="Z60" s="791">
        <f t="shared" si="18"/>
        <v>8.3996359947670426E-9</v>
      </c>
      <c r="AA60" s="717"/>
    </row>
    <row r="61" spans="1:28" hidden="1">
      <c r="A61" s="671"/>
      <c r="B61" s="672"/>
      <c r="C61" s="790">
        <f t="shared" si="13"/>
        <v>46</v>
      </c>
      <c r="D61" s="791" t="str">
        <f>'Step Down EMI Calculator'!J58</f>
        <v>0</v>
      </c>
      <c r="E61" s="791">
        <f t="shared" si="14"/>
        <v>-2.5828734301260956E-8</v>
      </c>
      <c r="F61" s="791">
        <f t="shared" si="10"/>
        <v>-6.3535242706208323E-10</v>
      </c>
      <c r="G61" s="791">
        <f t="shared" si="11"/>
        <v>6.3535242706208323E-10</v>
      </c>
      <c r="H61" s="791">
        <f t="shared" si="15"/>
        <v>-2.6464086728323039E-8</v>
      </c>
      <c r="I61" s="672"/>
      <c r="J61" s="673"/>
      <c r="K61" s="662"/>
      <c r="L61" s="662"/>
      <c r="M61" s="713"/>
      <c r="N61" s="713"/>
      <c r="O61" s="713"/>
      <c r="P61" s="713"/>
      <c r="Q61" s="713"/>
      <c r="R61" s="713"/>
      <c r="S61" s="713"/>
      <c r="T61" s="714"/>
      <c r="U61" s="792">
        <v>46</v>
      </c>
      <c r="V61" s="791">
        <f>'Step Down EMI Calculator'!M58</f>
        <v>0</v>
      </c>
      <c r="W61" s="791">
        <f t="shared" si="16"/>
        <v>8.3996359947670426E-9</v>
      </c>
      <c r="X61" s="791">
        <f t="shared" si="12"/>
        <v>9.7995753272282559E-11</v>
      </c>
      <c r="Y61" s="791">
        <f t="shared" si="17"/>
        <v>-9.7995753272282559E-11</v>
      </c>
      <c r="Z61" s="791">
        <f t="shared" si="18"/>
        <v>8.4976317480393258E-9</v>
      </c>
      <c r="AA61" s="717"/>
    </row>
    <row r="62" spans="1:28" hidden="1">
      <c r="A62" s="671"/>
      <c r="B62" s="672"/>
      <c r="C62" s="790">
        <f t="shared" si="13"/>
        <v>47</v>
      </c>
      <c r="D62" s="791" t="str">
        <f>'Step Down EMI Calculator'!J59</f>
        <v>0</v>
      </c>
      <c r="E62" s="791">
        <f t="shared" si="14"/>
        <v>-2.6464086728323039E-8</v>
      </c>
      <c r="F62" s="791">
        <f t="shared" si="10"/>
        <v>-6.5098124966970021E-10</v>
      </c>
      <c r="G62" s="791">
        <f t="shared" si="11"/>
        <v>6.5098124966970021E-10</v>
      </c>
      <c r="H62" s="791">
        <f t="shared" si="15"/>
        <v>-2.7115067977992737E-8</v>
      </c>
      <c r="I62" s="672"/>
      <c r="J62" s="673"/>
      <c r="K62" s="662"/>
      <c r="L62" s="662"/>
      <c r="M62" s="713"/>
      <c r="N62" s="713"/>
      <c r="O62" s="713"/>
      <c r="P62" s="713"/>
      <c r="Q62" s="713"/>
      <c r="R62" s="713"/>
      <c r="S62" s="713"/>
      <c r="T62" s="714"/>
      <c r="U62" s="792">
        <v>47</v>
      </c>
      <c r="V62" s="791">
        <f>'Step Down EMI Calculator'!M59</f>
        <v>0</v>
      </c>
      <c r="W62" s="791">
        <f t="shared" si="16"/>
        <v>8.4976317480393258E-9</v>
      </c>
      <c r="X62" s="791">
        <f t="shared" si="12"/>
        <v>9.9139037060459199E-11</v>
      </c>
      <c r="Y62" s="791">
        <f t="shared" si="17"/>
        <v>-9.9139037060459199E-11</v>
      </c>
      <c r="Z62" s="791">
        <f t="shared" si="18"/>
        <v>8.5967707850997844E-9</v>
      </c>
      <c r="AA62" s="717"/>
    </row>
    <row r="63" spans="1:28" hidden="1">
      <c r="A63" s="671"/>
      <c r="B63" s="672"/>
      <c r="C63" s="790">
        <f t="shared" si="13"/>
        <v>48</v>
      </c>
      <c r="D63" s="791" t="str">
        <f>'Step Down EMI Calculator'!J60</f>
        <v>0</v>
      </c>
      <c r="E63" s="791">
        <f t="shared" si="14"/>
        <v>-2.7115067977992737E-8</v>
      </c>
      <c r="F63" s="791">
        <f t="shared" si="10"/>
        <v>-6.6699452047598037E-10</v>
      </c>
      <c r="G63" s="791">
        <f t="shared" si="11"/>
        <v>6.6699452047598037E-10</v>
      </c>
      <c r="H63" s="791">
        <f t="shared" si="15"/>
        <v>-2.7782062498468719E-8</v>
      </c>
      <c r="I63" s="672"/>
      <c r="J63" s="673"/>
      <c r="K63" s="662"/>
      <c r="L63" s="662"/>
      <c r="M63" s="713"/>
      <c r="N63" s="713"/>
      <c r="O63" s="713"/>
      <c r="P63" s="713"/>
      <c r="Q63" s="713"/>
      <c r="R63" s="713"/>
      <c r="S63" s="713"/>
      <c r="T63" s="714"/>
      <c r="U63" s="792">
        <v>48</v>
      </c>
      <c r="V63" s="791">
        <f>'Step Down EMI Calculator'!M60</f>
        <v>0</v>
      </c>
      <c r="W63" s="791">
        <f t="shared" si="16"/>
        <v>8.5967707850997844E-9</v>
      </c>
      <c r="X63" s="791">
        <f t="shared" si="12"/>
        <v>1.002956591594979E-10</v>
      </c>
      <c r="Y63" s="791">
        <f t="shared" si="17"/>
        <v>-1.002956591594979E-10</v>
      </c>
      <c r="Z63" s="791">
        <f t="shared" si="18"/>
        <v>8.6970664442592827E-9</v>
      </c>
      <c r="AA63" s="717"/>
    </row>
    <row r="64" spans="1:28" hidden="1">
      <c r="A64" s="671"/>
      <c r="B64" s="672"/>
      <c r="C64" s="662">
        <f t="shared" si="13"/>
        <v>49</v>
      </c>
      <c r="D64" s="793" t="str">
        <f>'Step Down EMI Calculator'!J61</f>
        <v>0</v>
      </c>
      <c r="E64" s="793">
        <f t="shared" si="14"/>
        <v>-2.7782062498468719E-8</v>
      </c>
      <c r="F64" s="793">
        <f t="shared" si="10"/>
        <v>-6.8340169639403677E-10</v>
      </c>
      <c r="G64" s="793">
        <f t="shared" si="11"/>
        <v>6.8340169639403677E-10</v>
      </c>
      <c r="H64" s="793">
        <f t="shared" si="15"/>
        <v>-2.8465464194862755E-8</v>
      </c>
      <c r="I64" s="672"/>
      <c r="J64" s="673"/>
      <c r="K64" s="662"/>
      <c r="L64" s="662"/>
      <c r="M64" s="713"/>
      <c r="N64" s="713"/>
      <c r="O64" s="713"/>
      <c r="P64" s="713"/>
      <c r="Q64" s="713"/>
      <c r="R64" s="713"/>
      <c r="S64" s="713"/>
      <c r="T64" s="714"/>
      <c r="U64" s="792">
        <v>49</v>
      </c>
      <c r="V64" s="791">
        <f>'Step Down EMI Calculator'!M61</f>
        <v>0</v>
      </c>
      <c r="W64" s="791">
        <f t="shared" si="16"/>
        <v>8.6970664442592827E-9</v>
      </c>
      <c r="X64" s="791">
        <f t="shared" si="12"/>
        <v>1.0146577518302538E-10</v>
      </c>
      <c r="Y64" s="791">
        <f t="shared" si="17"/>
        <v>-1.0146577518302538E-10</v>
      </c>
      <c r="Z64" s="791">
        <f t="shared" si="18"/>
        <v>8.7985322194423076E-9</v>
      </c>
      <c r="AA64" s="717"/>
    </row>
    <row r="65" spans="1:27" hidden="1">
      <c r="A65" s="671"/>
      <c r="B65" s="672"/>
      <c r="C65" s="662">
        <f t="shared" si="13"/>
        <v>50</v>
      </c>
      <c r="D65" s="793" t="str">
        <f>'Step Down EMI Calculator'!J62</f>
        <v>0</v>
      </c>
      <c r="E65" s="793">
        <f t="shared" si="14"/>
        <v>-2.8465464194862755E-8</v>
      </c>
      <c r="F65" s="793">
        <f t="shared" si="10"/>
        <v>-7.002124669644358E-10</v>
      </c>
      <c r="G65" s="793">
        <f t="shared" si="11"/>
        <v>7.002124669644358E-10</v>
      </c>
      <c r="H65" s="793">
        <f t="shared" si="15"/>
        <v>-2.9165676661827189E-8</v>
      </c>
      <c r="I65" s="672"/>
      <c r="J65" s="673"/>
      <c r="K65" s="662"/>
      <c r="L65" s="662"/>
      <c r="M65" s="713"/>
      <c r="N65" s="713"/>
      <c r="O65" s="713"/>
      <c r="P65" s="713"/>
      <c r="Q65" s="713"/>
      <c r="R65" s="713"/>
      <c r="S65" s="713"/>
      <c r="T65" s="714"/>
      <c r="U65" s="792">
        <v>50</v>
      </c>
      <c r="V65" s="791">
        <f>'Step Down EMI Calculator'!M62</f>
        <v>0</v>
      </c>
      <c r="W65" s="791">
        <f t="shared" si="16"/>
        <v>8.7985322194423076E-9</v>
      </c>
      <c r="X65" s="791">
        <f t="shared" si="12"/>
        <v>1.0264954256016067E-10</v>
      </c>
      <c r="Y65" s="791">
        <f t="shared" si="17"/>
        <v>-1.0264954256016067E-10</v>
      </c>
      <c r="Z65" s="791">
        <f t="shared" si="18"/>
        <v>8.9011817620024691E-9</v>
      </c>
      <c r="AA65" s="717"/>
    </row>
    <row r="66" spans="1:27" hidden="1">
      <c r="A66" s="671"/>
      <c r="B66" s="672"/>
      <c r="C66" s="662">
        <f t="shared" si="13"/>
        <v>51</v>
      </c>
      <c r="D66" s="793" t="str">
        <f>'Step Down EMI Calculator'!J63</f>
        <v>0</v>
      </c>
      <c r="E66" s="793">
        <f t="shared" si="14"/>
        <v>-2.9165676661827189E-8</v>
      </c>
      <c r="F66" s="793">
        <f t="shared" si="10"/>
        <v>-7.1743676007752367E-10</v>
      </c>
      <c r="G66" s="793">
        <f t="shared" si="11"/>
        <v>7.1743676007752367E-10</v>
      </c>
      <c r="H66" s="793">
        <f t="shared" si="15"/>
        <v>-2.9883113421904712E-8</v>
      </c>
      <c r="I66" s="672"/>
      <c r="J66" s="673"/>
      <c r="K66" s="662"/>
      <c r="L66" s="662"/>
      <c r="M66" s="713"/>
      <c r="N66" s="713"/>
      <c r="O66" s="713"/>
      <c r="P66" s="713"/>
      <c r="Q66" s="713"/>
      <c r="R66" s="713"/>
      <c r="S66" s="713"/>
      <c r="T66" s="714"/>
      <c r="U66" s="792">
        <v>51</v>
      </c>
      <c r="V66" s="791">
        <f>'Step Down EMI Calculator'!M63</f>
        <v>0</v>
      </c>
      <c r="W66" s="791">
        <f t="shared" si="16"/>
        <v>8.9011817620024691E-9</v>
      </c>
      <c r="X66" s="791">
        <f t="shared" si="12"/>
        <v>1.038471205566959E-10</v>
      </c>
      <c r="Y66" s="791">
        <f t="shared" si="17"/>
        <v>-1.038471205566959E-10</v>
      </c>
      <c r="Z66" s="791">
        <f t="shared" si="18"/>
        <v>9.0050288825591643E-9</v>
      </c>
      <c r="AA66" s="717"/>
    </row>
    <row r="67" spans="1:27" hidden="1">
      <c r="A67" s="671"/>
      <c r="B67" s="672"/>
      <c r="C67" s="662">
        <f t="shared" si="13"/>
        <v>52</v>
      </c>
      <c r="D67" s="793" t="str">
        <f>'Step Down EMI Calculator'!J64</f>
        <v>0</v>
      </c>
      <c r="E67" s="793">
        <f t="shared" si="14"/>
        <v>-2.9883113421904712E-8</v>
      </c>
      <c r="F67" s="793">
        <f t="shared" si="10"/>
        <v>-7.3508474783651177E-10</v>
      </c>
      <c r="G67" s="793">
        <f t="shared" si="11"/>
        <v>7.3508474783651177E-10</v>
      </c>
      <c r="H67" s="793">
        <f t="shared" si="15"/>
        <v>-3.0618198169741227E-8</v>
      </c>
      <c r="I67" s="672"/>
      <c r="J67" s="673"/>
      <c r="K67" s="662"/>
      <c r="L67" s="662"/>
      <c r="M67" s="713"/>
      <c r="N67" s="713"/>
      <c r="O67" s="713"/>
      <c r="P67" s="713"/>
      <c r="Q67" s="713"/>
      <c r="R67" s="713"/>
      <c r="S67" s="713"/>
      <c r="T67" s="714"/>
      <c r="U67" s="792">
        <v>52</v>
      </c>
      <c r="V67" s="791">
        <f>'Step Down EMI Calculator'!M64</f>
        <v>0</v>
      </c>
      <c r="W67" s="791">
        <f t="shared" si="16"/>
        <v>9.0050288825591643E-9</v>
      </c>
      <c r="X67" s="791">
        <f t="shared" si="12"/>
        <v>1.0505867029652401E-10</v>
      </c>
      <c r="Y67" s="791">
        <f t="shared" si="17"/>
        <v>-1.0505867029652401E-10</v>
      </c>
      <c r="Z67" s="791">
        <f t="shared" si="18"/>
        <v>9.110087552855688E-9</v>
      </c>
      <c r="AA67" s="717"/>
    </row>
    <row r="68" spans="1:27" hidden="1">
      <c r="A68" s="671"/>
      <c r="B68" s="672"/>
      <c r="C68" s="662">
        <f t="shared" si="13"/>
        <v>53</v>
      </c>
      <c r="D68" s="793" t="str">
        <f>'Step Down EMI Calculator'!J65</f>
        <v>0</v>
      </c>
      <c r="E68" s="793">
        <f t="shared" si="14"/>
        <v>-3.0618198169741227E-8</v>
      </c>
      <c r="F68" s="793">
        <f t="shared" si="10"/>
        <v>-7.5316685256478901E-10</v>
      </c>
      <c r="G68" s="793">
        <f t="shared" si="11"/>
        <v>7.5316685256478901E-10</v>
      </c>
      <c r="H68" s="793">
        <f t="shared" si="15"/>
        <v>-3.1371365022306014E-8</v>
      </c>
      <c r="I68" s="672"/>
      <c r="J68" s="673"/>
      <c r="K68" s="662"/>
      <c r="L68" s="662"/>
      <c r="M68" s="713"/>
      <c r="N68" s="713"/>
      <c r="O68" s="713"/>
      <c r="P68" s="713"/>
      <c r="Q68" s="713"/>
      <c r="R68" s="713"/>
      <c r="S68" s="713"/>
      <c r="T68" s="714"/>
      <c r="U68" s="792">
        <v>53</v>
      </c>
      <c r="V68" s="791">
        <f>'Step Down EMI Calculator'!M65</f>
        <v>0</v>
      </c>
      <c r="W68" s="791">
        <f t="shared" si="16"/>
        <v>9.110087552855688E-9</v>
      </c>
      <c r="X68" s="791">
        <f t="shared" si="12"/>
        <v>1.0628435478331679E-10</v>
      </c>
      <c r="Y68" s="791">
        <f t="shared" si="17"/>
        <v>-1.0628435478331679E-10</v>
      </c>
      <c r="Z68" s="791">
        <f t="shared" si="18"/>
        <v>9.2163719076390054E-9</v>
      </c>
      <c r="AA68" s="717"/>
    </row>
    <row r="69" spans="1:27" hidden="1">
      <c r="A69" s="671"/>
      <c r="B69" s="672"/>
      <c r="C69" s="662">
        <f t="shared" si="13"/>
        <v>54</v>
      </c>
      <c r="D69" s="793" t="str">
        <f>'Step Down EMI Calculator'!J66</f>
        <v>0</v>
      </c>
      <c r="E69" s="793">
        <f t="shared" si="14"/>
        <v>-3.1371365022306014E-8</v>
      </c>
      <c r="F69" s="793">
        <f t="shared" si="10"/>
        <v>-7.7169375296100354E-10</v>
      </c>
      <c r="G69" s="793">
        <f t="shared" si="11"/>
        <v>7.7169375296100354E-10</v>
      </c>
      <c r="H69" s="793">
        <f t="shared" si="15"/>
        <v>-3.2143058775267019E-8</v>
      </c>
      <c r="I69" s="672"/>
      <c r="J69" s="673"/>
      <c r="K69" s="662"/>
      <c r="L69" s="662"/>
      <c r="M69" s="713"/>
      <c r="N69" s="713"/>
      <c r="O69" s="713"/>
      <c r="P69" s="713"/>
      <c r="Q69" s="713"/>
      <c r="R69" s="713"/>
      <c r="S69" s="713"/>
      <c r="T69" s="714"/>
      <c r="U69" s="792">
        <v>54</v>
      </c>
      <c r="V69" s="791">
        <f>'Step Down EMI Calculator'!M66</f>
        <v>0</v>
      </c>
      <c r="W69" s="791">
        <f t="shared" si="16"/>
        <v>9.2163719076390054E-9</v>
      </c>
      <c r="X69" s="791">
        <f t="shared" si="12"/>
        <v>1.075243389224555E-10</v>
      </c>
      <c r="Y69" s="791">
        <f t="shared" si="17"/>
        <v>-1.075243389224555E-10</v>
      </c>
      <c r="Z69" s="791">
        <f t="shared" si="18"/>
        <v>9.3238962465614603E-9</v>
      </c>
      <c r="AA69" s="717"/>
    </row>
    <row r="70" spans="1:27" hidden="1">
      <c r="A70" s="671"/>
      <c r="B70" s="672"/>
      <c r="C70" s="662">
        <f t="shared" si="13"/>
        <v>55</v>
      </c>
      <c r="D70" s="793" t="str">
        <f>'Step Down EMI Calculator'!J67</f>
        <v>0</v>
      </c>
      <c r="E70" s="793">
        <f t="shared" si="14"/>
        <v>-3.2143058775267019E-8</v>
      </c>
      <c r="F70" s="793">
        <f t="shared" si="10"/>
        <v>-7.9067639040555244E-10</v>
      </c>
      <c r="G70" s="793">
        <f t="shared" si="11"/>
        <v>7.9067639040555244E-10</v>
      </c>
      <c r="H70" s="793">
        <f t="shared" si="15"/>
        <v>-3.2933735165672571E-8</v>
      </c>
      <c r="I70" s="672"/>
      <c r="J70" s="673"/>
      <c r="K70" s="662"/>
      <c r="L70" s="662"/>
      <c r="M70" s="713"/>
      <c r="N70" s="713"/>
      <c r="O70" s="713"/>
      <c r="P70" s="713"/>
      <c r="Q70" s="713"/>
      <c r="R70" s="713"/>
      <c r="S70" s="713"/>
      <c r="T70" s="714"/>
      <c r="U70" s="792">
        <v>55</v>
      </c>
      <c r="V70" s="791">
        <f>'Step Down EMI Calculator'!M67</f>
        <v>0</v>
      </c>
      <c r="W70" s="791">
        <f t="shared" si="16"/>
        <v>9.3238962465614603E-9</v>
      </c>
      <c r="X70" s="791">
        <f t="shared" si="12"/>
        <v>1.0877878954321747E-10</v>
      </c>
      <c r="Y70" s="791">
        <f t="shared" si="17"/>
        <v>-1.0877878954321747E-10</v>
      </c>
      <c r="Z70" s="791">
        <f t="shared" si="18"/>
        <v>9.4326750361046783E-9</v>
      </c>
      <c r="AA70" s="717"/>
    </row>
    <row r="71" spans="1:27" hidden="1">
      <c r="A71" s="671"/>
      <c r="B71" s="672"/>
      <c r="C71" s="662">
        <f t="shared" si="13"/>
        <v>56</v>
      </c>
      <c r="D71" s="793" t="str">
        <f>'Step Down EMI Calculator'!J68</f>
        <v>0</v>
      </c>
      <c r="E71" s="793">
        <f t="shared" si="14"/>
        <v>-3.2933735165672571E-8</v>
      </c>
      <c r="F71" s="793">
        <f t="shared" si="10"/>
        <v>-8.1012597542220294E-10</v>
      </c>
      <c r="G71" s="793">
        <f t="shared" si="11"/>
        <v>8.1012597542220294E-10</v>
      </c>
      <c r="H71" s="793">
        <f t="shared" si="15"/>
        <v>-3.3743861141094771E-8</v>
      </c>
      <c r="I71" s="672"/>
      <c r="J71" s="673"/>
      <c r="K71" s="662"/>
      <c r="L71" s="662"/>
      <c r="M71" s="713"/>
      <c r="N71" s="713"/>
      <c r="O71" s="713"/>
      <c r="P71" s="713"/>
      <c r="Q71" s="713"/>
      <c r="R71" s="713"/>
      <c r="S71" s="713"/>
      <c r="T71" s="714"/>
      <c r="U71" s="792">
        <v>56</v>
      </c>
      <c r="V71" s="791">
        <f>'Step Down EMI Calculator'!M68</f>
        <v>0</v>
      </c>
      <c r="W71" s="791">
        <f t="shared" si="16"/>
        <v>9.4326750361046783E-9</v>
      </c>
      <c r="X71" s="791">
        <f t="shared" si="12"/>
        <v>1.100478754212217E-10</v>
      </c>
      <c r="Y71" s="791">
        <f t="shared" si="17"/>
        <v>-1.100478754212217E-10</v>
      </c>
      <c r="Z71" s="791">
        <f t="shared" si="18"/>
        <v>9.5427229115259007E-9</v>
      </c>
      <c r="AA71" s="717"/>
    </row>
    <row r="72" spans="1:27" hidden="1">
      <c r="A72" s="671"/>
      <c r="B72" s="672"/>
      <c r="C72" s="662">
        <f t="shared" si="13"/>
        <v>57</v>
      </c>
      <c r="D72" s="793" t="str">
        <f>'Step Down EMI Calculator'!J69</f>
        <v>0</v>
      </c>
      <c r="E72" s="793">
        <f t="shared" si="14"/>
        <v>-3.3743861141094771E-8</v>
      </c>
      <c r="F72" s="793">
        <f t="shared" si="10"/>
        <v>-8.300539942986605E-10</v>
      </c>
      <c r="G72" s="793">
        <f t="shared" si="11"/>
        <v>8.300539942986605E-10</v>
      </c>
      <c r="H72" s="793">
        <f t="shared" si="15"/>
        <v>-3.4573915135393431E-8</v>
      </c>
      <c r="I72" s="672"/>
      <c r="J72" s="673"/>
      <c r="K72" s="662"/>
      <c r="L72" s="662"/>
      <c r="M72" s="713"/>
      <c r="N72" s="713"/>
      <c r="O72" s="713"/>
      <c r="P72" s="713"/>
      <c r="Q72" s="713"/>
      <c r="R72" s="713"/>
      <c r="S72" s="713"/>
      <c r="T72" s="714"/>
      <c r="U72" s="792">
        <v>57</v>
      </c>
      <c r="V72" s="791">
        <f>'Step Down EMI Calculator'!M69</f>
        <v>0</v>
      </c>
      <c r="W72" s="791">
        <f t="shared" si="16"/>
        <v>9.5427229115259007E-9</v>
      </c>
      <c r="X72" s="791">
        <f t="shared" si="12"/>
        <v>1.1133176730113597E-10</v>
      </c>
      <c r="Y72" s="791">
        <f t="shared" si="17"/>
        <v>-1.1133176730113597E-10</v>
      </c>
      <c r="Z72" s="791">
        <f t="shared" si="18"/>
        <v>9.6540546788270359E-9</v>
      </c>
      <c r="AA72" s="717"/>
    </row>
    <row r="73" spans="1:27" hidden="1">
      <c r="A73" s="671"/>
      <c r="B73" s="672"/>
      <c r="C73" s="662">
        <f t="shared" si="13"/>
        <v>58</v>
      </c>
      <c r="D73" s="793" t="str">
        <f>'Step Down EMI Calculator'!J70</f>
        <v>0</v>
      </c>
      <c r="E73" s="793">
        <f t="shared" si="14"/>
        <v>-3.4573915135393431E-8</v>
      </c>
      <c r="F73" s="793">
        <f t="shared" si="10"/>
        <v>-8.5047221586999331E-10</v>
      </c>
      <c r="G73" s="793">
        <f t="shared" si="11"/>
        <v>8.5047221586999331E-10</v>
      </c>
      <c r="H73" s="793">
        <f t="shared" si="15"/>
        <v>-3.5424387351263426E-8</v>
      </c>
      <c r="I73" s="672"/>
      <c r="J73" s="673"/>
      <c r="K73" s="662"/>
      <c r="L73" s="662"/>
      <c r="M73" s="713"/>
      <c r="N73" s="713"/>
      <c r="O73" s="713"/>
      <c r="P73" s="713"/>
      <c r="Q73" s="713"/>
      <c r="R73" s="713"/>
      <c r="S73" s="713"/>
      <c r="T73" s="714"/>
      <c r="U73" s="792">
        <v>58</v>
      </c>
      <c r="V73" s="791">
        <f>'Step Down EMI Calculator'!M70</f>
        <v>0</v>
      </c>
      <c r="W73" s="791">
        <f t="shared" si="16"/>
        <v>9.6540546788270359E-9</v>
      </c>
      <c r="X73" s="791">
        <f t="shared" si="12"/>
        <v>1.1263063791964921E-10</v>
      </c>
      <c r="Y73" s="791">
        <f t="shared" si="17"/>
        <v>-1.1263063791964921E-10</v>
      </c>
      <c r="Z73" s="791">
        <f t="shared" si="18"/>
        <v>9.7666853167466847E-9</v>
      </c>
      <c r="AA73" s="717"/>
    </row>
    <row r="74" spans="1:27" hidden="1">
      <c r="A74" s="671"/>
      <c r="B74" s="672"/>
      <c r="C74" s="662">
        <f t="shared" si="13"/>
        <v>59</v>
      </c>
      <c r="D74" s="793" t="str">
        <f>'Step Down EMI Calculator'!J71</f>
        <v>0</v>
      </c>
      <c r="E74" s="793">
        <f t="shared" si="14"/>
        <v>-3.5424387351263426E-8</v>
      </c>
      <c r="F74" s="793">
        <f t="shared" si="10"/>
        <v>-8.7139269846892152E-10</v>
      </c>
      <c r="G74" s="793">
        <f t="shared" si="11"/>
        <v>8.7139269846892152E-10</v>
      </c>
      <c r="H74" s="793">
        <f t="shared" si="15"/>
        <v>-3.6295780049732347E-8</v>
      </c>
      <c r="I74" s="672"/>
      <c r="J74" s="673"/>
      <c r="K74" s="662"/>
      <c r="L74" s="662"/>
      <c r="M74" s="713"/>
      <c r="N74" s="713"/>
      <c r="O74" s="713"/>
      <c r="P74" s="713"/>
      <c r="Q74" s="713"/>
      <c r="R74" s="713"/>
      <c r="S74" s="713"/>
      <c r="T74" s="714"/>
      <c r="U74" s="792">
        <v>59</v>
      </c>
      <c r="V74" s="791">
        <f>'Step Down EMI Calculator'!M71</f>
        <v>0</v>
      </c>
      <c r="W74" s="791">
        <f t="shared" si="16"/>
        <v>9.7666853167466847E-9</v>
      </c>
      <c r="X74" s="791">
        <f t="shared" si="12"/>
        <v>1.1394466202871179E-10</v>
      </c>
      <c r="Y74" s="791">
        <f t="shared" si="17"/>
        <v>-1.1394466202871179E-10</v>
      </c>
      <c r="Z74" s="791">
        <f t="shared" si="18"/>
        <v>9.8806299787753963E-9</v>
      </c>
      <c r="AA74" s="717"/>
    </row>
    <row r="75" spans="1:27" hidden="1">
      <c r="A75" s="671"/>
      <c r="B75" s="672"/>
      <c r="C75" s="662">
        <f t="shared" si="13"/>
        <v>60</v>
      </c>
      <c r="D75" s="793" t="str">
        <f>'Step Down EMI Calculator'!J72</f>
        <v>0</v>
      </c>
      <c r="E75" s="793">
        <f t="shared" si="14"/>
        <v>-3.6295780049732347E-8</v>
      </c>
      <c r="F75" s="793">
        <f t="shared" si="10"/>
        <v>-8.9282779704707288E-10</v>
      </c>
      <c r="G75" s="793">
        <f t="shared" si="11"/>
        <v>8.9282779704707288E-10</v>
      </c>
      <c r="H75" s="793">
        <f t="shared" si="15"/>
        <v>-3.718860784677942E-8</v>
      </c>
      <c r="I75" s="672"/>
      <c r="J75" s="673"/>
      <c r="K75" s="662"/>
      <c r="L75" s="662"/>
      <c r="M75" s="713"/>
      <c r="N75" s="713"/>
      <c r="O75" s="713"/>
      <c r="P75" s="713"/>
      <c r="Q75" s="713"/>
      <c r="R75" s="713"/>
      <c r="S75" s="713"/>
      <c r="T75" s="714"/>
      <c r="U75" s="792">
        <v>60</v>
      </c>
      <c r="V75" s="791">
        <f>'Step Down EMI Calculator'!M72</f>
        <v>0</v>
      </c>
      <c r="W75" s="791">
        <f t="shared" si="16"/>
        <v>9.8806299787753963E-9</v>
      </c>
      <c r="X75" s="791">
        <f t="shared" si="12"/>
        <v>1.1527401641904676E-10</v>
      </c>
      <c r="Y75" s="791">
        <f t="shared" si="17"/>
        <v>-1.1527401641904676E-10</v>
      </c>
      <c r="Z75" s="791">
        <f t="shared" si="18"/>
        <v>9.9959039951944428E-9</v>
      </c>
      <c r="AA75" s="717"/>
    </row>
    <row r="76" spans="1:27" hidden="1">
      <c r="A76" s="794"/>
      <c r="B76" s="795"/>
      <c r="C76" s="795"/>
      <c r="D76" s="795"/>
      <c r="E76" s="795"/>
      <c r="F76" s="795"/>
      <c r="G76" s="795"/>
      <c r="H76" s="795"/>
      <c r="I76" s="795"/>
      <c r="J76" s="796"/>
      <c r="K76" s="662"/>
      <c r="L76" s="662"/>
      <c r="M76" s="713"/>
      <c r="N76" s="713"/>
      <c r="O76" s="713"/>
      <c r="P76" s="713"/>
      <c r="Q76" s="713"/>
      <c r="R76" s="713"/>
      <c r="S76" s="713"/>
      <c r="T76" s="797"/>
      <c r="U76" s="798"/>
      <c r="V76" s="798"/>
      <c r="W76" s="798"/>
      <c r="X76" s="798"/>
      <c r="Y76" s="798"/>
      <c r="Z76" s="798"/>
      <c r="AA76" s="799"/>
    </row>
  </sheetData>
  <sheetProtection password="857C" sheet="1" objects="1" scenarios="1"/>
  <mergeCells count="25">
    <mergeCell ref="A1:J1"/>
    <mergeCell ref="T1:AA1"/>
    <mergeCell ref="V3:W3"/>
    <mergeCell ref="X3:Y3"/>
    <mergeCell ref="V4:Y4"/>
    <mergeCell ref="B5:C5"/>
    <mergeCell ref="V5:W5"/>
    <mergeCell ref="X5:Y5"/>
    <mergeCell ref="B6:C6"/>
    <mergeCell ref="V6:W6"/>
    <mergeCell ref="X6:Y6"/>
    <mergeCell ref="C12:H12"/>
    <mergeCell ref="U12:Z12"/>
    <mergeCell ref="B7:C7"/>
    <mergeCell ref="V7:W7"/>
    <mergeCell ref="X7:Y7"/>
    <mergeCell ref="B8:C8"/>
    <mergeCell ref="V8:W8"/>
    <mergeCell ref="X8:Y8"/>
    <mergeCell ref="O31:P31"/>
    <mergeCell ref="O32:P32"/>
    <mergeCell ref="V9:W9"/>
    <mergeCell ref="X9:Y9"/>
    <mergeCell ref="V10:W10"/>
    <mergeCell ref="X10:Y10"/>
  </mergeCells>
  <conditionalFormatting sqref="V16:V51">
    <cfRule type="expression" dxfId="15" priority="2">
      <formula>U16&gt;$X$7</formula>
    </cfRule>
  </conditionalFormatting>
  <conditionalFormatting sqref="D17:D51">
    <cfRule type="expression" dxfId="14" priority="3">
      <formula>C17&gt;$D$6</formula>
    </cfRule>
  </conditionalFormatting>
  <conditionalFormatting sqref="E17:E51">
    <cfRule type="expression" dxfId="13" priority="4">
      <formula>C17&gt;$D$6</formula>
    </cfRule>
  </conditionalFormatting>
  <conditionalFormatting sqref="F17:F51">
    <cfRule type="expression" dxfId="12" priority="5">
      <formula>C17&gt;$D$6</formula>
    </cfRule>
  </conditionalFormatting>
  <conditionalFormatting sqref="G17:G51">
    <cfRule type="expression" dxfId="11" priority="6">
      <formula>C17&gt;$D$6</formula>
    </cfRule>
  </conditionalFormatting>
  <conditionalFormatting sqref="H17:H51">
    <cfRule type="expression" dxfId="10" priority="7">
      <formula>C17&gt;$D$6</formula>
    </cfRule>
  </conditionalFormatting>
  <conditionalFormatting sqref="W16:W51">
    <cfRule type="expression" dxfId="9" priority="8">
      <formula>U16&gt;$X$7</formula>
    </cfRule>
  </conditionalFormatting>
  <conditionalFormatting sqref="X16:X51">
    <cfRule type="expression" dxfId="8" priority="9">
      <formula>U16&gt;$X$7</formula>
    </cfRule>
  </conditionalFormatting>
  <conditionalFormatting sqref="Y16:Y51">
    <cfRule type="expression" dxfId="7" priority="10">
      <formula>U16&gt;$X$7</formula>
    </cfRule>
  </conditionalFormatting>
  <conditionalFormatting sqref="Z16:Z51">
    <cfRule type="expression" dxfId="6" priority="11">
      <formula>U16&gt;$X$7</formula>
    </cfRule>
  </conditionalFormatting>
  <conditionalFormatting sqref="F8:F10">
    <cfRule type="expression" dxfId="5" priority="12">
      <formula>G8=0</formula>
    </cfRule>
  </conditionalFormatting>
  <conditionalFormatting sqref="I8:I10">
    <cfRule type="cellIs" dxfId="4" priority="13" operator="equal">
      <formula>0</formula>
    </cfRule>
    <cfRule type="cellIs" dxfId="3" priority="14" operator="greaterThan">
      <formula>0</formula>
    </cfRule>
  </conditionalFormatting>
  <conditionalFormatting sqref="H5:H10 G8:G10">
    <cfRule type="cellIs" dxfId="2" priority="15" operator="equal">
      <formula>0</formula>
    </cfRule>
  </conditionalFormatting>
  <conditionalFormatting sqref="C16:C51 U16:U51">
    <cfRule type="cellIs" dxfId="1" priority="16" operator="greaterThan">
      <formula>$X$7</formula>
    </cfRule>
  </conditionalFormatting>
  <conditionalFormatting sqref="D16:H16">
    <cfRule type="expression" dxfId="0" priority="17">
      <formula>$C$16&gt;$D$6</formula>
    </cfRule>
  </conditionalFormatting>
  <printOptions horizontalCentered="1"/>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showGridLines="0" zoomScaleNormal="100" workbookViewId="0">
      <selection activeCell="D1" sqref="D1"/>
    </sheetView>
  </sheetViews>
  <sheetFormatPr defaultRowHeight="15"/>
  <cols>
    <col min="1" max="1" width="5.7109375" style="31" customWidth="1"/>
    <col min="2" max="2" width="21.7109375" style="800" customWidth="1"/>
    <col min="3" max="3" width="82.5703125" style="800" customWidth="1"/>
    <col min="4" max="4" width="30.28515625" style="801" customWidth="1"/>
    <col min="5" max="5" width="11.5703125" style="800" customWidth="1"/>
    <col min="6" max="1023" width="9" style="800" customWidth="1"/>
    <col min="1024" max="1025" width="9.140625" style="800" customWidth="1"/>
  </cols>
  <sheetData>
    <row r="1" spans="1:5">
      <c r="A1" s="802" t="s">
        <v>162</v>
      </c>
      <c r="B1" s="803" t="s">
        <v>663</v>
      </c>
      <c r="C1" s="803" t="s">
        <v>664</v>
      </c>
      <c r="D1" s="802" t="s">
        <v>665</v>
      </c>
      <c r="E1" s="803" t="s">
        <v>666</v>
      </c>
    </row>
    <row r="2" spans="1:5">
      <c r="A2" s="804">
        <v>1</v>
      </c>
      <c r="B2" s="805" t="s">
        <v>667</v>
      </c>
      <c r="C2" s="805" t="s">
        <v>668</v>
      </c>
      <c r="D2" s="804" t="s">
        <v>669</v>
      </c>
      <c r="E2" s="157" t="s">
        <v>104</v>
      </c>
    </row>
    <row r="3" spans="1:5">
      <c r="A3" s="804">
        <f t="shared" ref="A3:A30" si="0">A2+1</f>
        <v>2</v>
      </c>
      <c r="B3" s="805" t="s">
        <v>670</v>
      </c>
      <c r="C3" s="805" t="s">
        <v>671</v>
      </c>
      <c r="D3" s="804" t="s">
        <v>672</v>
      </c>
      <c r="E3" s="157" t="s">
        <v>104</v>
      </c>
    </row>
    <row r="4" spans="1:5">
      <c r="A4" s="804">
        <f t="shared" si="0"/>
        <v>3</v>
      </c>
      <c r="B4" s="805" t="s">
        <v>673</v>
      </c>
      <c r="C4" s="805" t="s">
        <v>674</v>
      </c>
      <c r="D4" s="804" t="s">
        <v>672</v>
      </c>
      <c r="E4" s="157" t="s">
        <v>104</v>
      </c>
    </row>
    <row r="5" spans="1:5">
      <c r="A5" s="804">
        <f t="shared" si="0"/>
        <v>4</v>
      </c>
      <c r="B5" s="805" t="s">
        <v>675</v>
      </c>
      <c r="C5" s="805" t="s">
        <v>676</v>
      </c>
      <c r="D5" s="804" t="s">
        <v>677</v>
      </c>
      <c r="E5" s="157" t="s">
        <v>104</v>
      </c>
    </row>
    <row r="6" spans="1:5" ht="15" customHeight="1">
      <c r="A6" s="804">
        <f t="shared" si="0"/>
        <v>5</v>
      </c>
      <c r="B6" s="960" t="s">
        <v>678</v>
      </c>
      <c r="C6" s="806" t="s">
        <v>679</v>
      </c>
      <c r="D6" s="807" t="s">
        <v>677</v>
      </c>
      <c r="E6" s="806" t="s">
        <v>104</v>
      </c>
    </row>
    <row r="7" spans="1:5">
      <c r="A7" s="804">
        <f t="shared" si="0"/>
        <v>6</v>
      </c>
      <c r="B7" s="960"/>
      <c r="C7" s="808" t="s">
        <v>680</v>
      </c>
      <c r="D7" s="807" t="s">
        <v>672</v>
      </c>
      <c r="E7" s="806" t="s">
        <v>104</v>
      </c>
    </row>
    <row r="8" spans="1:5">
      <c r="A8" s="804">
        <f t="shared" si="0"/>
        <v>7</v>
      </c>
      <c r="B8" s="960"/>
      <c r="C8" s="806" t="s">
        <v>681</v>
      </c>
      <c r="D8" s="807" t="s">
        <v>682</v>
      </c>
      <c r="E8" s="806" t="s">
        <v>48</v>
      </c>
    </row>
    <row r="9" spans="1:5">
      <c r="A9" s="804">
        <f t="shared" si="0"/>
        <v>8</v>
      </c>
      <c r="B9" s="960"/>
      <c r="C9" s="806" t="s">
        <v>683</v>
      </c>
      <c r="D9" s="807" t="s">
        <v>682</v>
      </c>
      <c r="E9" s="806" t="s">
        <v>48</v>
      </c>
    </row>
    <row r="10" spans="1:5" ht="78" customHeight="1">
      <c r="A10" s="804">
        <f t="shared" si="0"/>
        <v>9</v>
      </c>
      <c r="B10" s="960"/>
      <c r="C10" s="808" t="s">
        <v>684</v>
      </c>
      <c r="D10" s="807" t="s">
        <v>685</v>
      </c>
      <c r="E10" s="806" t="s">
        <v>104</v>
      </c>
    </row>
    <row r="11" spans="1:5" ht="13.9" customHeight="1">
      <c r="A11" s="804">
        <f t="shared" si="0"/>
        <v>10</v>
      </c>
      <c r="B11" s="961" t="s">
        <v>686</v>
      </c>
      <c r="C11" s="809" t="s">
        <v>687</v>
      </c>
      <c r="D11" s="804" t="s">
        <v>672</v>
      </c>
      <c r="E11" s="806" t="s">
        <v>104</v>
      </c>
    </row>
    <row r="12" spans="1:5">
      <c r="A12" s="804">
        <f t="shared" si="0"/>
        <v>11</v>
      </c>
      <c r="B12" s="961"/>
      <c r="C12" s="809" t="s">
        <v>688</v>
      </c>
      <c r="D12" s="804" t="s">
        <v>672</v>
      </c>
      <c r="E12" s="806" t="s">
        <v>689</v>
      </c>
    </row>
    <row r="13" spans="1:5" ht="13.9" customHeight="1">
      <c r="A13" s="804">
        <f t="shared" si="0"/>
        <v>12</v>
      </c>
      <c r="B13" s="961" t="s">
        <v>690</v>
      </c>
      <c r="C13" s="810" t="s">
        <v>20</v>
      </c>
      <c r="D13" s="807" t="s">
        <v>682</v>
      </c>
      <c r="E13" s="806" t="s">
        <v>48</v>
      </c>
    </row>
    <row r="14" spans="1:5">
      <c r="A14" s="804">
        <f t="shared" si="0"/>
        <v>13</v>
      </c>
      <c r="B14" s="961"/>
      <c r="C14" s="810" t="s">
        <v>691</v>
      </c>
      <c r="D14" s="807" t="s">
        <v>682</v>
      </c>
      <c r="E14" s="806" t="s">
        <v>48</v>
      </c>
    </row>
    <row r="15" spans="1:5">
      <c r="A15" s="804">
        <f t="shared" si="0"/>
        <v>14</v>
      </c>
      <c r="B15" s="961"/>
      <c r="C15" s="810" t="s">
        <v>692</v>
      </c>
      <c r="D15" s="807" t="s">
        <v>682</v>
      </c>
      <c r="E15" s="806" t="s">
        <v>48</v>
      </c>
    </row>
    <row r="16" spans="1:5">
      <c r="A16" s="804">
        <f t="shared" si="0"/>
        <v>15</v>
      </c>
      <c r="B16" s="961"/>
      <c r="C16" s="810" t="s">
        <v>21</v>
      </c>
      <c r="D16" s="807" t="s">
        <v>682</v>
      </c>
      <c r="E16" s="806" t="s">
        <v>48</v>
      </c>
    </row>
    <row r="17" spans="1:5">
      <c r="A17" s="804">
        <f t="shared" si="0"/>
        <v>16</v>
      </c>
      <c r="B17" s="961"/>
      <c r="C17" s="810" t="s">
        <v>693</v>
      </c>
      <c r="D17" s="807" t="s">
        <v>677</v>
      </c>
      <c r="E17" s="806" t="s">
        <v>104</v>
      </c>
    </row>
    <row r="18" spans="1:5" ht="15" customHeight="1">
      <c r="A18" s="804">
        <f t="shared" si="0"/>
        <v>17</v>
      </c>
      <c r="B18" s="961"/>
      <c r="C18" s="811" t="s">
        <v>694</v>
      </c>
      <c r="D18" s="807" t="s">
        <v>682</v>
      </c>
      <c r="E18" s="157" t="s">
        <v>48</v>
      </c>
    </row>
    <row r="19" spans="1:5">
      <c r="A19" s="804">
        <f t="shared" si="0"/>
        <v>18</v>
      </c>
      <c r="B19" s="805" t="s">
        <v>695</v>
      </c>
      <c r="C19" s="810" t="s">
        <v>696</v>
      </c>
      <c r="D19" s="812" t="s">
        <v>672</v>
      </c>
      <c r="E19" s="805" t="s">
        <v>104</v>
      </c>
    </row>
    <row r="20" spans="1:5" ht="30">
      <c r="A20" s="804">
        <f t="shared" si="0"/>
        <v>19</v>
      </c>
      <c r="B20" s="805" t="s">
        <v>697</v>
      </c>
      <c r="C20" s="805" t="s">
        <v>389</v>
      </c>
      <c r="D20" s="804" t="s">
        <v>669</v>
      </c>
      <c r="E20" s="805" t="s">
        <v>48</v>
      </c>
    </row>
    <row r="21" spans="1:5" ht="30">
      <c r="A21" s="804">
        <f t="shared" si="0"/>
        <v>20</v>
      </c>
      <c r="B21" s="805" t="s">
        <v>698</v>
      </c>
      <c r="C21" s="813" t="s">
        <v>388</v>
      </c>
      <c r="D21" s="804" t="s">
        <v>669</v>
      </c>
      <c r="E21" s="805" t="s">
        <v>104</v>
      </c>
    </row>
    <row r="22" spans="1:5">
      <c r="A22" s="804">
        <f t="shared" si="0"/>
        <v>21</v>
      </c>
      <c r="B22" s="805" t="s">
        <v>699</v>
      </c>
      <c r="C22" s="805" t="s">
        <v>700</v>
      </c>
      <c r="D22" s="804" t="s">
        <v>669</v>
      </c>
      <c r="E22" s="805" t="s">
        <v>104</v>
      </c>
    </row>
    <row r="23" spans="1:5" ht="13.9" customHeight="1">
      <c r="A23" s="804">
        <f t="shared" si="0"/>
        <v>22</v>
      </c>
      <c r="B23" s="961" t="s">
        <v>701</v>
      </c>
      <c r="C23" s="805" t="s">
        <v>702</v>
      </c>
      <c r="D23" s="804" t="s">
        <v>703</v>
      </c>
      <c r="E23" s="805" t="s">
        <v>48</v>
      </c>
    </row>
    <row r="24" spans="1:5">
      <c r="A24" s="804">
        <f t="shared" si="0"/>
        <v>23</v>
      </c>
      <c r="B24" s="961"/>
      <c r="C24" s="805" t="s">
        <v>704</v>
      </c>
      <c r="D24" s="804" t="s">
        <v>672</v>
      </c>
      <c r="E24" s="805" t="s">
        <v>104</v>
      </c>
    </row>
    <row r="25" spans="1:5" ht="30">
      <c r="A25" s="804">
        <f t="shared" si="0"/>
        <v>24</v>
      </c>
      <c r="B25" s="805" t="s">
        <v>705</v>
      </c>
      <c r="C25" s="805" t="s">
        <v>706</v>
      </c>
      <c r="D25" s="804" t="s">
        <v>672</v>
      </c>
      <c r="E25" s="805" t="s">
        <v>104</v>
      </c>
    </row>
    <row r="26" spans="1:5">
      <c r="A26" s="804">
        <f t="shared" si="0"/>
        <v>25</v>
      </c>
      <c r="B26" s="805" t="s">
        <v>373</v>
      </c>
      <c r="C26" s="805" t="s">
        <v>390</v>
      </c>
      <c r="D26" s="804" t="s">
        <v>682</v>
      </c>
      <c r="E26" s="805" t="s">
        <v>48</v>
      </c>
    </row>
    <row r="27" spans="1:5">
      <c r="A27" s="804">
        <f t="shared" si="0"/>
        <v>26</v>
      </c>
      <c r="B27" s="806" t="s">
        <v>707</v>
      </c>
      <c r="C27" s="808" t="s">
        <v>708</v>
      </c>
      <c r="D27" s="807" t="s">
        <v>682</v>
      </c>
      <c r="E27" s="805" t="s">
        <v>48</v>
      </c>
    </row>
    <row r="28" spans="1:5" ht="30">
      <c r="A28" s="804">
        <f t="shared" si="0"/>
        <v>27</v>
      </c>
      <c r="B28" s="806" t="s">
        <v>709</v>
      </c>
      <c r="C28" s="808" t="s">
        <v>710</v>
      </c>
      <c r="D28" s="807" t="s">
        <v>711</v>
      </c>
      <c r="E28" s="157" t="s">
        <v>48</v>
      </c>
    </row>
    <row r="29" spans="1:5">
      <c r="A29" s="804">
        <f t="shared" si="0"/>
        <v>28</v>
      </c>
      <c r="B29" s="805" t="s">
        <v>712</v>
      </c>
      <c r="C29" s="805" t="s">
        <v>713</v>
      </c>
      <c r="D29" s="804" t="s">
        <v>714</v>
      </c>
      <c r="E29" s="805" t="s">
        <v>247</v>
      </c>
    </row>
    <row r="30" spans="1:5" ht="103.5" customHeight="1">
      <c r="A30" s="804">
        <f t="shared" si="0"/>
        <v>29</v>
      </c>
      <c r="B30" s="814" t="s">
        <v>715</v>
      </c>
      <c r="C30" s="805" t="s">
        <v>716</v>
      </c>
      <c r="D30" s="812" t="s">
        <v>669</v>
      </c>
      <c r="E30" s="157" t="s">
        <v>48</v>
      </c>
    </row>
  </sheetData>
  <sheetProtection password="857C" sheet="1" objects="1" scenarios="1" formatCells="0" formatColumns="0" formatRows="0" insertColumns="0"/>
  <mergeCells count="4">
    <mergeCell ref="B6:B10"/>
    <mergeCell ref="B11:B12"/>
    <mergeCell ref="B13:B18"/>
    <mergeCell ref="B23:B24"/>
  </mergeCells>
  <pageMargins left="0.69930555555555496" right="0.69930555555555496"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CFFFF"/>
  </sheetPr>
  <dimension ref="A1:AMK84"/>
  <sheetViews>
    <sheetView topLeftCell="A6" zoomScaleNormal="100" workbookViewId="0">
      <selection activeCell="A10" sqref="A10"/>
    </sheetView>
  </sheetViews>
  <sheetFormatPr defaultRowHeight="15"/>
  <cols>
    <col min="1" max="1" width="16.28515625" style="815" customWidth="1"/>
    <col min="2" max="2" width="16.28515625" style="816" customWidth="1"/>
    <col min="3" max="3" width="16.28515625" style="817" customWidth="1"/>
    <col min="4" max="116" width="16.28515625" style="815" customWidth="1"/>
    <col min="117" max="229" width="16.28515625" style="818" customWidth="1"/>
    <col min="230" max="1025" width="16.28515625" style="815" customWidth="1"/>
  </cols>
  <sheetData>
    <row r="1" spans="1:229">
      <c r="A1" s="819" t="s">
        <v>717</v>
      </c>
      <c r="B1" s="819" t="s">
        <v>502</v>
      </c>
      <c r="C1" s="819" t="s">
        <v>503</v>
      </c>
      <c r="D1" s="820" t="s">
        <v>718</v>
      </c>
      <c r="E1" s="821" t="s">
        <v>719</v>
      </c>
      <c r="F1" s="821" t="s">
        <v>720</v>
      </c>
      <c r="G1" s="821" t="s">
        <v>721</v>
      </c>
      <c r="H1" s="821" t="s">
        <v>722</v>
      </c>
      <c r="I1" s="821" t="s">
        <v>723</v>
      </c>
      <c r="J1" s="821" t="s">
        <v>724</v>
      </c>
      <c r="K1" s="821" t="s">
        <v>725</v>
      </c>
      <c r="L1" s="821" t="s">
        <v>726</v>
      </c>
      <c r="M1" s="821" t="s">
        <v>727</v>
      </c>
      <c r="N1" s="821" t="s">
        <v>728</v>
      </c>
      <c r="O1" s="821" t="s">
        <v>729</v>
      </c>
      <c r="P1" s="821" t="s">
        <v>730</v>
      </c>
      <c r="Q1" s="821" t="s">
        <v>731</v>
      </c>
      <c r="R1" s="821" t="s">
        <v>732</v>
      </c>
      <c r="S1" s="821" t="s">
        <v>733</v>
      </c>
      <c r="T1" s="821" t="s">
        <v>734</v>
      </c>
      <c r="U1" s="821" t="s">
        <v>735</v>
      </c>
      <c r="V1" s="821" t="s">
        <v>736</v>
      </c>
      <c r="W1" s="821" t="s">
        <v>737</v>
      </c>
      <c r="X1" s="821" t="s">
        <v>738</v>
      </c>
      <c r="Y1" s="821" t="s">
        <v>739</v>
      </c>
      <c r="Z1" s="821" t="s">
        <v>740</v>
      </c>
      <c r="AA1" s="821" t="s">
        <v>741</v>
      </c>
      <c r="AB1" s="821" t="s">
        <v>742</v>
      </c>
      <c r="AC1" s="821" t="s">
        <v>743</v>
      </c>
      <c r="AD1" s="821" t="s">
        <v>744</v>
      </c>
      <c r="AE1" s="821" t="s">
        <v>745</v>
      </c>
      <c r="AF1" s="821" t="s">
        <v>746</v>
      </c>
      <c r="AG1" s="821" t="s">
        <v>747</v>
      </c>
      <c r="AH1" s="821" t="s">
        <v>748</v>
      </c>
      <c r="AI1" s="821" t="s">
        <v>749</v>
      </c>
      <c r="AJ1" s="821" t="s">
        <v>750</v>
      </c>
      <c r="AK1" s="821" t="s">
        <v>751</v>
      </c>
      <c r="AL1" s="821" t="s">
        <v>752</v>
      </c>
      <c r="AM1" s="821" t="s">
        <v>753</v>
      </c>
      <c r="AN1" s="821" t="s">
        <v>754</v>
      </c>
      <c r="AO1" s="821" t="s">
        <v>755</v>
      </c>
      <c r="AP1" s="821" t="s">
        <v>756</v>
      </c>
      <c r="AQ1" s="821" t="s">
        <v>757</v>
      </c>
      <c r="AR1" s="821" t="s">
        <v>758</v>
      </c>
      <c r="AS1" s="821" t="s">
        <v>759</v>
      </c>
      <c r="AT1" s="821" t="s">
        <v>760</v>
      </c>
      <c r="AU1" s="821" t="s">
        <v>761</v>
      </c>
      <c r="AV1" s="821" t="s">
        <v>762</v>
      </c>
      <c r="AW1" s="821" t="s">
        <v>763</v>
      </c>
      <c r="AX1" s="821" t="s">
        <v>764</v>
      </c>
      <c r="AY1" s="821" t="s">
        <v>765</v>
      </c>
      <c r="AZ1" s="821" t="s">
        <v>766</v>
      </c>
      <c r="BA1" s="821" t="s">
        <v>767</v>
      </c>
      <c r="BB1" s="821" t="s">
        <v>768</v>
      </c>
      <c r="BC1" s="821" t="s">
        <v>769</v>
      </c>
      <c r="BD1" s="821" t="s">
        <v>770</v>
      </c>
      <c r="BE1" s="821" t="s">
        <v>771</v>
      </c>
      <c r="BF1" s="821" t="s">
        <v>772</v>
      </c>
      <c r="BG1" s="821" t="s">
        <v>773</v>
      </c>
      <c r="BH1" s="821" t="s">
        <v>774</v>
      </c>
      <c r="BI1" s="821" t="s">
        <v>775</v>
      </c>
      <c r="BJ1" s="821" t="s">
        <v>776</v>
      </c>
      <c r="BK1" s="821" t="s">
        <v>777</v>
      </c>
      <c r="BL1" s="821" t="s">
        <v>778</v>
      </c>
      <c r="BM1" s="821" t="s">
        <v>779</v>
      </c>
      <c r="BN1" s="821" t="s">
        <v>780</v>
      </c>
      <c r="BO1" s="821" t="s">
        <v>781</v>
      </c>
      <c r="BP1" s="821" t="s">
        <v>782</v>
      </c>
      <c r="BQ1" s="821" t="s">
        <v>783</v>
      </c>
      <c r="BR1" s="821" t="s">
        <v>784</v>
      </c>
      <c r="BS1" s="821" t="s">
        <v>785</v>
      </c>
      <c r="BT1" s="821" t="s">
        <v>786</v>
      </c>
      <c r="BU1" s="821" t="s">
        <v>787</v>
      </c>
      <c r="BV1" s="821" t="s">
        <v>788</v>
      </c>
      <c r="BW1" s="821" t="s">
        <v>789</v>
      </c>
      <c r="BX1" s="821" t="s">
        <v>790</v>
      </c>
      <c r="BY1" s="821" t="s">
        <v>791</v>
      </c>
      <c r="BZ1" s="821" t="s">
        <v>792</v>
      </c>
      <c r="CA1" s="821" t="s">
        <v>793</v>
      </c>
      <c r="CB1" s="821" t="s">
        <v>794</v>
      </c>
      <c r="CC1" s="821" t="s">
        <v>795</v>
      </c>
      <c r="CD1" s="821" t="s">
        <v>796</v>
      </c>
      <c r="CE1" s="821" t="s">
        <v>797</v>
      </c>
      <c r="CF1" s="821" t="s">
        <v>798</v>
      </c>
      <c r="CG1" s="821" t="s">
        <v>799</v>
      </c>
      <c r="CH1" s="821" t="s">
        <v>800</v>
      </c>
      <c r="CI1" s="821" t="s">
        <v>801</v>
      </c>
      <c r="CJ1" s="821" t="s">
        <v>802</v>
      </c>
      <c r="CK1" s="821" t="s">
        <v>803</v>
      </c>
      <c r="CL1" s="821" t="s">
        <v>804</v>
      </c>
      <c r="CM1" s="821" t="s">
        <v>805</v>
      </c>
      <c r="CN1" s="821" t="s">
        <v>806</v>
      </c>
      <c r="CO1" s="821" t="s">
        <v>807</v>
      </c>
      <c r="CP1" s="821" t="s">
        <v>808</v>
      </c>
      <c r="CQ1" s="821" t="s">
        <v>809</v>
      </c>
      <c r="CR1" s="821" t="s">
        <v>810</v>
      </c>
      <c r="CS1" s="821" t="s">
        <v>811</v>
      </c>
      <c r="CT1" s="821" t="s">
        <v>812</v>
      </c>
      <c r="CU1" s="821" t="s">
        <v>813</v>
      </c>
      <c r="CV1" s="821" t="s">
        <v>814</v>
      </c>
      <c r="CW1" s="821" t="s">
        <v>815</v>
      </c>
      <c r="CX1" s="821" t="s">
        <v>816</v>
      </c>
      <c r="CY1" s="821" t="s">
        <v>817</v>
      </c>
      <c r="CZ1" s="821" t="s">
        <v>818</v>
      </c>
      <c r="DA1" s="821" t="s">
        <v>819</v>
      </c>
      <c r="DB1" s="821" t="s">
        <v>820</v>
      </c>
      <c r="DC1" s="821" t="s">
        <v>821</v>
      </c>
      <c r="DD1" s="821" t="s">
        <v>822</v>
      </c>
      <c r="DE1" s="821" t="s">
        <v>823</v>
      </c>
      <c r="DF1" s="821" t="s">
        <v>824</v>
      </c>
      <c r="DG1" s="821" t="s">
        <v>825</v>
      </c>
      <c r="DH1" s="821" t="s">
        <v>826</v>
      </c>
      <c r="DI1" s="821" t="s">
        <v>827</v>
      </c>
      <c r="DJ1" s="821" t="s">
        <v>828</v>
      </c>
      <c r="DK1" s="821" t="s">
        <v>829</v>
      </c>
      <c r="DL1" s="821" t="s">
        <v>830</v>
      </c>
      <c r="DM1" s="822" t="s">
        <v>831</v>
      </c>
      <c r="DN1" s="822" t="s">
        <v>832</v>
      </c>
      <c r="DO1" s="822" t="s">
        <v>833</v>
      </c>
      <c r="DP1" s="822" t="s">
        <v>834</v>
      </c>
      <c r="DQ1" s="822" t="s">
        <v>835</v>
      </c>
      <c r="DR1" s="822" t="s">
        <v>836</v>
      </c>
      <c r="DS1" s="822" t="s">
        <v>837</v>
      </c>
      <c r="DT1" s="822" t="s">
        <v>838</v>
      </c>
      <c r="DU1" s="822" t="s">
        <v>839</v>
      </c>
      <c r="DV1" s="822" t="s">
        <v>840</v>
      </c>
      <c r="DW1" s="822" t="s">
        <v>841</v>
      </c>
      <c r="DX1" s="822" t="s">
        <v>842</v>
      </c>
      <c r="DY1" s="822" t="s">
        <v>843</v>
      </c>
      <c r="DZ1" s="822" t="s">
        <v>844</v>
      </c>
      <c r="EA1" s="822" t="s">
        <v>845</v>
      </c>
      <c r="EB1" s="822" t="s">
        <v>846</v>
      </c>
      <c r="EC1" s="822" t="s">
        <v>847</v>
      </c>
      <c r="ED1" s="822" t="s">
        <v>848</v>
      </c>
      <c r="EE1" s="822" t="s">
        <v>849</v>
      </c>
      <c r="EF1" s="822" t="s">
        <v>850</v>
      </c>
      <c r="EG1" s="822" t="s">
        <v>851</v>
      </c>
      <c r="EH1" s="822" t="s">
        <v>852</v>
      </c>
      <c r="EI1" s="822" t="s">
        <v>853</v>
      </c>
      <c r="EJ1" s="822" t="s">
        <v>854</v>
      </c>
      <c r="EK1" s="822" t="s">
        <v>855</v>
      </c>
      <c r="EL1" s="822" t="s">
        <v>856</v>
      </c>
      <c r="EM1" s="822" t="s">
        <v>857</v>
      </c>
      <c r="EN1" s="822" t="s">
        <v>858</v>
      </c>
      <c r="EO1" s="822" t="s">
        <v>859</v>
      </c>
      <c r="EP1" s="822" t="s">
        <v>860</v>
      </c>
      <c r="EQ1" s="822" t="s">
        <v>861</v>
      </c>
      <c r="ER1" s="822" t="s">
        <v>862</v>
      </c>
      <c r="ES1" s="822" t="s">
        <v>863</v>
      </c>
      <c r="ET1" s="822" t="s">
        <v>864</v>
      </c>
      <c r="EU1" s="822" t="s">
        <v>865</v>
      </c>
      <c r="EV1" s="822" t="s">
        <v>866</v>
      </c>
      <c r="EW1" s="822" t="s">
        <v>867</v>
      </c>
      <c r="EX1" s="822" t="s">
        <v>868</v>
      </c>
      <c r="EY1" s="822" t="s">
        <v>869</v>
      </c>
      <c r="EZ1" s="822" t="s">
        <v>870</v>
      </c>
      <c r="FA1" s="822" t="s">
        <v>871</v>
      </c>
      <c r="FB1" s="822" t="s">
        <v>872</v>
      </c>
      <c r="FC1" s="822" t="s">
        <v>873</v>
      </c>
      <c r="FD1" s="822" t="s">
        <v>874</v>
      </c>
      <c r="FE1" s="822" t="s">
        <v>875</v>
      </c>
      <c r="FF1" s="822" t="s">
        <v>876</v>
      </c>
      <c r="FG1" s="822" t="s">
        <v>877</v>
      </c>
      <c r="FH1" s="822" t="s">
        <v>878</v>
      </c>
      <c r="FI1" s="822" t="s">
        <v>879</v>
      </c>
      <c r="FJ1" s="822" t="s">
        <v>880</v>
      </c>
      <c r="FK1" s="822" t="s">
        <v>881</v>
      </c>
      <c r="FL1" s="822" t="s">
        <v>882</v>
      </c>
      <c r="FM1" s="822" t="s">
        <v>883</v>
      </c>
      <c r="FN1" s="822" t="s">
        <v>884</v>
      </c>
      <c r="FO1" s="822" t="s">
        <v>885</v>
      </c>
      <c r="FP1" s="822" t="s">
        <v>886</v>
      </c>
      <c r="FQ1" s="822" t="s">
        <v>887</v>
      </c>
      <c r="FR1" s="822" t="s">
        <v>888</v>
      </c>
      <c r="FS1" s="822" t="s">
        <v>889</v>
      </c>
      <c r="FT1" s="822" t="s">
        <v>890</v>
      </c>
      <c r="FU1" s="822" t="s">
        <v>891</v>
      </c>
      <c r="FV1" s="822" t="s">
        <v>892</v>
      </c>
      <c r="FW1" s="822" t="s">
        <v>893</v>
      </c>
      <c r="FX1" s="822" t="s">
        <v>894</v>
      </c>
      <c r="FY1" s="822" t="s">
        <v>895</v>
      </c>
      <c r="FZ1" s="822" t="s">
        <v>896</v>
      </c>
      <c r="GA1" s="822" t="s">
        <v>897</v>
      </c>
      <c r="GB1" s="822" t="s">
        <v>898</v>
      </c>
      <c r="GC1" s="822" t="s">
        <v>899</v>
      </c>
      <c r="GD1" s="822" t="s">
        <v>900</v>
      </c>
      <c r="GE1" s="822" t="s">
        <v>901</v>
      </c>
      <c r="GF1" s="822" t="s">
        <v>902</v>
      </c>
      <c r="GG1" s="822" t="s">
        <v>903</v>
      </c>
      <c r="GH1" s="822" t="s">
        <v>904</v>
      </c>
      <c r="GI1" s="822" t="s">
        <v>905</v>
      </c>
      <c r="GJ1" s="822" t="s">
        <v>906</v>
      </c>
      <c r="GK1" s="822" t="s">
        <v>907</v>
      </c>
      <c r="GL1" s="822" t="s">
        <v>908</v>
      </c>
      <c r="GM1" s="822" t="s">
        <v>909</v>
      </c>
      <c r="GN1" s="822" t="s">
        <v>910</v>
      </c>
      <c r="GO1" s="822" t="s">
        <v>911</v>
      </c>
      <c r="GP1" s="822" t="s">
        <v>912</v>
      </c>
      <c r="GQ1" s="822" t="s">
        <v>913</v>
      </c>
      <c r="GR1" s="822" t="s">
        <v>914</v>
      </c>
      <c r="GS1" s="822" t="s">
        <v>915</v>
      </c>
      <c r="GT1" s="822" t="s">
        <v>916</v>
      </c>
      <c r="GU1" s="822" t="s">
        <v>917</v>
      </c>
      <c r="GV1" s="822" t="s">
        <v>918</v>
      </c>
      <c r="GW1" s="822" t="s">
        <v>919</v>
      </c>
      <c r="GX1" s="822" t="s">
        <v>920</v>
      </c>
      <c r="GY1" s="822" t="s">
        <v>921</v>
      </c>
      <c r="GZ1" s="822" t="s">
        <v>922</v>
      </c>
      <c r="HA1" s="822" t="s">
        <v>923</v>
      </c>
      <c r="HB1" s="822" t="s">
        <v>924</v>
      </c>
      <c r="HC1" s="822" t="s">
        <v>925</v>
      </c>
      <c r="HD1" s="822" t="s">
        <v>926</v>
      </c>
      <c r="HE1" s="822" t="s">
        <v>927</v>
      </c>
      <c r="HF1" s="822" t="s">
        <v>928</v>
      </c>
      <c r="HG1" s="822" t="s">
        <v>929</v>
      </c>
      <c r="HH1" s="822" t="s">
        <v>930</v>
      </c>
      <c r="HI1" s="822" t="s">
        <v>931</v>
      </c>
      <c r="HJ1" s="822" t="s">
        <v>932</v>
      </c>
      <c r="HK1" s="822" t="s">
        <v>933</v>
      </c>
      <c r="HL1" s="822" t="s">
        <v>934</v>
      </c>
      <c r="HM1" s="822" t="s">
        <v>935</v>
      </c>
      <c r="HN1" s="822" t="s">
        <v>936</v>
      </c>
      <c r="HO1" s="822" t="s">
        <v>937</v>
      </c>
      <c r="HP1" s="822" t="s">
        <v>938</v>
      </c>
      <c r="HQ1" s="822" t="s">
        <v>939</v>
      </c>
      <c r="HR1" s="822" t="s">
        <v>940</v>
      </c>
      <c r="HS1" s="822" t="s">
        <v>941</v>
      </c>
      <c r="HT1" s="822" t="s">
        <v>942</v>
      </c>
      <c r="HU1" s="822" t="s">
        <v>943</v>
      </c>
    </row>
    <row r="2" spans="1:229" ht="102">
      <c r="A2" s="823" t="s">
        <v>515</v>
      </c>
      <c r="B2" s="823" t="s">
        <v>944</v>
      </c>
      <c r="C2" s="823" t="s">
        <v>945</v>
      </c>
      <c r="D2" s="824" t="s">
        <v>946</v>
      </c>
      <c r="E2" s="824" t="s">
        <v>947</v>
      </c>
      <c r="F2" s="824" t="s">
        <v>948</v>
      </c>
      <c r="G2" s="824" t="s">
        <v>949</v>
      </c>
      <c r="H2" s="824" t="s">
        <v>950</v>
      </c>
      <c r="I2" s="824" t="s">
        <v>951</v>
      </c>
      <c r="J2" s="824" t="s">
        <v>952</v>
      </c>
      <c r="K2" s="824"/>
      <c r="L2" s="824" t="s">
        <v>953</v>
      </c>
      <c r="M2" s="824"/>
      <c r="N2" s="824" t="s">
        <v>954</v>
      </c>
      <c r="O2" s="824"/>
      <c r="P2" s="824"/>
      <c r="Q2" s="824"/>
      <c r="R2" s="824"/>
      <c r="S2" s="824"/>
      <c r="T2" s="824"/>
      <c r="U2" s="824"/>
      <c r="V2" s="824"/>
      <c r="W2" s="824"/>
      <c r="X2" s="824"/>
      <c r="Y2" s="824"/>
      <c r="Z2" s="824"/>
      <c r="AA2" s="824"/>
      <c r="AB2" s="824"/>
      <c r="AC2" s="824"/>
      <c r="AD2" s="824"/>
      <c r="AE2" s="824"/>
      <c r="AF2" s="824"/>
      <c r="AG2" s="824"/>
      <c r="AH2" s="824"/>
      <c r="AI2" s="824"/>
      <c r="AJ2" s="824"/>
      <c r="AK2" s="824"/>
      <c r="AL2" s="824"/>
      <c r="AM2" s="824"/>
      <c r="AN2" s="824"/>
      <c r="AO2" s="824"/>
      <c r="AP2" s="824"/>
      <c r="AQ2" s="824"/>
      <c r="AR2" s="824"/>
      <c r="AS2" s="824"/>
      <c r="AT2" s="824"/>
      <c r="AU2" s="824"/>
      <c r="AV2" s="824"/>
      <c r="AW2" s="824"/>
      <c r="AX2" s="824"/>
      <c r="AY2" s="824"/>
      <c r="AZ2" s="824"/>
      <c r="BA2" s="824"/>
      <c r="BB2" s="824"/>
      <c r="BC2" s="824"/>
      <c r="BD2" s="824"/>
      <c r="BE2" s="824"/>
      <c r="BF2" s="824"/>
      <c r="BG2" s="824"/>
      <c r="BH2" s="824"/>
      <c r="BI2" s="824"/>
      <c r="BJ2" s="824"/>
      <c r="BK2" s="824"/>
      <c r="BL2" s="824"/>
      <c r="BM2" s="824"/>
      <c r="BN2" s="824"/>
      <c r="BO2" s="824"/>
      <c r="BP2" s="824"/>
      <c r="BQ2" s="824"/>
      <c r="BR2" s="824"/>
      <c r="BS2" s="824"/>
      <c r="BT2" s="824"/>
      <c r="BU2" s="824"/>
      <c r="BV2" s="824"/>
      <c r="BW2" s="824"/>
      <c r="BX2" s="824"/>
      <c r="BY2" s="824"/>
      <c r="BZ2" s="824"/>
      <c r="CA2" s="824"/>
      <c r="CB2" s="824"/>
      <c r="CC2" s="824"/>
      <c r="CD2" s="824"/>
      <c r="CE2" s="824"/>
      <c r="CF2" s="824"/>
      <c r="CG2" s="824"/>
      <c r="CH2" s="824"/>
      <c r="CI2" s="824"/>
      <c r="CJ2" s="824"/>
      <c r="CK2" s="824"/>
      <c r="CL2" s="824"/>
      <c r="CM2" s="824"/>
      <c r="CN2" s="824"/>
      <c r="CO2" s="824"/>
      <c r="CP2" s="824"/>
      <c r="CQ2" s="824"/>
      <c r="CR2" s="824"/>
      <c r="CS2" s="824"/>
      <c r="CT2" s="824"/>
      <c r="CU2" s="824"/>
      <c r="CV2" s="824"/>
      <c r="CW2" s="824"/>
      <c r="CX2" s="824"/>
      <c r="CY2" s="824"/>
      <c r="CZ2" s="824"/>
      <c r="DA2" s="824"/>
      <c r="DB2" s="824"/>
      <c r="DC2" s="824"/>
      <c r="DD2" s="824"/>
      <c r="DE2" s="824"/>
      <c r="DF2" s="824"/>
      <c r="DG2" s="824"/>
      <c r="DH2" s="824"/>
      <c r="DI2" s="824"/>
      <c r="DJ2" s="824"/>
      <c r="DK2" s="824"/>
      <c r="DL2" s="824"/>
      <c r="DM2" s="825">
        <v>4</v>
      </c>
      <c r="DN2" s="825">
        <v>3.9</v>
      </c>
      <c r="DO2" s="825">
        <v>3.4</v>
      </c>
      <c r="DP2" s="825">
        <v>3.7</v>
      </c>
      <c r="DQ2" s="825">
        <v>5</v>
      </c>
      <c r="DR2" s="825">
        <v>2.8</v>
      </c>
      <c r="DS2" s="825">
        <v>3.7</v>
      </c>
      <c r="DT2" s="825">
        <v>0</v>
      </c>
      <c r="DU2" s="825">
        <v>2.4</v>
      </c>
      <c r="DV2" s="825">
        <v>0</v>
      </c>
      <c r="DW2" s="825">
        <v>3.9</v>
      </c>
      <c r="DX2" s="825">
        <v>0</v>
      </c>
      <c r="DY2" s="825">
        <v>0</v>
      </c>
      <c r="DZ2" s="825">
        <v>0</v>
      </c>
      <c r="EA2" s="825">
        <v>0</v>
      </c>
      <c r="EB2" s="825">
        <v>0</v>
      </c>
      <c r="EC2" s="825">
        <v>0</v>
      </c>
      <c r="ED2" s="825">
        <v>0</v>
      </c>
      <c r="EE2" s="825">
        <v>0</v>
      </c>
      <c r="EF2" s="825">
        <v>0</v>
      </c>
      <c r="EG2" s="825">
        <v>0</v>
      </c>
      <c r="EH2" s="825">
        <v>0</v>
      </c>
      <c r="EI2" s="825">
        <v>0</v>
      </c>
      <c r="EJ2" s="825">
        <v>0</v>
      </c>
      <c r="EK2" s="825">
        <v>0</v>
      </c>
      <c r="EL2" s="825">
        <v>0</v>
      </c>
      <c r="EM2" s="825">
        <v>0</v>
      </c>
      <c r="EN2" s="825">
        <v>0</v>
      </c>
      <c r="EO2" s="825">
        <v>0</v>
      </c>
      <c r="EP2" s="825">
        <v>0</v>
      </c>
      <c r="EQ2" s="825">
        <v>0</v>
      </c>
      <c r="ER2" s="825">
        <v>0</v>
      </c>
      <c r="ES2" s="825">
        <v>0</v>
      </c>
      <c r="ET2" s="825">
        <v>0</v>
      </c>
      <c r="EU2" s="825">
        <v>0</v>
      </c>
      <c r="EV2" s="825">
        <v>0</v>
      </c>
      <c r="EW2" s="825">
        <v>0</v>
      </c>
      <c r="EX2" s="825">
        <v>0</v>
      </c>
      <c r="EY2" s="825">
        <v>0</v>
      </c>
      <c r="EZ2" s="825">
        <v>0</v>
      </c>
      <c r="FA2" s="825">
        <v>0</v>
      </c>
      <c r="FB2" s="825">
        <v>0</v>
      </c>
      <c r="FC2" s="825">
        <v>0</v>
      </c>
      <c r="FD2" s="825">
        <v>0</v>
      </c>
      <c r="FE2" s="825">
        <v>0</v>
      </c>
      <c r="FF2" s="825">
        <v>0</v>
      </c>
      <c r="FG2" s="825">
        <v>0</v>
      </c>
      <c r="FH2" s="825">
        <v>0</v>
      </c>
      <c r="FI2" s="825">
        <v>0</v>
      </c>
      <c r="FJ2" s="825">
        <v>0</v>
      </c>
      <c r="FK2" s="825">
        <v>0</v>
      </c>
      <c r="FL2" s="825">
        <v>0</v>
      </c>
      <c r="FM2" s="825">
        <v>0</v>
      </c>
      <c r="FN2" s="825">
        <v>0</v>
      </c>
      <c r="FO2" s="825">
        <v>0</v>
      </c>
      <c r="FP2" s="825">
        <v>0</v>
      </c>
      <c r="FQ2" s="825">
        <v>0</v>
      </c>
      <c r="FR2" s="825">
        <v>0</v>
      </c>
      <c r="FS2" s="825">
        <v>0</v>
      </c>
      <c r="FT2" s="825">
        <v>0</v>
      </c>
      <c r="FU2" s="825">
        <v>0</v>
      </c>
      <c r="FV2" s="825">
        <v>0</v>
      </c>
      <c r="FW2" s="825">
        <v>0</v>
      </c>
      <c r="FX2" s="825">
        <v>0</v>
      </c>
      <c r="FY2" s="825">
        <v>0</v>
      </c>
      <c r="FZ2" s="825">
        <v>0</v>
      </c>
      <c r="GA2" s="825">
        <v>0</v>
      </c>
      <c r="GB2" s="825">
        <v>0</v>
      </c>
      <c r="GC2" s="825">
        <v>0</v>
      </c>
      <c r="GD2" s="825">
        <v>0</v>
      </c>
      <c r="GE2" s="825">
        <v>0</v>
      </c>
      <c r="GF2" s="825">
        <v>0</v>
      </c>
      <c r="GG2" s="825">
        <v>0</v>
      </c>
      <c r="GH2" s="825">
        <v>0</v>
      </c>
      <c r="GI2" s="825">
        <v>0</v>
      </c>
      <c r="GJ2" s="825">
        <v>0</v>
      </c>
      <c r="GK2" s="825">
        <v>0</v>
      </c>
      <c r="GL2" s="825">
        <v>0</v>
      </c>
      <c r="GM2" s="825">
        <v>0</v>
      </c>
      <c r="GN2" s="825">
        <v>0</v>
      </c>
      <c r="GO2" s="825">
        <v>0</v>
      </c>
      <c r="GP2" s="825">
        <v>0</v>
      </c>
      <c r="GQ2" s="825">
        <v>0</v>
      </c>
      <c r="GR2" s="825">
        <v>0</v>
      </c>
      <c r="GS2" s="825">
        <v>0</v>
      </c>
      <c r="GT2" s="825">
        <v>0</v>
      </c>
      <c r="GU2" s="825">
        <v>0</v>
      </c>
      <c r="GV2" s="825">
        <v>0</v>
      </c>
      <c r="GW2" s="825">
        <v>0</v>
      </c>
      <c r="GX2" s="825">
        <v>0</v>
      </c>
      <c r="GY2" s="825">
        <v>0</v>
      </c>
      <c r="GZ2" s="825">
        <v>0</v>
      </c>
      <c r="HA2" s="825">
        <v>0</v>
      </c>
      <c r="HB2" s="825">
        <v>0</v>
      </c>
      <c r="HC2" s="825">
        <v>0</v>
      </c>
      <c r="HD2" s="825">
        <v>0</v>
      </c>
      <c r="HE2" s="825">
        <v>0</v>
      </c>
      <c r="HF2" s="825">
        <v>0</v>
      </c>
      <c r="HG2" s="825">
        <v>0</v>
      </c>
      <c r="HH2" s="825">
        <v>0</v>
      </c>
      <c r="HI2" s="825">
        <v>0</v>
      </c>
      <c r="HJ2" s="825">
        <v>0</v>
      </c>
      <c r="HK2" s="825">
        <v>0</v>
      </c>
      <c r="HL2" s="825">
        <v>0</v>
      </c>
      <c r="HM2" s="825">
        <v>0</v>
      </c>
      <c r="HN2" s="825">
        <v>0</v>
      </c>
      <c r="HO2" s="825">
        <v>0</v>
      </c>
      <c r="HP2" s="825">
        <v>0</v>
      </c>
      <c r="HQ2" s="825">
        <v>0</v>
      </c>
      <c r="HR2" s="825">
        <v>0</v>
      </c>
      <c r="HS2" s="825">
        <v>0</v>
      </c>
      <c r="HT2" s="825">
        <v>0</v>
      </c>
      <c r="HU2" s="825">
        <v>0</v>
      </c>
    </row>
    <row r="3" spans="1:229" ht="38.25">
      <c r="A3" s="823" t="s">
        <v>515</v>
      </c>
      <c r="B3" s="823" t="s">
        <v>944</v>
      </c>
      <c r="C3" s="823" t="s">
        <v>955</v>
      </c>
      <c r="D3" s="824" t="s">
        <v>956</v>
      </c>
      <c r="E3" s="824"/>
      <c r="F3" s="824" t="s">
        <v>957</v>
      </c>
      <c r="G3" s="824"/>
      <c r="H3" s="824"/>
      <c r="I3" s="824"/>
      <c r="J3" s="824"/>
      <c r="K3" s="824"/>
      <c r="L3" s="824"/>
      <c r="M3" s="824"/>
      <c r="N3" s="824"/>
      <c r="O3" s="824"/>
      <c r="P3" s="824"/>
      <c r="Q3" s="824"/>
      <c r="R3" s="824"/>
      <c r="S3" s="824"/>
      <c r="T3" s="824"/>
      <c r="U3" s="824"/>
      <c r="V3" s="824"/>
      <c r="W3" s="824"/>
      <c r="X3" s="824"/>
      <c r="Y3" s="824"/>
      <c r="Z3" s="824"/>
      <c r="AA3" s="824"/>
      <c r="AB3" s="824"/>
      <c r="AC3" s="824"/>
      <c r="AD3" s="824"/>
      <c r="AE3" s="824"/>
      <c r="AF3" s="824"/>
      <c r="AG3" s="824"/>
      <c r="AH3" s="824"/>
      <c r="AI3" s="824"/>
      <c r="AJ3" s="824"/>
      <c r="AK3" s="824"/>
      <c r="AL3" s="824"/>
      <c r="AM3" s="824"/>
      <c r="AN3" s="824"/>
      <c r="AO3" s="824"/>
      <c r="AP3" s="824"/>
      <c r="AQ3" s="824"/>
      <c r="AR3" s="824"/>
      <c r="AS3" s="824"/>
      <c r="AT3" s="824"/>
      <c r="AU3" s="824"/>
      <c r="AV3" s="824"/>
      <c r="AW3" s="824"/>
      <c r="AX3" s="824"/>
      <c r="AY3" s="824"/>
      <c r="AZ3" s="824"/>
      <c r="BA3" s="824"/>
      <c r="BB3" s="824"/>
      <c r="BC3" s="824"/>
      <c r="BD3" s="824"/>
      <c r="BE3" s="824"/>
      <c r="BF3" s="824"/>
      <c r="BG3" s="824"/>
      <c r="BH3" s="824"/>
      <c r="BI3" s="824"/>
      <c r="BJ3" s="824"/>
      <c r="BK3" s="824"/>
      <c r="BL3" s="824"/>
      <c r="BM3" s="824"/>
      <c r="BN3" s="824"/>
      <c r="BO3" s="824"/>
      <c r="BP3" s="824"/>
      <c r="BQ3" s="824"/>
      <c r="BR3" s="824"/>
      <c r="BS3" s="824"/>
      <c r="BT3" s="824"/>
      <c r="BU3" s="824"/>
      <c r="BV3" s="824"/>
      <c r="BW3" s="824"/>
      <c r="BX3" s="824"/>
      <c r="BY3" s="824"/>
      <c r="BZ3" s="824"/>
      <c r="CA3" s="824"/>
      <c r="CB3" s="824"/>
      <c r="CC3" s="824"/>
      <c r="CD3" s="824"/>
      <c r="CE3" s="824"/>
      <c r="CF3" s="824"/>
      <c r="CG3" s="824"/>
      <c r="CH3" s="824"/>
      <c r="CI3" s="824"/>
      <c r="CJ3" s="824"/>
      <c r="CK3" s="824"/>
      <c r="CL3" s="824"/>
      <c r="CM3" s="824"/>
      <c r="CN3" s="824"/>
      <c r="CO3" s="824"/>
      <c r="CP3" s="824"/>
      <c r="CQ3" s="824"/>
      <c r="CR3" s="824"/>
      <c r="CS3" s="824"/>
      <c r="CT3" s="824"/>
      <c r="CU3" s="824"/>
      <c r="CV3" s="824"/>
      <c r="CW3" s="824"/>
      <c r="CX3" s="824"/>
      <c r="CY3" s="824"/>
      <c r="CZ3" s="824"/>
      <c r="DA3" s="824"/>
      <c r="DB3" s="824"/>
      <c r="DC3" s="824"/>
      <c r="DD3" s="824"/>
      <c r="DE3" s="824"/>
      <c r="DF3" s="824"/>
      <c r="DG3" s="824"/>
      <c r="DH3" s="824"/>
      <c r="DI3" s="824"/>
      <c r="DJ3" s="824"/>
      <c r="DK3" s="824"/>
      <c r="DL3" s="824"/>
      <c r="DM3" s="825">
        <v>5.7</v>
      </c>
      <c r="DN3" s="825">
        <v>0</v>
      </c>
      <c r="DO3" s="825">
        <v>5.6</v>
      </c>
      <c r="DP3" s="825">
        <v>0</v>
      </c>
      <c r="DQ3" s="825">
        <v>0</v>
      </c>
      <c r="DR3" s="825">
        <v>0</v>
      </c>
      <c r="DS3" s="825">
        <v>0</v>
      </c>
      <c r="DT3" s="825">
        <v>0</v>
      </c>
      <c r="DU3" s="825">
        <v>0</v>
      </c>
      <c r="DV3" s="825">
        <v>0</v>
      </c>
      <c r="DW3" s="825">
        <v>0</v>
      </c>
      <c r="DX3" s="825">
        <v>0</v>
      </c>
      <c r="DY3" s="825">
        <v>0</v>
      </c>
      <c r="DZ3" s="825">
        <v>0</v>
      </c>
      <c r="EA3" s="825">
        <v>0</v>
      </c>
      <c r="EB3" s="825">
        <v>0</v>
      </c>
      <c r="EC3" s="825">
        <v>0</v>
      </c>
      <c r="ED3" s="825">
        <v>0</v>
      </c>
      <c r="EE3" s="825">
        <v>0</v>
      </c>
      <c r="EF3" s="825">
        <v>0</v>
      </c>
      <c r="EG3" s="825">
        <v>0</v>
      </c>
      <c r="EH3" s="825">
        <v>0</v>
      </c>
      <c r="EI3" s="825">
        <v>0</v>
      </c>
      <c r="EJ3" s="825">
        <v>0</v>
      </c>
      <c r="EK3" s="825">
        <v>0</v>
      </c>
      <c r="EL3" s="825">
        <v>0</v>
      </c>
      <c r="EM3" s="825">
        <v>0</v>
      </c>
      <c r="EN3" s="825">
        <v>0</v>
      </c>
      <c r="EO3" s="825">
        <v>0</v>
      </c>
      <c r="EP3" s="825">
        <v>0</v>
      </c>
      <c r="EQ3" s="825">
        <v>0</v>
      </c>
      <c r="ER3" s="825">
        <v>0</v>
      </c>
      <c r="ES3" s="825">
        <v>0</v>
      </c>
      <c r="ET3" s="825">
        <v>0</v>
      </c>
      <c r="EU3" s="825">
        <v>0</v>
      </c>
      <c r="EV3" s="825">
        <v>0</v>
      </c>
      <c r="EW3" s="825">
        <v>0</v>
      </c>
      <c r="EX3" s="825">
        <v>0</v>
      </c>
      <c r="EY3" s="825">
        <v>0</v>
      </c>
      <c r="EZ3" s="825">
        <v>0</v>
      </c>
      <c r="FA3" s="825">
        <v>0</v>
      </c>
      <c r="FB3" s="825">
        <v>0</v>
      </c>
      <c r="FC3" s="825">
        <v>0</v>
      </c>
      <c r="FD3" s="825">
        <v>0</v>
      </c>
      <c r="FE3" s="825">
        <v>0</v>
      </c>
      <c r="FF3" s="825">
        <v>0</v>
      </c>
      <c r="FG3" s="825">
        <v>0</v>
      </c>
      <c r="FH3" s="825">
        <v>0</v>
      </c>
      <c r="FI3" s="825">
        <v>0</v>
      </c>
      <c r="FJ3" s="825">
        <v>0</v>
      </c>
      <c r="FK3" s="825">
        <v>0</v>
      </c>
      <c r="FL3" s="825">
        <v>0</v>
      </c>
      <c r="FM3" s="825">
        <v>0</v>
      </c>
      <c r="FN3" s="825">
        <v>0</v>
      </c>
      <c r="FO3" s="825">
        <v>0</v>
      </c>
      <c r="FP3" s="825">
        <v>0</v>
      </c>
      <c r="FQ3" s="825">
        <v>0</v>
      </c>
      <c r="FR3" s="825">
        <v>0</v>
      </c>
      <c r="FS3" s="825">
        <v>0</v>
      </c>
      <c r="FT3" s="825">
        <v>0</v>
      </c>
      <c r="FU3" s="825">
        <v>0</v>
      </c>
      <c r="FV3" s="825">
        <v>0</v>
      </c>
      <c r="FW3" s="825">
        <v>0</v>
      </c>
      <c r="FX3" s="825">
        <v>0</v>
      </c>
      <c r="FY3" s="825">
        <v>0</v>
      </c>
      <c r="FZ3" s="825">
        <v>0</v>
      </c>
      <c r="GA3" s="825">
        <v>0</v>
      </c>
      <c r="GB3" s="825">
        <v>0</v>
      </c>
      <c r="GC3" s="825">
        <v>0</v>
      </c>
      <c r="GD3" s="825">
        <v>0</v>
      </c>
      <c r="GE3" s="825">
        <v>0</v>
      </c>
      <c r="GF3" s="825">
        <v>0</v>
      </c>
      <c r="GG3" s="825">
        <v>0</v>
      </c>
      <c r="GH3" s="825">
        <v>0</v>
      </c>
      <c r="GI3" s="825">
        <v>0</v>
      </c>
      <c r="GJ3" s="825">
        <v>0</v>
      </c>
      <c r="GK3" s="825">
        <v>0</v>
      </c>
      <c r="GL3" s="825">
        <v>0</v>
      </c>
      <c r="GM3" s="825">
        <v>0</v>
      </c>
      <c r="GN3" s="825">
        <v>0</v>
      </c>
      <c r="GO3" s="825">
        <v>0</v>
      </c>
      <c r="GP3" s="825">
        <v>0</v>
      </c>
      <c r="GQ3" s="825">
        <v>0</v>
      </c>
      <c r="GR3" s="825">
        <v>0</v>
      </c>
      <c r="GS3" s="825">
        <v>0</v>
      </c>
      <c r="GT3" s="825">
        <v>0</v>
      </c>
      <c r="GU3" s="825">
        <v>0</v>
      </c>
      <c r="GV3" s="825">
        <v>0</v>
      </c>
      <c r="GW3" s="825">
        <v>0</v>
      </c>
      <c r="GX3" s="825">
        <v>0</v>
      </c>
      <c r="GY3" s="825">
        <v>0</v>
      </c>
      <c r="GZ3" s="825">
        <v>0</v>
      </c>
      <c r="HA3" s="825">
        <v>0</v>
      </c>
      <c r="HB3" s="825">
        <v>0</v>
      </c>
      <c r="HC3" s="825">
        <v>0</v>
      </c>
      <c r="HD3" s="825">
        <v>0</v>
      </c>
      <c r="HE3" s="825">
        <v>0</v>
      </c>
      <c r="HF3" s="825">
        <v>0</v>
      </c>
      <c r="HG3" s="825">
        <v>0</v>
      </c>
      <c r="HH3" s="825">
        <v>0</v>
      </c>
      <c r="HI3" s="825">
        <v>0</v>
      </c>
      <c r="HJ3" s="825">
        <v>0</v>
      </c>
      <c r="HK3" s="825">
        <v>0</v>
      </c>
      <c r="HL3" s="825">
        <v>0</v>
      </c>
      <c r="HM3" s="825">
        <v>0</v>
      </c>
      <c r="HN3" s="825">
        <v>0</v>
      </c>
      <c r="HO3" s="825">
        <v>0</v>
      </c>
      <c r="HP3" s="825">
        <v>0</v>
      </c>
      <c r="HQ3" s="825">
        <v>0</v>
      </c>
      <c r="HR3" s="825">
        <v>0</v>
      </c>
      <c r="HS3" s="825">
        <v>0</v>
      </c>
      <c r="HT3" s="825">
        <v>0</v>
      </c>
      <c r="HU3" s="825">
        <v>0</v>
      </c>
    </row>
    <row r="4" spans="1:229" ht="25.5">
      <c r="A4" s="823" t="s">
        <v>515</v>
      </c>
      <c r="B4" s="823" t="s">
        <v>944</v>
      </c>
      <c r="C4" s="823" t="s">
        <v>958</v>
      </c>
      <c r="D4" s="824" t="s">
        <v>959</v>
      </c>
      <c r="E4" s="824" t="s">
        <v>960</v>
      </c>
      <c r="F4" s="824"/>
      <c r="G4" s="824"/>
      <c r="H4" s="824"/>
      <c r="I4" s="824"/>
      <c r="J4" s="824"/>
      <c r="K4" s="824"/>
      <c r="L4" s="824"/>
      <c r="M4" s="824"/>
      <c r="N4" s="824"/>
      <c r="O4" s="824"/>
      <c r="P4" s="824"/>
      <c r="Q4" s="824"/>
      <c r="R4" s="824"/>
      <c r="S4" s="824"/>
      <c r="T4" s="824"/>
      <c r="U4" s="824"/>
      <c r="V4" s="824"/>
      <c r="W4" s="824"/>
      <c r="X4" s="824"/>
      <c r="Y4" s="824"/>
      <c r="Z4" s="824"/>
      <c r="AA4" s="824"/>
      <c r="AB4" s="824"/>
      <c r="AC4" s="824"/>
      <c r="AD4" s="824"/>
      <c r="AE4" s="824"/>
      <c r="AF4" s="824"/>
      <c r="AG4" s="824"/>
      <c r="AH4" s="824"/>
      <c r="AI4" s="824"/>
      <c r="AJ4" s="824"/>
      <c r="AK4" s="824"/>
      <c r="AL4" s="824"/>
      <c r="AM4" s="824"/>
      <c r="AN4" s="824"/>
      <c r="AO4" s="824"/>
      <c r="AP4" s="824"/>
      <c r="AQ4" s="824"/>
      <c r="AR4" s="824"/>
      <c r="AS4" s="824"/>
      <c r="AT4" s="824"/>
      <c r="AU4" s="824"/>
      <c r="AV4" s="824"/>
      <c r="AW4" s="824"/>
      <c r="AX4" s="824"/>
      <c r="AY4" s="824"/>
      <c r="AZ4" s="824"/>
      <c r="BA4" s="824"/>
      <c r="BB4" s="824"/>
      <c r="BC4" s="824"/>
      <c r="BD4" s="824"/>
      <c r="BE4" s="824"/>
      <c r="BF4" s="824"/>
      <c r="BG4" s="824"/>
      <c r="BH4" s="824"/>
      <c r="BI4" s="824"/>
      <c r="BJ4" s="824"/>
      <c r="BK4" s="824"/>
      <c r="BL4" s="824"/>
      <c r="BM4" s="824"/>
      <c r="BN4" s="824"/>
      <c r="BO4" s="824"/>
      <c r="BP4" s="824"/>
      <c r="BQ4" s="824"/>
      <c r="BR4" s="824"/>
      <c r="BS4" s="824"/>
      <c r="BT4" s="824"/>
      <c r="BU4" s="824"/>
      <c r="BV4" s="824"/>
      <c r="BW4" s="824"/>
      <c r="BX4" s="824"/>
      <c r="BY4" s="824"/>
      <c r="BZ4" s="824"/>
      <c r="CA4" s="824"/>
      <c r="CB4" s="824"/>
      <c r="CC4" s="824"/>
      <c r="CD4" s="824"/>
      <c r="CE4" s="824"/>
      <c r="CF4" s="824"/>
      <c r="CG4" s="824"/>
      <c r="CH4" s="824"/>
      <c r="CI4" s="824"/>
      <c r="CJ4" s="824"/>
      <c r="CK4" s="824"/>
      <c r="CL4" s="824"/>
      <c r="CM4" s="824"/>
      <c r="CN4" s="824"/>
      <c r="CO4" s="824"/>
      <c r="CP4" s="824"/>
      <c r="CQ4" s="824"/>
      <c r="CR4" s="824"/>
      <c r="CS4" s="824"/>
      <c r="CT4" s="824"/>
      <c r="CU4" s="824"/>
      <c r="CV4" s="824"/>
      <c r="CW4" s="824"/>
      <c r="CX4" s="824"/>
      <c r="CY4" s="824"/>
      <c r="CZ4" s="824"/>
      <c r="DA4" s="824"/>
      <c r="DB4" s="824"/>
      <c r="DC4" s="824"/>
      <c r="DD4" s="824"/>
      <c r="DE4" s="824"/>
      <c r="DF4" s="824"/>
      <c r="DG4" s="824"/>
      <c r="DH4" s="824"/>
      <c r="DI4" s="824"/>
      <c r="DJ4" s="824"/>
      <c r="DK4" s="824"/>
      <c r="DL4" s="824"/>
      <c r="DM4" s="825">
        <v>4.5</v>
      </c>
      <c r="DN4" s="825">
        <v>4.4000000000000004</v>
      </c>
      <c r="DO4" s="825">
        <v>0</v>
      </c>
      <c r="DP4" s="825">
        <v>0</v>
      </c>
      <c r="DQ4" s="825">
        <v>0</v>
      </c>
      <c r="DR4" s="825">
        <v>0</v>
      </c>
      <c r="DS4" s="825">
        <v>0</v>
      </c>
      <c r="DT4" s="825">
        <v>0</v>
      </c>
      <c r="DU4" s="825">
        <v>0</v>
      </c>
      <c r="DV4" s="825">
        <v>0</v>
      </c>
      <c r="DW4" s="825">
        <v>0</v>
      </c>
      <c r="DX4" s="825">
        <v>0</v>
      </c>
      <c r="DY4" s="825">
        <v>0</v>
      </c>
      <c r="DZ4" s="825">
        <v>0</v>
      </c>
      <c r="EA4" s="825">
        <v>0</v>
      </c>
      <c r="EB4" s="825">
        <v>0</v>
      </c>
      <c r="EC4" s="825">
        <v>0</v>
      </c>
      <c r="ED4" s="825">
        <v>0</v>
      </c>
      <c r="EE4" s="825">
        <v>0</v>
      </c>
      <c r="EF4" s="825">
        <v>0</v>
      </c>
      <c r="EG4" s="825">
        <v>0</v>
      </c>
      <c r="EH4" s="825">
        <v>0</v>
      </c>
      <c r="EI4" s="825">
        <v>0</v>
      </c>
      <c r="EJ4" s="825">
        <v>0</v>
      </c>
      <c r="EK4" s="825">
        <v>0</v>
      </c>
      <c r="EL4" s="825">
        <v>0</v>
      </c>
      <c r="EM4" s="825">
        <v>0</v>
      </c>
      <c r="EN4" s="825">
        <v>0</v>
      </c>
      <c r="EO4" s="825">
        <v>0</v>
      </c>
      <c r="EP4" s="825">
        <v>0</v>
      </c>
      <c r="EQ4" s="825">
        <v>0</v>
      </c>
      <c r="ER4" s="825">
        <v>0</v>
      </c>
      <c r="ES4" s="825">
        <v>0</v>
      </c>
      <c r="ET4" s="825">
        <v>0</v>
      </c>
      <c r="EU4" s="825">
        <v>0</v>
      </c>
      <c r="EV4" s="825">
        <v>0</v>
      </c>
      <c r="EW4" s="825">
        <v>0</v>
      </c>
      <c r="EX4" s="825">
        <v>0</v>
      </c>
      <c r="EY4" s="825">
        <v>0</v>
      </c>
      <c r="EZ4" s="825">
        <v>0</v>
      </c>
      <c r="FA4" s="825">
        <v>0</v>
      </c>
      <c r="FB4" s="825">
        <v>0</v>
      </c>
      <c r="FC4" s="825">
        <v>0</v>
      </c>
      <c r="FD4" s="825">
        <v>0</v>
      </c>
      <c r="FE4" s="825">
        <v>0</v>
      </c>
      <c r="FF4" s="825">
        <v>0</v>
      </c>
      <c r="FG4" s="825">
        <v>0</v>
      </c>
      <c r="FH4" s="825">
        <v>0</v>
      </c>
      <c r="FI4" s="825">
        <v>0</v>
      </c>
      <c r="FJ4" s="825">
        <v>0</v>
      </c>
      <c r="FK4" s="825">
        <v>0</v>
      </c>
      <c r="FL4" s="825">
        <v>0</v>
      </c>
      <c r="FM4" s="825">
        <v>0</v>
      </c>
      <c r="FN4" s="825">
        <v>0</v>
      </c>
      <c r="FO4" s="825">
        <v>0</v>
      </c>
      <c r="FP4" s="825">
        <v>0</v>
      </c>
      <c r="FQ4" s="825">
        <v>0</v>
      </c>
      <c r="FR4" s="825">
        <v>0</v>
      </c>
      <c r="FS4" s="825">
        <v>0</v>
      </c>
      <c r="FT4" s="825">
        <v>0</v>
      </c>
      <c r="FU4" s="825">
        <v>0</v>
      </c>
      <c r="FV4" s="825">
        <v>0</v>
      </c>
      <c r="FW4" s="825">
        <v>0</v>
      </c>
      <c r="FX4" s="825">
        <v>0</v>
      </c>
      <c r="FY4" s="825">
        <v>0</v>
      </c>
      <c r="FZ4" s="825">
        <v>0</v>
      </c>
      <c r="GA4" s="825">
        <v>0</v>
      </c>
      <c r="GB4" s="825">
        <v>0</v>
      </c>
      <c r="GC4" s="825">
        <v>0</v>
      </c>
      <c r="GD4" s="825">
        <v>0</v>
      </c>
      <c r="GE4" s="825">
        <v>0</v>
      </c>
      <c r="GF4" s="825">
        <v>0</v>
      </c>
      <c r="GG4" s="825">
        <v>0</v>
      </c>
      <c r="GH4" s="825">
        <v>0</v>
      </c>
      <c r="GI4" s="825">
        <v>0</v>
      </c>
      <c r="GJ4" s="825">
        <v>0</v>
      </c>
      <c r="GK4" s="825">
        <v>0</v>
      </c>
      <c r="GL4" s="825">
        <v>0</v>
      </c>
      <c r="GM4" s="825">
        <v>0</v>
      </c>
      <c r="GN4" s="825">
        <v>0</v>
      </c>
      <c r="GO4" s="825">
        <v>0</v>
      </c>
      <c r="GP4" s="825">
        <v>0</v>
      </c>
      <c r="GQ4" s="825">
        <v>0</v>
      </c>
      <c r="GR4" s="825">
        <v>0</v>
      </c>
      <c r="GS4" s="825">
        <v>0</v>
      </c>
      <c r="GT4" s="825">
        <v>0</v>
      </c>
      <c r="GU4" s="825">
        <v>0</v>
      </c>
      <c r="GV4" s="825">
        <v>0</v>
      </c>
      <c r="GW4" s="825">
        <v>0</v>
      </c>
      <c r="GX4" s="825">
        <v>0</v>
      </c>
      <c r="GY4" s="825">
        <v>0</v>
      </c>
      <c r="GZ4" s="825">
        <v>0</v>
      </c>
      <c r="HA4" s="825">
        <v>0</v>
      </c>
      <c r="HB4" s="825">
        <v>0</v>
      </c>
      <c r="HC4" s="825">
        <v>0</v>
      </c>
      <c r="HD4" s="825">
        <v>0</v>
      </c>
      <c r="HE4" s="825">
        <v>0</v>
      </c>
      <c r="HF4" s="825">
        <v>0</v>
      </c>
      <c r="HG4" s="825">
        <v>0</v>
      </c>
      <c r="HH4" s="825">
        <v>0</v>
      </c>
      <c r="HI4" s="825">
        <v>0</v>
      </c>
      <c r="HJ4" s="825">
        <v>0</v>
      </c>
      <c r="HK4" s="825">
        <v>0</v>
      </c>
      <c r="HL4" s="825">
        <v>0</v>
      </c>
      <c r="HM4" s="825">
        <v>0</v>
      </c>
      <c r="HN4" s="825">
        <v>0</v>
      </c>
      <c r="HO4" s="825">
        <v>0</v>
      </c>
      <c r="HP4" s="825">
        <v>0</v>
      </c>
      <c r="HQ4" s="825">
        <v>0</v>
      </c>
      <c r="HR4" s="825">
        <v>0</v>
      </c>
      <c r="HS4" s="825">
        <v>0</v>
      </c>
      <c r="HT4" s="825">
        <v>0</v>
      </c>
      <c r="HU4" s="825">
        <v>0</v>
      </c>
    </row>
    <row r="5" spans="1:229" ht="102">
      <c r="A5" s="823" t="s">
        <v>515</v>
      </c>
      <c r="B5" s="823" t="s">
        <v>944</v>
      </c>
      <c r="C5" s="823" t="s">
        <v>961</v>
      </c>
      <c r="D5" s="824" t="s">
        <v>962</v>
      </c>
      <c r="E5" s="824"/>
      <c r="F5" s="824"/>
      <c r="G5" s="824"/>
      <c r="H5" s="824"/>
      <c r="I5" s="824"/>
      <c r="J5" s="824"/>
      <c r="K5" s="824"/>
      <c r="L5" s="824"/>
      <c r="M5" s="824"/>
      <c r="N5" s="824"/>
      <c r="O5" s="824"/>
      <c r="P5" s="824"/>
      <c r="Q5" s="824"/>
      <c r="R5" s="824"/>
      <c r="S5" s="824"/>
      <c r="T5" s="824"/>
      <c r="U5" s="824"/>
      <c r="V5" s="824"/>
      <c r="W5" s="824"/>
      <c r="X5" s="824"/>
      <c r="Y5" s="824"/>
      <c r="Z5" s="824"/>
      <c r="AA5" s="824"/>
      <c r="AB5" s="824"/>
      <c r="AC5" s="824"/>
      <c r="AD5" s="824"/>
      <c r="AE5" s="824"/>
      <c r="AF5" s="824"/>
      <c r="AG5" s="824"/>
      <c r="AH5" s="824"/>
      <c r="AI5" s="824"/>
      <c r="AJ5" s="824"/>
      <c r="AK5" s="824"/>
      <c r="AL5" s="824"/>
      <c r="AM5" s="824"/>
      <c r="AN5" s="824"/>
      <c r="AO5" s="824"/>
      <c r="AP5" s="824"/>
      <c r="AQ5" s="824"/>
      <c r="AR5" s="824"/>
      <c r="AS5" s="824"/>
      <c r="AT5" s="824"/>
      <c r="AU5" s="824"/>
      <c r="AV5" s="824"/>
      <c r="AW5" s="824"/>
      <c r="AX5" s="824"/>
      <c r="AY5" s="824"/>
      <c r="AZ5" s="824"/>
      <c r="BA5" s="824"/>
      <c r="BB5" s="824"/>
      <c r="BC5" s="824"/>
      <c r="BD5" s="824"/>
      <c r="BE5" s="824"/>
      <c r="BF5" s="824"/>
      <c r="BG5" s="824"/>
      <c r="BH5" s="824"/>
      <c r="BI5" s="824"/>
      <c r="BJ5" s="824"/>
      <c r="BK5" s="824"/>
      <c r="BL5" s="824"/>
      <c r="BM5" s="824"/>
      <c r="BN5" s="824"/>
      <c r="BO5" s="824"/>
      <c r="BP5" s="824"/>
      <c r="BQ5" s="824"/>
      <c r="BR5" s="824"/>
      <c r="BS5" s="824"/>
      <c r="BT5" s="824"/>
      <c r="BU5" s="824"/>
      <c r="BV5" s="824"/>
      <c r="BW5" s="824"/>
      <c r="BX5" s="824"/>
      <c r="BY5" s="824"/>
      <c r="BZ5" s="824"/>
      <c r="CA5" s="824"/>
      <c r="CB5" s="824"/>
      <c r="CC5" s="824"/>
      <c r="CD5" s="824"/>
      <c r="CE5" s="824"/>
      <c r="CF5" s="824"/>
      <c r="CG5" s="824"/>
      <c r="CH5" s="824"/>
      <c r="CI5" s="824"/>
      <c r="CJ5" s="824"/>
      <c r="CK5" s="824"/>
      <c r="CL5" s="824"/>
      <c r="CM5" s="824"/>
      <c r="CN5" s="824"/>
      <c r="CO5" s="824"/>
      <c r="CP5" s="824"/>
      <c r="CQ5" s="824"/>
      <c r="CR5" s="824"/>
      <c r="CS5" s="824"/>
      <c r="CT5" s="824"/>
      <c r="CU5" s="824"/>
      <c r="CV5" s="824"/>
      <c r="CW5" s="824"/>
      <c r="CX5" s="824"/>
      <c r="CY5" s="824"/>
      <c r="CZ5" s="824"/>
      <c r="DA5" s="824"/>
      <c r="DB5" s="824"/>
      <c r="DC5" s="824"/>
      <c r="DD5" s="824"/>
      <c r="DE5" s="824"/>
      <c r="DF5" s="824"/>
      <c r="DG5" s="824"/>
      <c r="DH5" s="824"/>
      <c r="DI5" s="824"/>
      <c r="DJ5" s="824"/>
      <c r="DK5" s="824"/>
      <c r="DL5" s="824"/>
      <c r="DM5" s="825">
        <v>4.5</v>
      </c>
      <c r="DN5" s="825">
        <v>0</v>
      </c>
      <c r="DO5" s="825">
        <v>0</v>
      </c>
      <c r="DP5" s="825">
        <v>0</v>
      </c>
      <c r="DQ5" s="825">
        <v>0</v>
      </c>
      <c r="DR5" s="825">
        <v>0</v>
      </c>
      <c r="DS5" s="825">
        <v>0</v>
      </c>
      <c r="DT5" s="825">
        <v>0</v>
      </c>
      <c r="DU5" s="825">
        <v>0</v>
      </c>
      <c r="DV5" s="825">
        <v>0</v>
      </c>
      <c r="DW5" s="825">
        <v>0</v>
      </c>
      <c r="DX5" s="825">
        <v>0</v>
      </c>
      <c r="DY5" s="825">
        <v>0</v>
      </c>
      <c r="DZ5" s="825">
        <v>0</v>
      </c>
      <c r="EA5" s="825">
        <v>0</v>
      </c>
      <c r="EB5" s="825">
        <v>0</v>
      </c>
      <c r="EC5" s="825">
        <v>0</v>
      </c>
      <c r="ED5" s="825">
        <v>0</v>
      </c>
      <c r="EE5" s="825">
        <v>0</v>
      </c>
      <c r="EF5" s="825">
        <v>0</v>
      </c>
      <c r="EG5" s="825">
        <v>0</v>
      </c>
      <c r="EH5" s="825">
        <v>0</v>
      </c>
      <c r="EI5" s="825">
        <v>0</v>
      </c>
      <c r="EJ5" s="825">
        <v>0</v>
      </c>
      <c r="EK5" s="825">
        <v>0</v>
      </c>
      <c r="EL5" s="825">
        <v>0</v>
      </c>
      <c r="EM5" s="825">
        <v>0</v>
      </c>
      <c r="EN5" s="825">
        <v>0</v>
      </c>
      <c r="EO5" s="825">
        <v>0</v>
      </c>
      <c r="EP5" s="825">
        <v>0</v>
      </c>
      <c r="EQ5" s="825">
        <v>0</v>
      </c>
      <c r="ER5" s="825">
        <v>0</v>
      </c>
      <c r="ES5" s="825">
        <v>0</v>
      </c>
      <c r="ET5" s="825">
        <v>0</v>
      </c>
      <c r="EU5" s="825">
        <v>0</v>
      </c>
      <c r="EV5" s="825">
        <v>0</v>
      </c>
      <c r="EW5" s="825">
        <v>0</v>
      </c>
      <c r="EX5" s="825">
        <v>0</v>
      </c>
      <c r="EY5" s="825">
        <v>0</v>
      </c>
      <c r="EZ5" s="825">
        <v>0</v>
      </c>
      <c r="FA5" s="825">
        <v>0</v>
      </c>
      <c r="FB5" s="825">
        <v>0</v>
      </c>
      <c r="FC5" s="825">
        <v>0</v>
      </c>
      <c r="FD5" s="825">
        <v>0</v>
      </c>
      <c r="FE5" s="825">
        <v>0</v>
      </c>
      <c r="FF5" s="825">
        <v>0</v>
      </c>
      <c r="FG5" s="825">
        <v>0</v>
      </c>
      <c r="FH5" s="825">
        <v>0</v>
      </c>
      <c r="FI5" s="825">
        <v>0</v>
      </c>
      <c r="FJ5" s="825">
        <v>0</v>
      </c>
      <c r="FK5" s="825">
        <v>0</v>
      </c>
      <c r="FL5" s="825">
        <v>0</v>
      </c>
      <c r="FM5" s="825">
        <v>0</v>
      </c>
      <c r="FN5" s="825">
        <v>0</v>
      </c>
      <c r="FO5" s="825">
        <v>0</v>
      </c>
      <c r="FP5" s="825">
        <v>0</v>
      </c>
      <c r="FQ5" s="825">
        <v>0</v>
      </c>
      <c r="FR5" s="825">
        <v>0</v>
      </c>
      <c r="FS5" s="825">
        <v>0</v>
      </c>
      <c r="FT5" s="825">
        <v>0</v>
      </c>
      <c r="FU5" s="825">
        <v>0</v>
      </c>
      <c r="FV5" s="825">
        <v>0</v>
      </c>
      <c r="FW5" s="825">
        <v>0</v>
      </c>
      <c r="FX5" s="825">
        <v>0</v>
      </c>
      <c r="FY5" s="825">
        <v>0</v>
      </c>
      <c r="FZ5" s="825">
        <v>0</v>
      </c>
      <c r="GA5" s="825">
        <v>0</v>
      </c>
      <c r="GB5" s="825">
        <v>0</v>
      </c>
      <c r="GC5" s="825">
        <v>0</v>
      </c>
      <c r="GD5" s="825">
        <v>0</v>
      </c>
      <c r="GE5" s="825">
        <v>0</v>
      </c>
      <c r="GF5" s="825">
        <v>0</v>
      </c>
      <c r="GG5" s="825">
        <v>0</v>
      </c>
      <c r="GH5" s="825">
        <v>0</v>
      </c>
      <c r="GI5" s="825">
        <v>0</v>
      </c>
      <c r="GJ5" s="825">
        <v>0</v>
      </c>
      <c r="GK5" s="825">
        <v>0</v>
      </c>
      <c r="GL5" s="825">
        <v>0</v>
      </c>
      <c r="GM5" s="825">
        <v>0</v>
      </c>
      <c r="GN5" s="825">
        <v>0</v>
      </c>
      <c r="GO5" s="825">
        <v>0</v>
      </c>
      <c r="GP5" s="825">
        <v>0</v>
      </c>
      <c r="GQ5" s="825">
        <v>0</v>
      </c>
      <c r="GR5" s="825">
        <v>0</v>
      </c>
      <c r="GS5" s="825">
        <v>0</v>
      </c>
      <c r="GT5" s="825">
        <v>0</v>
      </c>
      <c r="GU5" s="825">
        <v>0</v>
      </c>
      <c r="GV5" s="825">
        <v>0</v>
      </c>
      <c r="GW5" s="825">
        <v>0</v>
      </c>
      <c r="GX5" s="825">
        <v>0</v>
      </c>
      <c r="GY5" s="825">
        <v>0</v>
      </c>
      <c r="GZ5" s="825">
        <v>0</v>
      </c>
      <c r="HA5" s="825">
        <v>0</v>
      </c>
      <c r="HB5" s="825">
        <v>0</v>
      </c>
      <c r="HC5" s="825">
        <v>0</v>
      </c>
      <c r="HD5" s="825">
        <v>0</v>
      </c>
      <c r="HE5" s="825">
        <v>0</v>
      </c>
      <c r="HF5" s="825">
        <v>0</v>
      </c>
      <c r="HG5" s="825">
        <v>0</v>
      </c>
      <c r="HH5" s="825">
        <v>0</v>
      </c>
      <c r="HI5" s="825">
        <v>0</v>
      </c>
      <c r="HJ5" s="825">
        <v>0</v>
      </c>
      <c r="HK5" s="825">
        <v>0</v>
      </c>
      <c r="HL5" s="825">
        <v>0</v>
      </c>
      <c r="HM5" s="825">
        <v>0</v>
      </c>
      <c r="HN5" s="825">
        <v>0</v>
      </c>
      <c r="HO5" s="825">
        <v>0</v>
      </c>
      <c r="HP5" s="825">
        <v>0</v>
      </c>
      <c r="HQ5" s="825">
        <v>0</v>
      </c>
      <c r="HR5" s="825">
        <v>0</v>
      </c>
      <c r="HS5" s="825">
        <v>0</v>
      </c>
      <c r="HT5" s="825">
        <v>0</v>
      </c>
      <c r="HU5" s="825">
        <v>0</v>
      </c>
    </row>
    <row r="6" spans="1:229" ht="76.5">
      <c r="A6" s="823" t="s">
        <v>515</v>
      </c>
      <c r="B6" s="823" t="s">
        <v>944</v>
      </c>
      <c r="C6" s="823" t="s">
        <v>963</v>
      </c>
      <c r="D6" s="824" t="s">
        <v>964</v>
      </c>
      <c r="E6" s="824"/>
      <c r="F6" s="824"/>
      <c r="G6" s="824"/>
      <c r="H6" s="824"/>
      <c r="I6" s="824" t="s">
        <v>965</v>
      </c>
      <c r="J6" s="824" t="s">
        <v>966</v>
      </c>
      <c r="K6" s="824" t="s">
        <v>967</v>
      </c>
      <c r="L6" s="824"/>
      <c r="M6" s="824"/>
      <c r="N6" s="824"/>
      <c r="O6" s="824" t="s">
        <v>968</v>
      </c>
      <c r="P6" s="824" t="s">
        <v>969</v>
      </c>
      <c r="Q6" s="824" t="s">
        <v>970</v>
      </c>
      <c r="R6" s="824"/>
      <c r="S6" s="824"/>
      <c r="T6" s="824"/>
      <c r="U6" s="824"/>
      <c r="V6" s="824"/>
      <c r="W6" s="824"/>
      <c r="X6" s="824"/>
      <c r="Y6" s="824"/>
      <c r="Z6" s="824"/>
      <c r="AA6" s="824"/>
      <c r="AB6" s="824"/>
      <c r="AC6" s="824"/>
      <c r="AD6" s="824"/>
      <c r="AE6" s="824"/>
      <c r="AF6" s="824"/>
      <c r="AG6" s="824"/>
      <c r="AH6" s="824"/>
      <c r="AI6" s="824"/>
      <c r="AJ6" s="824"/>
      <c r="AK6" s="824"/>
      <c r="AL6" s="824"/>
      <c r="AM6" s="824"/>
      <c r="AN6" s="824"/>
      <c r="AO6" s="824"/>
      <c r="AP6" s="824"/>
      <c r="AQ6" s="824"/>
      <c r="AR6" s="824"/>
      <c r="AS6" s="824"/>
      <c r="AT6" s="824"/>
      <c r="AU6" s="824"/>
      <c r="AV6" s="824"/>
      <c r="AW6" s="824"/>
      <c r="AX6" s="824"/>
      <c r="AY6" s="824"/>
      <c r="AZ6" s="824"/>
      <c r="BA6" s="824"/>
      <c r="BB6" s="824"/>
      <c r="BC6" s="824"/>
      <c r="BD6" s="824"/>
      <c r="BE6" s="824"/>
      <c r="BF6" s="824"/>
      <c r="BG6" s="824"/>
      <c r="BH6" s="824"/>
      <c r="BI6" s="824"/>
      <c r="BJ6" s="824"/>
      <c r="BK6" s="824"/>
      <c r="BL6" s="824"/>
      <c r="BM6" s="824"/>
      <c r="BN6" s="824"/>
      <c r="BO6" s="824"/>
      <c r="BP6" s="824"/>
      <c r="BQ6" s="824"/>
      <c r="BR6" s="824"/>
      <c r="BS6" s="824"/>
      <c r="BT6" s="824"/>
      <c r="BU6" s="824"/>
      <c r="BV6" s="824"/>
      <c r="BW6" s="824"/>
      <c r="BX6" s="824"/>
      <c r="BY6" s="824"/>
      <c r="BZ6" s="824"/>
      <c r="CA6" s="824"/>
      <c r="CB6" s="824"/>
      <c r="CC6" s="824"/>
      <c r="CD6" s="824"/>
      <c r="CE6" s="824"/>
      <c r="CF6" s="824"/>
      <c r="CG6" s="824"/>
      <c r="CH6" s="824"/>
      <c r="CI6" s="824"/>
      <c r="CJ6" s="824"/>
      <c r="CK6" s="824"/>
      <c r="CL6" s="824"/>
      <c r="CM6" s="824"/>
      <c r="CN6" s="824"/>
      <c r="CO6" s="824"/>
      <c r="CP6" s="824"/>
      <c r="CQ6" s="824"/>
      <c r="CR6" s="824"/>
      <c r="CS6" s="824"/>
      <c r="CT6" s="824"/>
      <c r="CU6" s="824"/>
      <c r="CV6" s="824"/>
      <c r="CW6" s="824"/>
      <c r="CX6" s="824"/>
      <c r="CY6" s="824"/>
      <c r="CZ6" s="824"/>
      <c r="DA6" s="824"/>
      <c r="DB6" s="824"/>
      <c r="DC6" s="824"/>
      <c r="DD6" s="824"/>
      <c r="DE6" s="824"/>
      <c r="DF6" s="824"/>
      <c r="DG6" s="824"/>
      <c r="DH6" s="824"/>
      <c r="DI6" s="824"/>
      <c r="DJ6" s="824"/>
      <c r="DK6" s="824"/>
      <c r="DL6" s="824"/>
      <c r="DM6" s="825">
        <v>36.4</v>
      </c>
      <c r="DN6" s="825">
        <v>0</v>
      </c>
      <c r="DO6" s="825">
        <v>0</v>
      </c>
      <c r="DP6" s="825">
        <v>0</v>
      </c>
      <c r="DQ6" s="825">
        <v>0</v>
      </c>
      <c r="DR6" s="825">
        <v>3.4</v>
      </c>
      <c r="DS6" s="825">
        <v>8.9</v>
      </c>
      <c r="DT6" s="825">
        <v>8.9</v>
      </c>
      <c r="DU6" s="825">
        <v>0</v>
      </c>
      <c r="DV6" s="825">
        <v>0</v>
      </c>
      <c r="DW6" s="825">
        <v>0</v>
      </c>
      <c r="DX6" s="825">
        <v>7.5</v>
      </c>
      <c r="DY6" s="825">
        <v>6.3</v>
      </c>
      <c r="DZ6" s="825">
        <v>3.5</v>
      </c>
      <c r="EA6" s="825">
        <v>0</v>
      </c>
      <c r="EB6" s="825">
        <v>0</v>
      </c>
      <c r="EC6" s="825">
        <v>0</v>
      </c>
      <c r="ED6" s="825">
        <v>0</v>
      </c>
      <c r="EE6" s="825">
        <v>0</v>
      </c>
      <c r="EF6" s="825">
        <v>0</v>
      </c>
      <c r="EG6" s="825">
        <v>0</v>
      </c>
      <c r="EH6" s="825">
        <v>0</v>
      </c>
      <c r="EI6" s="825">
        <v>0</v>
      </c>
      <c r="EJ6" s="825">
        <v>0</v>
      </c>
      <c r="EK6" s="825">
        <v>0</v>
      </c>
      <c r="EL6" s="825">
        <v>0</v>
      </c>
      <c r="EM6" s="825">
        <v>0</v>
      </c>
      <c r="EN6" s="825">
        <v>0</v>
      </c>
      <c r="EO6" s="825">
        <v>0</v>
      </c>
      <c r="EP6" s="825">
        <v>0</v>
      </c>
      <c r="EQ6" s="825">
        <v>0</v>
      </c>
      <c r="ER6" s="825">
        <v>0</v>
      </c>
      <c r="ES6" s="825">
        <v>0</v>
      </c>
      <c r="ET6" s="825">
        <v>0</v>
      </c>
      <c r="EU6" s="825">
        <v>0</v>
      </c>
      <c r="EV6" s="825">
        <v>0</v>
      </c>
      <c r="EW6" s="825">
        <v>0</v>
      </c>
      <c r="EX6" s="825">
        <v>0</v>
      </c>
      <c r="EY6" s="825">
        <v>0</v>
      </c>
      <c r="EZ6" s="825">
        <v>0</v>
      </c>
      <c r="FA6" s="825">
        <v>0</v>
      </c>
      <c r="FB6" s="825">
        <v>0</v>
      </c>
      <c r="FC6" s="825">
        <v>0</v>
      </c>
      <c r="FD6" s="825">
        <v>0</v>
      </c>
      <c r="FE6" s="825">
        <v>0</v>
      </c>
      <c r="FF6" s="825">
        <v>0</v>
      </c>
      <c r="FG6" s="825">
        <v>0</v>
      </c>
      <c r="FH6" s="825">
        <v>0</v>
      </c>
      <c r="FI6" s="825">
        <v>0</v>
      </c>
      <c r="FJ6" s="825">
        <v>0</v>
      </c>
      <c r="FK6" s="825">
        <v>0</v>
      </c>
      <c r="FL6" s="825">
        <v>0</v>
      </c>
      <c r="FM6" s="825">
        <v>0</v>
      </c>
      <c r="FN6" s="825">
        <v>0</v>
      </c>
      <c r="FO6" s="825">
        <v>0</v>
      </c>
      <c r="FP6" s="825">
        <v>0</v>
      </c>
      <c r="FQ6" s="825">
        <v>0</v>
      </c>
      <c r="FR6" s="825">
        <v>0</v>
      </c>
      <c r="FS6" s="825">
        <v>0</v>
      </c>
      <c r="FT6" s="825">
        <v>0</v>
      </c>
      <c r="FU6" s="825">
        <v>0</v>
      </c>
      <c r="FV6" s="825">
        <v>0</v>
      </c>
      <c r="FW6" s="825">
        <v>0</v>
      </c>
      <c r="FX6" s="825">
        <v>0</v>
      </c>
      <c r="FY6" s="825">
        <v>0</v>
      </c>
      <c r="FZ6" s="825">
        <v>0</v>
      </c>
      <c r="GA6" s="825">
        <v>0</v>
      </c>
      <c r="GB6" s="825">
        <v>0</v>
      </c>
      <c r="GC6" s="825">
        <v>0</v>
      </c>
      <c r="GD6" s="825">
        <v>0</v>
      </c>
      <c r="GE6" s="825">
        <v>0</v>
      </c>
      <c r="GF6" s="825">
        <v>0</v>
      </c>
      <c r="GG6" s="825">
        <v>0</v>
      </c>
      <c r="GH6" s="825">
        <v>0</v>
      </c>
      <c r="GI6" s="825">
        <v>0</v>
      </c>
      <c r="GJ6" s="825">
        <v>0</v>
      </c>
      <c r="GK6" s="825">
        <v>0</v>
      </c>
      <c r="GL6" s="825">
        <v>0</v>
      </c>
      <c r="GM6" s="825">
        <v>0</v>
      </c>
      <c r="GN6" s="825">
        <v>0</v>
      </c>
      <c r="GO6" s="825">
        <v>0</v>
      </c>
      <c r="GP6" s="825">
        <v>0</v>
      </c>
      <c r="GQ6" s="825">
        <v>0</v>
      </c>
      <c r="GR6" s="825">
        <v>0</v>
      </c>
      <c r="GS6" s="825">
        <v>0</v>
      </c>
      <c r="GT6" s="825">
        <v>0</v>
      </c>
      <c r="GU6" s="825">
        <v>0</v>
      </c>
      <c r="GV6" s="825">
        <v>0</v>
      </c>
      <c r="GW6" s="825">
        <v>0</v>
      </c>
      <c r="GX6" s="825">
        <v>0</v>
      </c>
      <c r="GY6" s="825">
        <v>0</v>
      </c>
      <c r="GZ6" s="825">
        <v>0</v>
      </c>
      <c r="HA6" s="825">
        <v>0</v>
      </c>
      <c r="HB6" s="825">
        <v>0</v>
      </c>
      <c r="HC6" s="825">
        <v>0</v>
      </c>
      <c r="HD6" s="825">
        <v>0</v>
      </c>
      <c r="HE6" s="825">
        <v>0</v>
      </c>
      <c r="HF6" s="825">
        <v>0</v>
      </c>
      <c r="HG6" s="825">
        <v>0</v>
      </c>
      <c r="HH6" s="825">
        <v>0</v>
      </c>
      <c r="HI6" s="825">
        <v>0</v>
      </c>
      <c r="HJ6" s="825">
        <v>0</v>
      </c>
      <c r="HK6" s="825">
        <v>0</v>
      </c>
      <c r="HL6" s="825">
        <v>0</v>
      </c>
      <c r="HM6" s="825">
        <v>0</v>
      </c>
      <c r="HN6" s="825">
        <v>0</v>
      </c>
      <c r="HO6" s="825">
        <v>0</v>
      </c>
      <c r="HP6" s="825">
        <v>0</v>
      </c>
      <c r="HQ6" s="825">
        <v>0</v>
      </c>
      <c r="HR6" s="825">
        <v>0</v>
      </c>
      <c r="HS6" s="825">
        <v>0</v>
      </c>
      <c r="HT6" s="825">
        <v>0</v>
      </c>
      <c r="HU6" s="825">
        <v>0</v>
      </c>
    </row>
    <row r="7" spans="1:229" ht="51">
      <c r="A7" s="823" t="s">
        <v>515</v>
      </c>
      <c r="B7" s="823" t="s">
        <v>971</v>
      </c>
      <c r="C7" s="823" t="s">
        <v>972</v>
      </c>
      <c r="D7" s="824"/>
      <c r="E7" s="824" t="s">
        <v>973</v>
      </c>
      <c r="F7" s="824"/>
      <c r="G7" s="824"/>
      <c r="H7" s="824"/>
      <c r="I7" s="824"/>
      <c r="J7" s="824"/>
      <c r="K7" s="824" t="s">
        <v>974</v>
      </c>
      <c r="L7" s="824" t="s">
        <v>975</v>
      </c>
      <c r="M7" s="824"/>
      <c r="N7" s="824"/>
      <c r="O7" s="824" t="s">
        <v>976</v>
      </c>
      <c r="P7" s="824" t="s">
        <v>977</v>
      </c>
      <c r="Q7" s="824"/>
      <c r="R7" s="824"/>
      <c r="S7" s="824"/>
      <c r="T7" s="824"/>
      <c r="U7" s="824"/>
      <c r="V7" s="824"/>
      <c r="W7" s="824"/>
      <c r="X7" s="824"/>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c r="BC7" s="824"/>
      <c r="BD7" s="824"/>
      <c r="BE7" s="824"/>
      <c r="BF7" s="824"/>
      <c r="BG7" s="824"/>
      <c r="BH7" s="824"/>
      <c r="BI7" s="824"/>
      <c r="BJ7" s="824"/>
      <c r="BK7" s="824"/>
      <c r="BL7" s="824"/>
      <c r="BM7" s="824"/>
      <c r="BN7" s="824"/>
      <c r="BO7" s="824"/>
      <c r="BP7" s="824"/>
      <c r="BQ7" s="824"/>
      <c r="BR7" s="824"/>
      <c r="BS7" s="824"/>
      <c r="BT7" s="824"/>
      <c r="BU7" s="824"/>
      <c r="BV7" s="824"/>
      <c r="BW7" s="824"/>
      <c r="BX7" s="824"/>
      <c r="BY7" s="824"/>
      <c r="BZ7" s="824"/>
      <c r="CA7" s="824"/>
      <c r="CB7" s="824"/>
      <c r="CC7" s="824"/>
      <c r="CD7" s="824"/>
      <c r="CE7" s="824"/>
      <c r="CF7" s="824"/>
      <c r="CG7" s="824"/>
      <c r="CH7" s="824"/>
      <c r="CI7" s="824"/>
      <c r="CJ7" s="824"/>
      <c r="CK7" s="824"/>
      <c r="CL7" s="824"/>
      <c r="CM7" s="824"/>
      <c r="CN7" s="824"/>
      <c r="CO7" s="824"/>
      <c r="CP7" s="824"/>
      <c r="CQ7" s="824"/>
      <c r="CR7" s="824"/>
      <c r="CS7" s="824"/>
      <c r="CT7" s="824"/>
      <c r="CU7" s="824"/>
      <c r="CV7" s="824"/>
      <c r="CW7" s="824"/>
      <c r="CX7" s="824"/>
      <c r="CY7" s="824"/>
      <c r="CZ7" s="824"/>
      <c r="DA7" s="824"/>
      <c r="DB7" s="824"/>
      <c r="DC7" s="824"/>
      <c r="DD7" s="824"/>
      <c r="DE7" s="824"/>
      <c r="DF7" s="824"/>
      <c r="DG7" s="824"/>
      <c r="DH7" s="824"/>
      <c r="DI7" s="824"/>
      <c r="DJ7" s="824"/>
      <c r="DK7" s="824"/>
      <c r="DL7" s="824"/>
      <c r="DM7" s="825">
        <v>0</v>
      </c>
      <c r="DN7" s="825">
        <v>6</v>
      </c>
      <c r="DO7" s="825">
        <v>0</v>
      </c>
      <c r="DP7" s="825">
        <v>0</v>
      </c>
      <c r="DQ7" s="825">
        <v>0</v>
      </c>
      <c r="DR7" s="825">
        <v>0</v>
      </c>
      <c r="DS7" s="825">
        <v>0</v>
      </c>
      <c r="DT7" s="825">
        <v>9.8000000000000007</v>
      </c>
      <c r="DU7" s="825">
        <v>11.4</v>
      </c>
      <c r="DV7" s="825">
        <v>0</v>
      </c>
      <c r="DW7" s="825">
        <v>0</v>
      </c>
      <c r="DX7" s="825">
        <v>6.5</v>
      </c>
      <c r="DY7" s="825">
        <v>9.1</v>
      </c>
      <c r="DZ7" s="825">
        <v>0</v>
      </c>
      <c r="EA7" s="825">
        <v>0</v>
      </c>
      <c r="EB7" s="825">
        <v>0</v>
      </c>
      <c r="EC7" s="825">
        <v>0</v>
      </c>
      <c r="ED7" s="825">
        <v>0</v>
      </c>
      <c r="EE7" s="825">
        <v>0</v>
      </c>
      <c r="EF7" s="825">
        <v>0</v>
      </c>
      <c r="EG7" s="825">
        <v>0</v>
      </c>
      <c r="EH7" s="825">
        <v>0</v>
      </c>
      <c r="EI7" s="825">
        <v>0</v>
      </c>
      <c r="EJ7" s="825">
        <v>0</v>
      </c>
      <c r="EK7" s="825">
        <v>0</v>
      </c>
      <c r="EL7" s="825">
        <v>0</v>
      </c>
      <c r="EM7" s="825">
        <v>0</v>
      </c>
      <c r="EN7" s="825">
        <v>0</v>
      </c>
      <c r="EO7" s="825">
        <v>0</v>
      </c>
      <c r="EP7" s="825">
        <v>0</v>
      </c>
      <c r="EQ7" s="825">
        <v>0</v>
      </c>
      <c r="ER7" s="825">
        <v>0</v>
      </c>
      <c r="ES7" s="825">
        <v>0</v>
      </c>
      <c r="ET7" s="825">
        <v>0</v>
      </c>
      <c r="EU7" s="825">
        <v>0</v>
      </c>
      <c r="EV7" s="825">
        <v>0</v>
      </c>
      <c r="EW7" s="825">
        <v>0</v>
      </c>
      <c r="EX7" s="825">
        <v>0</v>
      </c>
      <c r="EY7" s="825">
        <v>0</v>
      </c>
      <c r="EZ7" s="825">
        <v>0</v>
      </c>
      <c r="FA7" s="825">
        <v>0</v>
      </c>
      <c r="FB7" s="825">
        <v>0</v>
      </c>
      <c r="FC7" s="825">
        <v>0</v>
      </c>
      <c r="FD7" s="825">
        <v>0</v>
      </c>
      <c r="FE7" s="825">
        <v>0</v>
      </c>
      <c r="FF7" s="825">
        <v>0</v>
      </c>
      <c r="FG7" s="825">
        <v>0</v>
      </c>
      <c r="FH7" s="825">
        <v>0</v>
      </c>
      <c r="FI7" s="825">
        <v>0</v>
      </c>
      <c r="FJ7" s="825">
        <v>0</v>
      </c>
      <c r="FK7" s="825">
        <v>0</v>
      </c>
      <c r="FL7" s="825">
        <v>0</v>
      </c>
      <c r="FM7" s="825">
        <v>0</v>
      </c>
      <c r="FN7" s="825">
        <v>0</v>
      </c>
      <c r="FO7" s="825">
        <v>0</v>
      </c>
      <c r="FP7" s="825">
        <v>0</v>
      </c>
      <c r="FQ7" s="825">
        <v>0</v>
      </c>
      <c r="FR7" s="825">
        <v>0</v>
      </c>
      <c r="FS7" s="825">
        <v>0</v>
      </c>
      <c r="FT7" s="825">
        <v>0</v>
      </c>
      <c r="FU7" s="825">
        <v>0</v>
      </c>
      <c r="FV7" s="825">
        <v>0</v>
      </c>
      <c r="FW7" s="825">
        <v>0</v>
      </c>
      <c r="FX7" s="825">
        <v>0</v>
      </c>
      <c r="FY7" s="825">
        <v>0</v>
      </c>
      <c r="FZ7" s="825">
        <v>0</v>
      </c>
      <c r="GA7" s="825">
        <v>0</v>
      </c>
      <c r="GB7" s="825">
        <v>0</v>
      </c>
      <c r="GC7" s="825">
        <v>0</v>
      </c>
      <c r="GD7" s="825">
        <v>0</v>
      </c>
      <c r="GE7" s="825">
        <v>0</v>
      </c>
      <c r="GF7" s="825">
        <v>0</v>
      </c>
      <c r="GG7" s="825">
        <v>0</v>
      </c>
      <c r="GH7" s="825">
        <v>0</v>
      </c>
      <c r="GI7" s="825">
        <v>0</v>
      </c>
      <c r="GJ7" s="825">
        <v>0</v>
      </c>
      <c r="GK7" s="825">
        <v>0</v>
      </c>
      <c r="GL7" s="825">
        <v>0</v>
      </c>
      <c r="GM7" s="825">
        <v>0</v>
      </c>
      <c r="GN7" s="825">
        <v>0</v>
      </c>
      <c r="GO7" s="825">
        <v>0</v>
      </c>
      <c r="GP7" s="825">
        <v>0</v>
      </c>
      <c r="GQ7" s="825">
        <v>0</v>
      </c>
      <c r="GR7" s="825">
        <v>0</v>
      </c>
      <c r="GS7" s="825">
        <v>0</v>
      </c>
      <c r="GT7" s="825">
        <v>0</v>
      </c>
      <c r="GU7" s="825">
        <v>0</v>
      </c>
      <c r="GV7" s="825">
        <v>0</v>
      </c>
      <c r="GW7" s="825">
        <v>0</v>
      </c>
      <c r="GX7" s="825">
        <v>0</v>
      </c>
      <c r="GY7" s="825">
        <v>0</v>
      </c>
      <c r="GZ7" s="825">
        <v>0</v>
      </c>
      <c r="HA7" s="825">
        <v>0</v>
      </c>
      <c r="HB7" s="825">
        <v>0</v>
      </c>
      <c r="HC7" s="825">
        <v>0</v>
      </c>
      <c r="HD7" s="825">
        <v>0</v>
      </c>
      <c r="HE7" s="825">
        <v>0</v>
      </c>
      <c r="HF7" s="825">
        <v>0</v>
      </c>
      <c r="HG7" s="825">
        <v>0</v>
      </c>
      <c r="HH7" s="825">
        <v>0</v>
      </c>
      <c r="HI7" s="825">
        <v>0</v>
      </c>
      <c r="HJ7" s="825">
        <v>0</v>
      </c>
      <c r="HK7" s="825">
        <v>0</v>
      </c>
      <c r="HL7" s="825">
        <v>0</v>
      </c>
      <c r="HM7" s="825">
        <v>0</v>
      </c>
      <c r="HN7" s="825">
        <v>0</v>
      </c>
      <c r="HO7" s="825">
        <v>0</v>
      </c>
      <c r="HP7" s="825">
        <v>0</v>
      </c>
      <c r="HQ7" s="825">
        <v>0</v>
      </c>
      <c r="HR7" s="825">
        <v>0</v>
      </c>
      <c r="HS7" s="825">
        <v>0</v>
      </c>
      <c r="HT7" s="825">
        <v>0</v>
      </c>
      <c r="HU7" s="825">
        <v>0</v>
      </c>
    </row>
    <row r="8" spans="1:229" ht="51">
      <c r="A8" s="823" t="s">
        <v>515</v>
      </c>
      <c r="B8" s="823" t="s">
        <v>971</v>
      </c>
      <c r="C8" s="823" t="s">
        <v>978</v>
      </c>
      <c r="D8" s="824" t="s">
        <v>979</v>
      </c>
      <c r="E8" s="824" t="s">
        <v>980</v>
      </c>
      <c r="F8" s="824"/>
      <c r="G8" s="824"/>
      <c r="H8" s="824"/>
      <c r="I8" s="824"/>
      <c r="J8" s="824"/>
      <c r="K8" s="824"/>
      <c r="L8" s="824"/>
      <c r="M8" s="824"/>
      <c r="N8" s="824"/>
      <c r="O8" s="824"/>
      <c r="P8" s="824"/>
      <c r="Q8" s="824"/>
      <c r="R8" s="824"/>
      <c r="S8" s="824"/>
      <c r="T8" s="824"/>
      <c r="U8" s="824"/>
      <c r="V8" s="824"/>
      <c r="W8" s="824"/>
      <c r="X8" s="824"/>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c r="BC8" s="824"/>
      <c r="BD8" s="824"/>
      <c r="BE8" s="824"/>
      <c r="BF8" s="824"/>
      <c r="BG8" s="824"/>
      <c r="BH8" s="824"/>
      <c r="BI8" s="824"/>
      <c r="BJ8" s="824"/>
      <c r="BK8" s="824"/>
      <c r="BL8" s="824"/>
      <c r="BM8" s="824"/>
      <c r="BN8" s="824"/>
      <c r="BO8" s="824"/>
      <c r="BP8" s="824"/>
      <c r="BQ8" s="824"/>
      <c r="BR8" s="824"/>
      <c r="BS8" s="824"/>
      <c r="BT8" s="824"/>
      <c r="BU8" s="824"/>
      <c r="BV8" s="824"/>
      <c r="BW8" s="824"/>
      <c r="BX8" s="824"/>
      <c r="BY8" s="824"/>
      <c r="BZ8" s="824"/>
      <c r="CA8" s="824"/>
      <c r="CB8" s="824"/>
      <c r="CC8" s="824"/>
      <c r="CD8" s="824"/>
      <c r="CE8" s="824"/>
      <c r="CF8" s="824"/>
      <c r="CG8" s="824"/>
      <c r="CH8" s="824"/>
      <c r="CI8" s="824"/>
      <c r="CJ8" s="824"/>
      <c r="CK8" s="824"/>
      <c r="CL8" s="824"/>
      <c r="CM8" s="824"/>
      <c r="CN8" s="824"/>
      <c r="CO8" s="824"/>
      <c r="CP8" s="824"/>
      <c r="CQ8" s="824"/>
      <c r="CR8" s="824"/>
      <c r="CS8" s="824"/>
      <c r="CT8" s="824"/>
      <c r="CU8" s="824"/>
      <c r="CV8" s="824"/>
      <c r="CW8" s="824"/>
      <c r="CX8" s="824"/>
      <c r="CY8" s="824"/>
      <c r="CZ8" s="824"/>
      <c r="DA8" s="824"/>
      <c r="DB8" s="824"/>
      <c r="DC8" s="824"/>
      <c r="DD8" s="824"/>
      <c r="DE8" s="824"/>
      <c r="DF8" s="824"/>
      <c r="DG8" s="824"/>
      <c r="DH8" s="824"/>
      <c r="DI8" s="824"/>
      <c r="DJ8" s="824"/>
      <c r="DK8" s="824"/>
      <c r="DL8" s="824"/>
      <c r="DM8" s="825">
        <v>10.4</v>
      </c>
      <c r="DN8" s="825">
        <v>10.8</v>
      </c>
      <c r="DO8" s="825">
        <v>0</v>
      </c>
      <c r="DP8" s="825">
        <v>0</v>
      </c>
      <c r="DQ8" s="825">
        <v>0</v>
      </c>
      <c r="DR8" s="825">
        <v>0</v>
      </c>
      <c r="DS8" s="825">
        <v>0</v>
      </c>
      <c r="DT8" s="825">
        <v>0</v>
      </c>
      <c r="DU8" s="825">
        <v>0</v>
      </c>
      <c r="DV8" s="825">
        <v>0</v>
      </c>
      <c r="DW8" s="825">
        <v>0</v>
      </c>
      <c r="DX8" s="825">
        <v>0</v>
      </c>
      <c r="DY8" s="825">
        <v>0</v>
      </c>
      <c r="DZ8" s="825">
        <v>0</v>
      </c>
      <c r="EA8" s="825">
        <v>0</v>
      </c>
      <c r="EB8" s="825">
        <v>0</v>
      </c>
      <c r="EC8" s="825">
        <v>0</v>
      </c>
      <c r="ED8" s="825">
        <v>0</v>
      </c>
      <c r="EE8" s="825">
        <v>0</v>
      </c>
      <c r="EF8" s="825">
        <v>0</v>
      </c>
      <c r="EG8" s="825">
        <v>0</v>
      </c>
      <c r="EH8" s="825">
        <v>0</v>
      </c>
      <c r="EI8" s="825">
        <v>0</v>
      </c>
      <c r="EJ8" s="825">
        <v>0</v>
      </c>
      <c r="EK8" s="825">
        <v>0</v>
      </c>
      <c r="EL8" s="825">
        <v>0</v>
      </c>
      <c r="EM8" s="825">
        <v>0</v>
      </c>
      <c r="EN8" s="825">
        <v>0</v>
      </c>
      <c r="EO8" s="825">
        <v>0</v>
      </c>
      <c r="EP8" s="825">
        <v>0</v>
      </c>
      <c r="EQ8" s="825">
        <v>0</v>
      </c>
      <c r="ER8" s="825">
        <v>0</v>
      </c>
      <c r="ES8" s="825">
        <v>0</v>
      </c>
      <c r="ET8" s="825">
        <v>0</v>
      </c>
      <c r="EU8" s="825">
        <v>0</v>
      </c>
      <c r="EV8" s="825">
        <v>0</v>
      </c>
      <c r="EW8" s="825">
        <v>0</v>
      </c>
      <c r="EX8" s="825">
        <v>0</v>
      </c>
      <c r="EY8" s="825">
        <v>0</v>
      </c>
      <c r="EZ8" s="825">
        <v>0</v>
      </c>
      <c r="FA8" s="825">
        <v>0</v>
      </c>
      <c r="FB8" s="825">
        <v>0</v>
      </c>
      <c r="FC8" s="825">
        <v>0</v>
      </c>
      <c r="FD8" s="825">
        <v>0</v>
      </c>
      <c r="FE8" s="825">
        <v>0</v>
      </c>
      <c r="FF8" s="825">
        <v>0</v>
      </c>
      <c r="FG8" s="825">
        <v>0</v>
      </c>
      <c r="FH8" s="825">
        <v>0</v>
      </c>
      <c r="FI8" s="825">
        <v>0</v>
      </c>
      <c r="FJ8" s="825">
        <v>0</v>
      </c>
      <c r="FK8" s="825">
        <v>0</v>
      </c>
      <c r="FL8" s="825">
        <v>0</v>
      </c>
      <c r="FM8" s="825">
        <v>0</v>
      </c>
      <c r="FN8" s="825">
        <v>0</v>
      </c>
      <c r="FO8" s="825">
        <v>0</v>
      </c>
      <c r="FP8" s="825">
        <v>0</v>
      </c>
      <c r="FQ8" s="825">
        <v>0</v>
      </c>
      <c r="FR8" s="825">
        <v>0</v>
      </c>
      <c r="FS8" s="825">
        <v>0</v>
      </c>
      <c r="FT8" s="825">
        <v>0</v>
      </c>
      <c r="FU8" s="825">
        <v>0</v>
      </c>
      <c r="FV8" s="825">
        <v>0</v>
      </c>
      <c r="FW8" s="825">
        <v>0</v>
      </c>
      <c r="FX8" s="825">
        <v>0</v>
      </c>
      <c r="FY8" s="825">
        <v>0</v>
      </c>
      <c r="FZ8" s="825">
        <v>0</v>
      </c>
      <c r="GA8" s="825">
        <v>0</v>
      </c>
      <c r="GB8" s="825">
        <v>0</v>
      </c>
      <c r="GC8" s="825">
        <v>0</v>
      </c>
      <c r="GD8" s="825">
        <v>0</v>
      </c>
      <c r="GE8" s="825">
        <v>0</v>
      </c>
      <c r="GF8" s="825">
        <v>0</v>
      </c>
      <c r="GG8" s="825">
        <v>0</v>
      </c>
      <c r="GH8" s="825">
        <v>0</v>
      </c>
      <c r="GI8" s="825">
        <v>0</v>
      </c>
      <c r="GJ8" s="825">
        <v>0</v>
      </c>
      <c r="GK8" s="825">
        <v>0</v>
      </c>
      <c r="GL8" s="825">
        <v>0</v>
      </c>
      <c r="GM8" s="825">
        <v>0</v>
      </c>
      <c r="GN8" s="825">
        <v>0</v>
      </c>
      <c r="GO8" s="825">
        <v>0</v>
      </c>
      <c r="GP8" s="825">
        <v>0</v>
      </c>
      <c r="GQ8" s="825">
        <v>0</v>
      </c>
      <c r="GR8" s="825">
        <v>0</v>
      </c>
      <c r="GS8" s="825">
        <v>0</v>
      </c>
      <c r="GT8" s="825">
        <v>0</v>
      </c>
      <c r="GU8" s="825">
        <v>0</v>
      </c>
      <c r="GV8" s="825">
        <v>0</v>
      </c>
      <c r="GW8" s="825">
        <v>0</v>
      </c>
      <c r="GX8" s="825">
        <v>0</v>
      </c>
      <c r="GY8" s="825">
        <v>0</v>
      </c>
      <c r="GZ8" s="825">
        <v>0</v>
      </c>
      <c r="HA8" s="825">
        <v>0</v>
      </c>
      <c r="HB8" s="825">
        <v>0</v>
      </c>
      <c r="HC8" s="825">
        <v>0</v>
      </c>
      <c r="HD8" s="825">
        <v>0</v>
      </c>
      <c r="HE8" s="825">
        <v>0</v>
      </c>
      <c r="HF8" s="825">
        <v>0</v>
      </c>
      <c r="HG8" s="825">
        <v>0</v>
      </c>
      <c r="HH8" s="825">
        <v>0</v>
      </c>
      <c r="HI8" s="825">
        <v>0</v>
      </c>
      <c r="HJ8" s="825">
        <v>0</v>
      </c>
      <c r="HK8" s="825">
        <v>0</v>
      </c>
      <c r="HL8" s="825">
        <v>0</v>
      </c>
      <c r="HM8" s="825">
        <v>0</v>
      </c>
      <c r="HN8" s="825">
        <v>0</v>
      </c>
      <c r="HO8" s="825">
        <v>0</v>
      </c>
      <c r="HP8" s="825">
        <v>0</v>
      </c>
      <c r="HQ8" s="825">
        <v>0</v>
      </c>
      <c r="HR8" s="825">
        <v>0</v>
      </c>
      <c r="HS8" s="825">
        <v>0</v>
      </c>
      <c r="HT8" s="825">
        <v>0</v>
      </c>
      <c r="HU8" s="825">
        <v>0</v>
      </c>
    </row>
    <row r="9" spans="1:229" ht="51">
      <c r="A9" s="823" t="s">
        <v>515</v>
      </c>
      <c r="B9" s="823" t="s">
        <v>971</v>
      </c>
      <c r="C9" s="823" t="s">
        <v>981</v>
      </c>
      <c r="D9" s="824" t="s">
        <v>982</v>
      </c>
      <c r="E9" s="824" t="s">
        <v>983</v>
      </c>
      <c r="F9" s="824" t="s">
        <v>984</v>
      </c>
      <c r="G9" s="824"/>
      <c r="H9" s="824"/>
      <c r="I9" s="824"/>
      <c r="J9" s="824"/>
      <c r="K9" s="824"/>
      <c r="L9" s="824"/>
      <c r="M9" s="824"/>
      <c r="N9" s="824"/>
      <c r="O9" s="824"/>
      <c r="P9" s="824"/>
      <c r="Q9" s="824"/>
      <c r="R9" s="824"/>
      <c r="S9" s="824"/>
      <c r="T9" s="824"/>
      <c r="U9" s="824"/>
      <c r="V9" s="824"/>
      <c r="W9" s="824"/>
      <c r="X9" s="824"/>
      <c r="Y9" s="824"/>
      <c r="Z9" s="824"/>
      <c r="AA9" s="824"/>
      <c r="AB9" s="824"/>
      <c r="AC9" s="824"/>
      <c r="AD9" s="824"/>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c r="BC9" s="824"/>
      <c r="BD9" s="824"/>
      <c r="BE9" s="824"/>
      <c r="BF9" s="824"/>
      <c r="BG9" s="824"/>
      <c r="BH9" s="824"/>
      <c r="BI9" s="824"/>
      <c r="BJ9" s="824"/>
      <c r="BK9" s="824"/>
      <c r="BL9" s="824"/>
      <c r="BM9" s="824"/>
      <c r="BN9" s="824"/>
      <c r="BO9" s="824"/>
      <c r="BP9" s="824"/>
      <c r="BQ9" s="824"/>
      <c r="BR9" s="824"/>
      <c r="BS9" s="824"/>
      <c r="BT9" s="824"/>
      <c r="BU9" s="824"/>
      <c r="BV9" s="824"/>
      <c r="BW9" s="824"/>
      <c r="BX9" s="824"/>
      <c r="BY9" s="824"/>
      <c r="BZ9" s="824"/>
      <c r="CA9" s="824"/>
      <c r="CB9" s="824"/>
      <c r="CC9" s="824"/>
      <c r="CD9" s="824"/>
      <c r="CE9" s="824"/>
      <c r="CF9" s="824"/>
      <c r="CG9" s="824"/>
      <c r="CH9" s="824"/>
      <c r="CI9" s="824"/>
      <c r="CJ9" s="824"/>
      <c r="CK9" s="824"/>
      <c r="CL9" s="824"/>
      <c r="CM9" s="824"/>
      <c r="CN9" s="824"/>
      <c r="CO9" s="824"/>
      <c r="CP9" s="824"/>
      <c r="CQ9" s="824"/>
      <c r="CR9" s="824"/>
      <c r="CS9" s="824"/>
      <c r="CT9" s="824"/>
      <c r="CU9" s="824"/>
      <c r="CV9" s="824"/>
      <c r="CW9" s="824"/>
      <c r="CX9" s="824"/>
      <c r="CY9" s="824"/>
      <c r="CZ9" s="824"/>
      <c r="DA9" s="824"/>
      <c r="DB9" s="824"/>
      <c r="DC9" s="824"/>
      <c r="DD9" s="824"/>
      <c r="DE9" s="824"/>
      <c r="DF9" s="824"/>
      <c r="DG9" s="824"/>
      <c r="DH9" s="824"/>
      <c r="DI9" s="824"/>
      <c r="DJ9" s="824"/>
      <c r="DK9" s="824"/>
      <c r="DL9" s="824"/>
      <c r="DM9" s="825">
        <v>12</v>
      </c>
      <c r="DN9" s="825">
        <v>13.1</v>
      </c>
      <c r="DO9" s="825">
        <v>11.8</v>
      </c>
      <c r="DP9" s="825">
        <v>0</v>
      </c>
      <c r="DQ9" s="825">
        <v>0</v>
      </c>
      <c r="DR9" s="825">
        <v>0</v>
      </c>
      <c r="DS9" s="825">
        <v>0</v>
      </c>
      <c r="DT9" s="825">
        <v>0</v>
      </c>
      <c r="DU9" s="825">
        <v>0</v>
      </c>
      <c r="DV9" s="825">
        <v>0</v>
      </c>
      <c r="DW9" s="825">
        <v>0</v>
      </c>
      <c r="DX9" s="825">
        <v>0</v>
      </c>
      <c r="DY9" s="825">
        <v>0</v>
      </c>
      <c r="DZ9" s="825">
        <v>0</v>
      </c>
      <c r="EA9" s="825">
        <v>0</v>
      </c>
      <c r="EB9" s="825">
        <v>0</v>
      </c>
      <c r="EC9" s="825">
        <v>0</v>
      </c>
      <c r="ED9" s="825">
        <v>0</v>
      </c>
      <c r="EE9" s="825">
        <v>0</v>
      </c>
      <c r="EF9" s="825">
        <v>0</v>
      </c>
      <c r="EG9" s="825">
        <v>0</v>
      </c>
      <c r="EH9" s="825">
        <v>0</v>
      </c>
      <c r="EI9" s="825">
        <v>0</v>
      </c>
      <c r="EJ9" s="825">
        <v>0</v>
      </c>
      <c r="EK9" s="825">
        <v>0</v>
      </c>
      <c r="EL9" s="825">
        <v>0</v>
      </c>
      <c r="EM9" s="825">
        <v>0</v>
      </c>
      <c r="EN9" s="825">
        <v>0</v>
      </c>
      <c r="EO9" s="825">
        <v>0</v>
      </c>
      <c r="EP9" s="825">
        <v>0</v>
      </c>
      <c r="EQ9" s="825">
        <v>0</v>
      </c>
      <c r="ER9" s="825">
        <v>0</v>
      </c>
      <c r="ES9" s="825">
        <v>0</v>
      </c>
      <c r="ET9" s="825">
        <v>0</v>
      </c>
      <c r="EU9" s="825">
        <v>0</v>
      </c>
      <c r="EV9" s="825">
        <v>0</v>
      </c>
      <c r="EW9" s="825">
        <v>0</v>
      </c>
      <c r="EX9" s="825">
        <v>0</v>
      </c>
      <c r="EY9" s="825">
        <v>0</v>
      </c>
      <c r="EZ9" s="825">
        <v>0</v>
      </c>
      <c r="FA9" s="825">
        <v>0</v>
      </c>
      <c r="FB9" s="825">
        <v>0</v>
      </c>
      <c r="FC9" s="825">
        <v>0</v>
      </c>
      <c r="FD9" s="825">
        <v>0</v>
      </c>
      <c r="FE9" s="825">
        <v>0</v>
      </c>
      <c r="FF9" s="825">
        <v>0</v>
      </c>
      <c r="FG9" s="825">
        <v>0</v>
      </c>
      <c r="FH9" s="825">
        <v>0</v>
      </c>
      <c r="FI9" s="825">
        <v>0</v>
      </c>
      <c r="FJ9" s="825">
        <v>0</v>
      </c>
      <c r="FK9" s="825">
        <v>0</v>
      </c>
      <c r="FL9" s="825">
        <v>0</v>
      </c>
      <c r="FM9" s="825">
        <v>0</v>
      </c>
      <c r="FN9" s="825">
        <v>0</v>
      </c>
      <c r="FO9" s="825">
        <v>0</v>
      </c>
      <c r="FP9" s="825">
        <v>0</v>
      </c>
      <c r="FQ9" s="825">
        <v>0</v>
      </c>
      <c r="FR9" s="825">
        <v>0</v>
      </c>
      <c r="FS9" s="825">
        <v>0</v>
      </c>
      <c r="FT9" s="825">
        <v>0</v>
      </c>
      <c r="FU9" s="825">
        <v>0</v>
      </c>
      <c r="FV9" s="825">
        <v>0</v>
      </c>
      <c r="FW9" s="825">
        <v>0</v>
      </c>
      <c r="FX9" s="825">
        <v>0</v>
      </c>
      <c r="FY9" s="825">
        <v>0</v>
      </c>
      <c r="FZ9" s="825">
        <v>0</v>
      </c>
      <c r="GA9" s="825">
        <v>0</v>
      </c>
      <c r="GB9" s="825">
        <v>0</v>
      </c>
      <c r="GC9" s="825">
        <v>0</v>
      </c>
      <c r="GD9" s="825">
        <v>0</v>
      </c>
      <c r="GE9" s="825">
        <v>0</v>
      </c>
      <c r="GF9" s="825">
        <v>0</v>
      </c>
      <c r="GG9" s="825">
        <v>0</v>
      </c>
      <c r="GH9" s="825">
        <v>0</v>
      </c>
      <c r="GI9" s="825">
        <v>0</v>
      </c>
      <c r="GJ9" s="825">
        <v>0</v>
      </c>
      <c r="GK9" s="825">
        <v>0</v>
      </c>
      <c r="GL9" s="825">
        <v>0</v>
      </c>
      <c r="GM9" s="825">
        <v>0</v>
      </c>
      <c r="GN9" s="825">
        <v>0</v>
      </c>
      <c r="GO9" s="825">
        <v>0</v>
      </c>
      <c r="GP9" s="825">
        <v>0</v>
      </c>
      <c r="GQ9" s="825">
        <v>0</v>
      </c>
      <c r="GR9" s="825">
        <v>0</v>
      </c>
      <c r="GS9" s="825">
        <v>0</v>
      </c>
      <c r="GT9" s="825">
        <v>0</v>
      </c>
      <c r="GU9" s="825">
        <v>0</v>
      </c>
      <c r="GV9" s="825">
        <v>0</v>
      </c>
      <c r="GW9" s="825">
        <v>0</v>
      </c>
      <c r="GX9" s="825">
        <v>0</v>
      </c>
      <c r="GY9" s="825">
        <v>0</v>
      </c>
      <c r="GZ9" s="825">
        <v>0</v>
      </c>
      <c r="HA9" s="825">
        <v>0</v>
      </c>
      <c r="HB9" s="825">
        <v>0</v>
      </c>
      <c r="HC9" s="825">
        <v>0</v>
      </c>
      <c r="HD9" s="825">
        <v>0</v>
      </c>
      <c r="HE9" s="825">
        <v>0</v>
      </c>
      <c r="HF9" s="825">
        <v>0</v>
      </c>
      <c r="HG9" s="825">
        <v>0</v>
      </c>
      <c r="HH9" s="825">
        <v>0</v>
      </c>
      <c r="HI9" s="825">
        <v>0</v>
      </c>
      <c r="HJ9" s="825">
        <v>0</v>
      </c>
      <c r="HK9" s="825">
        <v>0</v>
      </c>
      <c r="HL9" s="825">
        <v>0</v>
      </c>
      <c r="HM9" s="825">
        <v>0</v>
      </c>
      <c r="HN9" s="825">
        <v>0</v>
      </c>
      <c r="HO9" s="825">
        <v>0</v>
      </c>
      <c r="HP9" s="825">
        <v>0</v>
      </c>
      <c r="HQ9" s="825">
        <v>0</v>
      </c>
      <c r="HR9" s="825">
        <v>0</v>
      </c>
      <c r="HS9" s="825">
        <v>0</v>
      </c>
      <c r="HT9" s="825">
        <v>0</v>
      </c>
      <c r="HU9" s="825">
        <v>0</v>
      </c>
    </row>
    <row r="10" spans="1:229" ht="89.25">
      <c r="A10" s="823" t="s">
        <v>515</v>
      </c>
      <c r="B10" s="823" t="s">
        <v>985</v>
      </c>
      <c r="C10" s="823" t="s">
        <v>986</v>
      </c>
      <c r="D10" s="824"/>
      <c r="E10" s="824" t="s">
        <v>987</v>
      </c>
      <c r="F10" s="824"/>
      <c r="G10" s="824"/>
      <c r="H10" s="824"/>
      <c r="I10" s="824"/>
      <c r="J10" s="824"/>
      <c r="K10" s="824"/>
      <c r="L10" s="824"/>
      <c r="M10" s="824"/>
      <c r="N10" s="824"/>
      <c r="O10" s="824"/>
      <c r="P10" s="824"/>
      <c r="Q10" s="824"/>
      <c r="R10" s="824"/>
      <c r="S10" s="824"/>
      <c r="T10" s="824"/>
      <c r="U10" s="824"/>
      <c r="V10" s="824"/>
      <c r="W10" s="824"/>
      <c r="X10" s="824"/>
      <c r="Y10" s="824"/>
      <c r="Z10" s="824"/>
      <c r="AA10" s="824"/>
      <c r="AB10" s="824"/>
      <c r="AC10" s="824"/>
      <c r="AD10" s="824"/>
      <c r="AE10" s="824"/>
      <c r="AF10" s="824"/>
      <c r="AG10" s="824"/>
      <c r="AH10" s="824"/>
      <c r="AI10" s="824"/>
      <c r="AJ10" s="824"/>
      <c r="AK10" s="824"/>
      <c r="AL10" s="824"/>
      <c r="AM10" s="824"/>
      <c r="AN10" s="824"/>
      <c r="AO10" s="824"/>
      <c r="AP10" s="824"/>
      <c r="AQ10" s="824"/>
      <c r="AR10" s="824"/>
      <c r="AS10" s="824"/>
      <c r="AT10" s="824"/>
      <c r="AU10" s="824"/>
      <c r="AV10" s="824"/>
      <c r="AW10" s="824"/>
      <c r="AX10" s="824"/>
      <c r="AY10" s="824"/>
      <c r="AZ10" s="824"/>
      <c r="BA10" s="824"/>
      <c r="BB10" s="824"/>
      <c r="BC10" s="824"/>
      <c r="BD10" s="824"/>
      <c r="BE10" s="824"/>
      <c r="BF10" s="824"/>
      <c r="BG10" s="824"/>
      <c r="BH10" s="824"/>
      <c r="BI10" s="824"/>
      <c r="BJ10" s="824"/>
      <c r="BK10" s="824"/>
      <c r="BL10" s="824"/>
      <c r="BM10" s="824"/>
      <c r="BN10" s="824"/>
      <c r="BO10" s="824"/>
      <c r="BP10" s="824"/>
      <c r="BQ10" s="824"/>
      <c r="BR10" s="824"/>
      <c r="BS10" s="824"/>
      <c r="BT10" s="824"/>
      <c r="BU10" s="824"/>
      <c r="BV10" s="824"/>
      <c r="BW10" s="824"/>
      <c r="BX10" s="824"/>
      <c r="BY10" s="824"/>
      <c r="BZ10" s="824"/>
      <c r="CA10" s="824"/>
      <c r="CB10" s="824"/>
      <c r="CC10" s="824"/>
      <c r="CD10" s="824"/>
      <c r="CE10" s="824"/>
      <c r="CF10" s="824"/>
      <c r="CG10" s="824"/>
      <c r="CH10" s="824"/>
      <c r="CI10" s="824"/>
      <c r="CJ10" s="824"/>
      <c r="CK10" s="824"/>
      <c r="CL10" s="824"/>
      <c r="CM10" s="824"/>
      <c r="CN10" s="824"/>
      <c r="CO10" s="824"/>
      <c r="CP10" s="824"/>
      <c r="CQ10" s="824"/>
      <c r="CR10" s="824"/>
      <c r="CS10" s="824"/>
      <c r="CT10" s="824"/>
      <c r="CU10" s="824"/>
      <c r="CV10" s="824"/>
      <c r="CW10" s="824"/>
      <c r="CX10" s="824"/>
      <c r="CY10" s="824"/>
      <c r="CZ10" s="824"/>
      <c r="DA10" s="824"/>
      <c r="DB10" s="824"/>
      <c r="DC10" s="824"/>
      <c r="DD10" s="824"/>
      <c r="DE10" s="824"/>
      <c r="DF10" s="824"/>
      <c r="DG10" s="824"/>
      <c r="DH10" s="824"/>
      <c r="DI10" s="824"/>
      <c r="DJ10" s="824"/>
      <c r="DK10" s="824"/>
      <c r="DL10" s="824"/>
      <c r="DM10" s="825">
        <v>0</v>
      </c>
      <c r="DN10" s="825">
        <v>8.1</v>
      </c>
      <c r="DO10" s="825">
        <v>0</v>
      </c>
      <c r="DP10" s="825">
        <v>0</v>
      </c>
      <c r="DQ10" s="825">
        <v>0</v>
      </c>
      <c r="DR10" s="825">
        <v>0</v>
      </c>
      <c r="DS10" s="825">
        <v>0</v>
      </c>
      <c r="DT10" s="825">
        <v>0</v>
      </c>
      <c r="DU10" s="825">
        <v>0</v>
      </c>
      <c r="DV10" s="825">
        <v>0</v>
      </c>
      <c r="DW10" s="825">
        <v>0</v>
      </c>
      <c r="DX10" s="825">
        <v>0</v>
      </c>
      <c r="DY10" s="825">
        <v>0</v>
      </c>
      <c r="DZ10" s="825">
        <v>0</v>
      </c>
      <c r="EA10" s="825">
        <v>0</v>
      </c>
      <c r="EB10" s="825">
        <v>0</v>
      </c>
      <c r="EC10" s="825">
        <v>0</v>
      </c>
      <c r="ED10" s="825">
        <v>0</v>
      </c>
      <c r="EE10" s="825">
        <v>0</v>
      </c>
      <c r="EF10" s="825">
        <v>0</v>
      </c>
      <c r="EG10" s="825">
        <v>0</v>
      </c>
      <c r="EH10" s="825">
        <v>0</v>
      </c>
      <c r="EI10" s="825">
        <v>0</v>
      </c>
      <c r="EJ10" s="825">
        <v>0</v>
      </c>
      <c r="EK10" s="825">
        <v>0</v>
      </c>
      <c r="EL10" s="825">
        <v>0</v>
      </c>
      <c r="EM10" s="825">
        <v>0</v>
      </c>
      <c r="EN10" s="825">
        <v>0</v>
      </c>
      <c r="EO10" s="825">
        <v>0</v>
      </c>
      <c r="EP10" s="825">
        <v>0</v>
      </c>
      <c r="EQ10" s="825">
        <v>0</v>
      </c>
      <c r="ER10" s="825">
        <v>0</v>
      </c>
      <c r="ES10" s="825">
        <v>0</v>
      </c>
      <c r="ET10" s="825">
        <v>0</v>
      </c>
      <c r="EU10" s="825">
        <v>0</v>
      </c>
      <c r="EV10" s="825">
        <v>0</v>
      </c>
      <c r="EW10" s="825">
        <v>0</v>
      </c>
      <c r="EX10" s="825">
        <v>0</v>
      </c>
      <c r="EY10" s="825">
        <v>0</v>
      </c>
      <c r="EZ10" s="825">
        <v>0</v>
      </c>
      <c r="FA10" s="825">
        <v>0</v>
      </c>
      <c r="FB10" s="825">
        <v>0</v>
      </c>
      <c r="FC10" s="825">
        <v>0</v>
      </c>
      <c r="FD10" s="825">
        <v>0</v>
      </c>
      <c r="FE10" s="825">
        <v>0</v>
      </c>
      <c r="FF10" s="825">
        <v>0</v>
      </c>
      <c r="FG10" s="825">
        <v>0</v>
      </c>
      <c r="FH10" s="825">
        <v>0</v>
      </c>
      <c r="FI10" s="825">
        <v>0</v>
      </c>
      <c r="FJ10" s="825">
        <v>0</v>
      </c>
      <c r="FK10" s="825">
        <v>0</v>
      </c>
      <c r="FL10" s="825">
        <v>0</v>
      </c>
      <c r="FM10" s="825">
        <v>0</v>
      </c>
      <c r="FN10" s="825">
        <v>0</v>
      </c>
      <c r="FO10" s="825">
        <v>0</v>
      </c>
      <c r="FP10" s="825">
        <v>0</v>
      </c>
      <c r="FQ10" s="825">
        <v>0</v>
      </c>
      <c r="FR10" s="825">
        <v>0</v>
      </c>
      <c r="FS10" s="825">
        <v>0</v>
      </c>
      <c r="FT10" s="825">
        <v>0</v>
      </c>
      <c r="FU10" s="825">
        <v>0</v>
      </c>
      <c r="FV10" s="825">
        <v>0</v>
      </c>
      <c r="FW10" s="825">
        <v>0</v>
      </c>
      <c r="FX10" s="825">
        <v>0</v>
      </c>
      <c r="FY10" s="825">
        <v>0</v>
      </c>
      <c r="FZ10" s="825">
        <v>0</v>
      </c>
      <c r="GA10" s="825">
        <v>0</v>
      </c>
      <c r="GB10" s="825">
        <v>0</v>
      </c>
      <c r="GC10" s="825">
        <v>0</v>
      </c>
      <c r="GD10" s="825">
        <v>0</v>
      </c>
      <c r="GE10" s="825">
        <v>0</v>
      </c>
      <c r="GF10" s="825">
        <v>0</v>
      </c>
      <c r="GG10" s="825">
        <v>0</v>
      </c>
      <c r="GH10" s="825">
        <v>0</v>
      </c>
      <c r="GI10" s="825">
        <v>0</v>
      </c>
      <c r="GJ10" s="825">
        <v>0</v>
      </c>
      <c r="GK10" s="825">
        <v>0</v>
      </c>
      <c r="GL10" s="825">
        <v>0</v>
      </c>
      <c r="GM10" s="825">
        <v>0</v>
      </c>
      <c r="GN10" s="825">
        <v>0</v>
      </c>
      <c r="GO10" s="825">
        <v>0</v>
      </c>
      <c r="GP10" s="825">
        <v>0</v>
      </c>
      <c r="GQ10" s="825">
        <v>0</v>
      </c>
      <c r="GR10" s="825">
        <v>0</v>
      </c>
      <c r="GS10" s="825">
        <v>0</v>
      </c>
      <c r="GT10" s="825">
        <v>0</v>
      </c>
      <c r="GU10" s="825">
        <v>0</v>
      </c>
      <c r="GV10" s="825">
        <v>0</v>
      </c>
      <c r="GW10" s="825">
        <v>0</v>
      </c>
      <c r="GX10" s="825">
        <v>0</v>
      </c>
      <c r="GY10" s="825">
        <v>0</v>
      </c>
      <c r="GZ10" s="825">
        <v>0</v>
      </c>
      <c r="HA10" s="825">
        <v>0</v>
      </c>
      <c r="HB10" s="825">
        <v>0</v>
      </c>
      <c r="HC10" s="825">
        <v>0</v>
      </c>
      <c r="HD10" s="825">
        <v>0</v>
      </c>
      <c r="HE10" s="825">
        <v>0</v>
      </c>
      <c r="HF10" s="825">
        <v>0</v>
      </c>
      <c r="HG10" s="825">
        <v>0</v>
      </c>
      <c r="HH10" s="825">
        <v>0</v>
      </c>
      <c r="HI10" s="825">
        <v>0</v>
      </c>
      <c r="HJ10" s="825">
        <v>0</v>
      </c>
      <c r="HK10" s="825">
        <v>0</v>
      </c>
      <c r="HL10" s="825">
        <v>0</v>
      </c>
      <c r="HM10" s="825">
        <v>0</v>
      </c>
      <c r="HN10" s="825">
        <v>0</v>
      </c>
      <c r="HO10" s="825">
        <v>0</v>
      </c>
      <c r="HP10" s="825">
        <v>0</v>
      </c>
      <c r="HQ10" s="825">
        <v>0</v>
      </c>
      <c r="HR10" s="825">
        <v>0</v>
      </c>
      <c r="HS10" s="825">
        <v>0</v>
      </c>
      <c r="HT10" s="825">
        <v>0</v>
      </c>
      <c r="HU10" s="825">
        <v>0</v>
      </c>
    </row>
    <row r="11" spans="1:229" ht="63.75">
      <c r="A11" s="823" t="s">
        <v>515</v>
      </c>
      <c r="B11" s="823" t="s">
        <v>988</v>
      </c>
      <c r="C11" s="823" t="s">
        <v>989</v>
      </c>
      <c r="D11" s="824" t="s">
        <v>990</v>
      </c>
      <c r="E11" s="824" t="s">
        <v>991</v>
      </c>
      <c r="F11" s="824" t="s">
        <v>992</v>
      </c>
      <c r="G11" s="824" t="s">
        <v>993</v>
      </c>
      <c r="H11" s="824" t="s">
        <v>994</v>
      </c>
      <c r="I11" s="824" t="s">
        <v>995</v>
      </c>
      <c r="J11" s="824"/>
      <c r="K11" s="824"/>
      <c r="L11" s="824"/>
      <c r="M11" s="824"/>
      <c r="N11" s="824"/>
      <c r="O11" s="824"/>
      <c r="P11" s="824"/>
      <c r="Q11" s="824"/>
      <c r="R11" s="824"/>
      <c r="S11" s="824"/>
      <c r="T11" s="824"/>
      <c r="U11" s="824"/>
      <c r="V11" s="824"/>
      <c r="W11" s="824"/>
      <c r="X11" s="824"/>
      <c r="Y11" s="824"/>
      <c r="Z11" s="824"/>
      <c r="AA11" s="824"/>
      <c r="AB11" s="824"/>
      <c r="AC11" s="824"/>
      <c r="AD11" s="824"/>
      <c r="AE11" s="824"/>
      <c r="AF11" s="824"/>
      <c r="AG11" s="824"/>
      <c r="AH11" s="824"/>
      <c r="AI11" s="824"/>
      <c r="AJ11" s="824"/>
      <c r="AK11" s="824"/>
      <c r="AL11" s="824"/>
      <c r="AM11" s="824"/>
      <c r="AN11" s="824"/>
      <c r="AO11" s="824"/>
      <c r="AP11" s="824"/>
      <c r="AQ11" s="824"/>
      <c r="AR11" s="824"/>
      <c r="AS11" s="824"/>
      <c r="AT11" s="824"/>
      <c r="AU11" s="824"/>
      <c r="AV11" s="824"/>
      <c r="AW11" s="824"/>
      <c r="AX11" s="824"/>
      <c r="AY11" s="824"/>
      <c r="AZ11" s="824"/>
      <c r="BA11" s="824"/>
      <c r="BB11" s="824"/>
      <c r="BC11" s="824"/>
      <c r="BD11" s="824"/>
      <c r="BE11" s="824"/>
      <c r="BF11" s="824"/>
      <c r="BG11" s="824"/>
      <c r="BH11" s="824"/>
      <c r="BI11" s="824"/>
      <c r="BJ11" s="824"/>
      <c r="BK11" s="824"/>
      <c r="BL11" s="824"/>
      <c r="BM11" s="824"/>
      <c r="BN11" s="824"/>
      <c r="BO11" s="824"/>
      <c r="BP11" s="824"/>
      <c r="BQ11" s="824"/>
      <c r="BR11" s="824"/>
      <c r="BS11" s="824"/>
      <c r="BT11" s="824"/>
      <c r="BU11" s="824"/>
      <c r="BV11" s="824"/>
      <c r="BW11" s="824"/>
      <c r="BX11" s="824"/>
      <c r="BY11" s="824"/>
      <c r="BZ11" s="824"/>
      <c r="CA11" s="824"/>
      <c r="CB11" s="824"/>
      <c r="CC11" s="824"/>
      <c r="CD11" s="824"/>
      <c r="CE11" s="824"/>
      <c r="CF11" s="824"/>
      <c r="CG11" s="824"/>
      <c r="CH11" s="824"/>
      <c r="CI11" s="824"/>
      <c r="CJ11" s="824"/>
      <c r="CK11" s="824"/>
      <c r="CL11" s="824"/>
      <c r="CM11" s="824"/>
      <c r="CN11" s="824"/>
      <c r="CO11" s="824"/>
      <c r="CP11" s="824"/>
      <c r="CQ11" s="824"/>
      <c r="CR11" s="824"/>
      <c r="CS11" s="824"/>
      <c r="CT11" s="824"/>
      <c r="CU11" s="824"/>
      <c r="CV11" s="824"/>
      <c r="CW11" s="824"/>
      <c r="CX11" s="824"/>
      <c r="CY11" s="824"/>
      <c r="CZ11" s="824"/>
      <c r="DA11" s="824"/>
      <c r="DB11" s="824"/>
      <c r="DC11" s="824"/>
      <c r="DD11" s="824"/>
      <c r="DE11" s="824"/>
      <c r="DF11" s="824"/>
      <c r="DG11" s="824"/>
      <c r="DH11" s="824"/>
      <c r="DI11" s="824"/>
      <c r="DJ11" s="824"/>
      <c r="DK11" s="824"/>
      <c r="DL11" s="824"/>
      <c r="DM11" s="825">
        <v>10.3</v>
      </c>
      <c r="DN11" s="825">
        <v>10.199999999999999</v>
      </c>
      <c r="DO11" s="825">
        <v>9.6</v>
      </c>
      <c r="DP11" s="825">
        <v>10.7</v>
      </c>
      <c r="DQ11" s="825">
        <v>10.5</v>
      </c>
      <c r="DR11" s="825">
        <v>9.1999999999999993</v>
      </c>
      <c r="DS11" s="825">
        <v>0</v>
      </c>
      <c r="DT11" s="825">
        <v>0</v>
      </c>
      <c r="DU11" s="825">
        <v>0</v>
      </c>
      <c r="DV11" s="825">
        <v>0</v>
      </c>
      <c r="DW11" s="825">
        <v>0</v>
      </c>
      <c r="DX11" s="825">
        <v>0</v>
      </c>
      <c r="DY11" s="825">
        <v>0</v>
      </c>
      <c r="DZ11" s="825">
        <v>0</v>
      </c>
      <c r="EA11" s="825">
        <v>0</v>
      </c>
      <c r="EB11" s="825">
        <v>0</v>
      </c>
      <c r="EC11" s="825">
        <v>0</v>
      </c>
      <c r="ED11" s="825">
        <v>0</v>
      </c>
      <c r="EE11" s="825">
        <v>0</v>
      </c>
      <c r="EF11" s="825">
        <v>0</v>
      </c>
      <c r="EG11" s="825">
        <v>0</v>
      </c>
      <c r="EH11" s="825">
        <v>0</v>
      </c>
      <c r="EI11" s="825">
        <v>0</v>
      </c>
      <c r="EJ11" s="825">
        <v>0</v>
      </c>
      <c r="EK11" s="825">
        <v>0</v>
      </c>
      <c r="EL11" s="825">
        <v>0</v>
      </c>
      <c r="EM11" s="825">
        <v>0</v>
      </c>
      <c r="EN11" s="825">
        <v>0</v>
      </c>
      <c r="EO11" s="825">
        <v>0</v>
      </c>
      <c r="EP11" s="825">
        <v>0</v>
      </c>
      <c r="EQ11" s="825">
        <v>0</v>
      </c>
      <c r="ER11" s="825">
        <v>0</v>
      </c>
      <c r="ES11" s="825">
        <v>0</v>
      </c>
      <c r="ET11" s="825">
        <v>0</v>
      </c>
      <c r="EU11" s="825">
        <v>0</v>
      </c>
      <c r="EV11" s="825">
        <v>0</v>
      </c>
      <c r="EW11" s="825">
        <v>0</v>
      </c>
      <c r="EX11" s="825">
        <v>0</v>
      </c>
      <c r="EY11" s="825">
        <v>0</v>
      </c>
      <c r="EZ11" s="825">
        <v>0</v>
      </c>
      <c r="FA11" s="825">
        <v>0</v>
      </c>
      <c r="FB11" s="825">
        <v>0</v>
      </c>
      <c r="FC11" s="825">
        <v>0</v>
      </c>
      <c r="FD11" s="825">
        <v>0</v>
      </c>
      <c r="FE11" s="825">
        <v>0</v>
      </c>
      <c r="FF11" s="825">
        <v>0</v>
      </c>
      <c r="FG11" s="825">
        <v>0</v>
      </c>
      <c r="FH11" s="825">
        <v>0</v>
      </c>
      <c r="FI11" s="825">
        <v>0</v>
      </c>
      <c r="FJ11" s="825">
        <v>0</v>
      </c>
      <c r="FK11" s="825">
        <v>0</v>
      </c>
      <c r="FL11" s="825">
        <v>0</v>
      </c>
      <c r="FM11" s="825">
        <v>0</v>
      </c>
      <c r="FN11" s="825">
        <v>0</v>
      </c>
      <c r="FO11" s="825">
        <v>0</v>
      </c>
      <c r="FP11" s="825">
        <v>0</v>
      </c>
      <c r="FQ11" s="825">
        <v>0</v>
      </c>
      <c r="FR11" s="825">
        <v>0</v>
      </c>
      <c r="FS11" s="825">
        <v>0</v>
      </c>
      <c r="FT11" s="825">
        <v>0</v>
      </c>
      <c r="FU11" s="825">
        <v>0</v>
      </c>
      <c r="FV11" s="825">
        <v>0</v>
      </c>
      <c r="FW11" s="825">
        <v>0</v>
      </c>
      <c r="FX11" s="825">
        <v>0</v>
      </c>
      <c r="FY11" s="825">
        <v>0</v>
      </c>
      <c r="FZ11" s="825">
        <v>0</v>
      </c>
      <c r="GA11" s="825">
        <v>0</v>
      </c>
      <c r="GB11" s="825">
        <v>0</v>
      </c>
      <c r="GC11" s="825">
        <v>0</v>
      </c>
      <c r="GD11" s="825">
        <v>0</v>
      </c>
      <c r="GE11" s="825">
        <v>0</v>
      </c>
      <c r="GF11" s="825">
        <v>0</v>
      </c>
      <c r="GG11" s="825">
        <v>0</v>
      </c>
      <c r="GH11" s="825">
        <v>0</v>
      </c>
      <c r="GI11" s="825">
        <v>0</v>
      </c>
      <c r="GJ11" s="825">
        <v>0</v>
      </c>
      <c r="GK11" s="825">
        <v>0</v>
      </c>
      <c r="GL11" s="825">
        <v>0</v>
      </c>
      <c r="GM11" s="825">
        <v>0</v>
      </c>
      <c r="GN11" s="825">
        <v>0</v>
      </c>
      <c r="GO11" s="825">
        <v>0</v>
      </c>
      <c r="GP11" s="825">
        <v>0</v>
      </c>
      <c r="GQ11" s="825">
        <v>0</v>
      </c>
      <c r="GR11" s="825">
        <v>0</v>
      </c>
      <c r="GS11" s="825">
        <v>0</v>
      </c>
      <c r="GT11" s="825">
        <v>0</v>
      </c>
      <c r="GU11" s="825">
        <v>0</v>
      </c>
      <c r="GV11" s="825">
        <v>0</v>
      </c>
      <c r="GW11" s="825">
        <v>0</v>
      </c>
      <c r="GX11" s="825">
        <v>0</v>
      </c>
      <c r="GY11" s="825">
        <v>0</v>
      </c>
      <c r="GZ11" s="825">
        <v>0</v>
      </c>
      <c r="HA11" s="825">
        <v>0</v>
      </c>
      <c r="HB11" s="825">
        <v>0</v>
      </c>
      <c r="HC11" s="825">
        <v>0</v>
      </c>
      <c r="HD11" s="825">
        <v>0</v>
      </c>
      <c r="HE11" s="825">
        <v>0</v>
      </c>
      <c r="HF11" s="825">
        <v>0</v>
      </c>
      <c r="HG11" s="825">
        <v>0</v>
      </c>
      <c r="HH11" s="825">
        <v>0</v>
      </c>
      <c r="HI11" s="825">
        <v>0</v>
      </c>
      <c r="HJ11" s="825">
        <v>0</v>
      </c>
      <c r="HK11" s="825">
        <v>0</v>
      </c>
      <c r="HL11" s="825">
        <v>0</v>
      </c>
      <c r="HM11" s="825">
        <v>0</v>
      </c>
      <c r="HN11" s="825">
        <v>0</v>
      </c>
      <c r="HO11" s="825">
        <v>0</v>
      </c>
      <c r="HP11" s="825">
        <v>0</v>
      </c>
      <c r="HQ11" s="825">
        <v>0</v>
      </c>
      <c r="HR11" s="825">
        <v>0</v>
      </c>
      <c r="HS11" s="825">
        <v>0</v>
      </c>
      <c r="HT11" s="825">
        <v>0</v>
      </c>
      <c r="HU11" s="825">
        <v>0</v>
      </c>
    </row>
    <row r="12" spans="1:229" ht="127.5">
      <c r="A12" s="823" t="s">
        <v>515</v>
      </c>
      <c r="B12" s="823" t="s">
        <v>996</v>
      </c>
      <c r="C12" s="823" t="s">
        <v>997</v>
      </c>
      <c r="D12" s="824" t="s">
        <v>998</v>
      </c>
      <c r="E12" s="824"/>
      <c r="F12" s="824"/>
      <c r="G12" s="824" t="s">
        <v>999</v>
      </c>
      <c r="H12" s="824"/>
      <c r="I12" s="824"/>
      <c r="J12" s="824"/>
      <c r="K12" s="824"/>
      <c r="L12" s="824"/>
      <c r="M12" s="824"/>
      <c r="N12" s="824"/>
      <c r="O12" s="824" t="s">
        <v>1000</v>
      </c>
      <c r="P12" s="824" t="s">
        <v>1001</v>
      </c>
      <c r="Q12" s="824" t="s">
        <v>1002</v>
      </c>
      <c r="R12" s="824"/>
      <c r="S12" s="824" t="s">
        <v>1003</v>
      </c>
      <c r="T12" s="824"/>
      <c r="U12" s="824"/>
      <c r="V12" s="824"/>
      <c r="W12" s="824"/>
      <c r="X12" s="824"/>
      <c r="Y12" s="824"/>
      <c r="Z12" s="824"/>
      <c r="AA12" s="824"/>
      <c r="AB12" s="824"/>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c r="BC12" s="824"/>
      <c r="BD12" s="824"/>
      <c r="BE12" s="824"/>
      <c r="BF12" s="824"/>
      <c r="BG12" s="824"/>
      <c r="BH12" s="824"/>
      <c r="BI12" s="824"/>
      <c r="BJ12" s="824"/>
      <c r="BK12" s="824"/>
      <c r="BL12" s="824"/>
      <c r="BM12" s="824"/>
      <c r="BN12" s="824"/>
      <c r="BO12" s="824"/>
      <c r="BP12" s="824"/>
      <c r="BQ12" s="824"/>
      <c r="BR12" s="824"/>
      <c r="BS12" s="824"/>
      <c r="BT12" s="824"/>
      <c r="BU12" s="824"/>
      <c r="BV12" s="824"/>
      <c r="BW12" s="824"/>
      <c r="BX12" s="824"/>
      <c r="BY12" s="824"/>
      <c r="BZ12" s="824"/>
      <c r="CA12" s="824"/>
      <c r="CB12" s="824"/>
      <c r="CC12" s="824"/>
      <c r="CD12" s="824"/>
      <c r="CE12" s="824"/>
      <c r="CF12" s="824"/>
      <c r="CG12" s="824"/>
      <c r="CH12" s="824"/>
      <c r="CI12" s="824"/>
      <c r="CJ12" s="824"/>
      <c r="CK12" s="824"/>
      <c r="CL12" s="824"/>
      <c r="CM12" s="824"/>
      <c r="CN12" s="824"/>
      <c r="CO12" s="824"/>
      <c r="CP12" s="824"/>
      <c r="CQ12" s="824"/>
      <c r="CR12" s="824"/>
      <c r="CS12" s="824"/>
      <c r="CT12" s="824"/>
      <c r="CU12" s="824"/>
      <c r="CV12" s="824"/>
      <c r="CW12" s="824"/>
      <c r="CX12" s="824"/>
      <c r="CY12" s="824"/>
      <c r="CZ12" s="824"/>
      <c r="DA12" s="824"/>
      <c r="DB12" s="824"/>
      <c r="DC12" s="824"/>
      <c r="DD12" s="824"/>
      <c r="DE12" s="824"/>
      <c r="DF12" s="824"/>
      <c r="DG12" s="824"/>
      <c r="DH12" s="824"/>
      <c r="DI12" s="824"/>
      <c r="DJ12" s="824"/>
      <c r="DK12" s="824"/>
      <c r="DL12" s="824"/>
      <c r="DM12" s="825">
        <v>13.3</v>
      </c>
      <c r="DN12" s="825">
        <v>0</v>
      </c>
      <c r="DO12" s="825">
        <v>0</v>
      </c>
      <c r="DP12" s="825">
        <v>13.3</v>
      </c>
      <c r="DQ12" s="825">
        <v>0</v>
      </c>
      <c r="DR12" s="825">
        <v>0</v>
      </c>
      <c r="DS12" s="825">
        <v>0</v>
      </c>
      <c r="DT12" s="825">
        <v>0</v>
      </c>
      <c r="DU12" s="825">
        <v>0</v>
      </c>
      <c r="DV12" s="825">
        <v>0</v>
      </c>
      <c r="DW12" s="825">
        <v>0</v>
      </c>
      <c r="DX12" s="825">
        <v>14</v>
      </c>
      <c r="DY12" s="825">
        <v>12.5</v>
      </c>
      <c r="DZ12" s="825">
        <v>7.8</v>
      </c>
      <c r="EA12" s="825">
        <v>0</v>
      </c>
      <c r="EB12" s="825">
        <v>10.199999999999999</v>
      </c>
      <c r="EC12" s="825">
        <v>0</v>
      </c>
      <c r="ED12" s="825">
        <v>0</v>
      </c>
      <c r="EE12" s="825">
        <v>0</v>
      </c>
      <c r="EF12" s="825">
        <v>0</v>
      </c>
      <c r="EG12" s="825">
        <v>0</v>
      </c>
      <c r="EH12" s="825">
        <v>0</v>
      </c>
      <c r="EI12" s="825">
        <v>0</v>
      </c>
      <c r="EJ12" s="825">
        <v>0</v>
      </c>
      <c r="EK12" s="825">
        <v>0</v>
      </c>
      <c r="EL12" s="825">
        <v>0</v>
      </c>
      <c r="EM12" s="825">
        <v>0</v>
      </c>
      <c r="EN12" s="825">
        <v>0</v>
      </c>
      <c r="EO12" s="825">
        <v>0</v>
      </c>
      <c r="EP12" s="825">
        <v>0</v>
      </c>
      <c r="EQ12" s="825">
        <v>0</v>
      </c>
      <c r="ER12" s="825">
        <v>0</v>
      </c>
      <c r="ES12" s="825">
        <v>0</v>
      </c>
      <c r="ET12" s="825">
        <v>0</v>
      </c>
      <c r="EU12" s="825">
        <v>0</v>
      </c>
      <c r="EV12" s="825">
        <v>0</v>
      </c>
      <c r="EW12" s="825">
        <v>0</v>
      </c>
      <c r="EX12" s="825">
        <v>0</v>
      </c>
      <c r="EY12" s="825">
        <v>0</v>
      </c>
      <c r="EZ12" s="825">
        <v>0</v>
      </c>
      <c r="FA12" s="825">
        <v>0</v>
      </c>
      <c r="FB12" s="825">
        <v>0</v>
      </c>
      <c r="FC12" s="825">
        <v>0</v>
      </c>
      <c r="FD12" s="825">
        <v>0</v>
      </c>
      <c r="FE12" s="825">
        <v>0</v>
      </c>
      <c r="FF12" s="825">
        <v>0</v>
      </c>
      <c r="FG12" s="825">
        <v>0</v>
      </c>
      <c r="FH12" s="825">
        <v>0</v>
      </c>
      <c r="FI12" s="825">
        <v>0</v>
      </c>
      <c r="FJ12" s="825">
        <v>0</v>
      </c>
      <c r="FK12" s="825">
        <v>0</v>
      </c>
      <c r="FL12" s="825">
        <v>0</v>
      </c>
      <c r="FM12" s="825">
        <v>0</v>
      </c>
      <c r="FN12" s="825">
        <v>0</v>
      </c>
      <c r="FO12" s="825">
        <v>0</v>
      </c>
      <c r="FP12" s="825">
        <v>0</v>
      </c>
      <c r="FQ12" s="825">
        <v>0</v>
      </c>
      <c r="FR12" s="825">
        <v>0</v>
      </c>
      <c r="FS12" s="825">
        <v>0</v>
      </c>
      <c r="FT12" s="825">
        <v>0</v>
      </c>
      <c r="FU12" s="825">
        <v>0</v>
      </c>
      <c r="FV12" s="825">
        <v>0</v>
      </c>
      <c r="FW12" s="825">
        <v>0</v>
      </c>
      <c r="FX12" s="825">
        <v>0</v>
      </c>
      <c r="FY12" s="825">
        <v>0</v>
      </c>
      <c r="FZ12" s="825">
        <v>0</v>
      </c>
      <c r="GA12" s="825">
        <v>0</v>
      </c>
      <c r="GB12" s="825">
        <v>0</v>
      </c>
      <c r="GC12" s="825">
        <v>0</v>
      </c>
      <c r="GD12" s="825">
        <v>0</v>
      </c>
      <c r="GE12" s="825">
        <v>0</v>
      </c>
      <c r="GF12" s="825">
        <v>0</v>
      </c>
      <c r="GG12" s="825">
        <v>0</v>
      </c>
      <c r="GH12" s="825">
        <v>0</v>
      </c>
      <c r="GI12" s="825">
        <v>0</v>
      </c>
      <c r="GJ12" s="825">
        <v>0</v>
      </c>
      <c r="GK12" s="825">
        <v>0</v>
      </c>
      <c r="GL12" s="825">
        <v>0</v>
      </c>
      <c r="GM12" s="825">
        <v>0</v>
      </c>
      <c r="GN12" s="825">
        <v>0</v>
      </c>
      <c r="GO12" s="825">
        <v>0</v>
      </c>
      <c r="GP12" s="825">
        <v>0</v>
      </c>
      <c r="GQ12" s="825">
        <v>0</v>
      </c>
      <c r="GR12" s="825">
        <v>0</v>
      </c>
      <c r="GS12" s="825">
        <v>0</v>
      </c>
      <c r="GT12" s="825">
        <v>0</v>
      </c>
      <c r="GU12" s="825">
        <v>0</v>
      </c>
      <c r="GV12" s="825">
        <v>0</v>
      </c>
      <c r="GW12" s="825">
        <v>0</v>
      </c>
      <c r="GX12" s="825">
        <v>0</v>
      </c>
      <c r="GY12" s="825">
        <v>0</v>
      </c>
      <c r="GZ12" s="825">
        <v>0</v>
      </c>
      <c r="HA12" s="825">
        <v>0</v>
      </c>
      <c r="HB12" s="825">
        <v>0</v>
      </c>
      <c r="HC12" s="825">
        <v>0</v>
      </c>
      <c r="HD12" s="825">
        <v>0</v>
      </c>
      <c r="HE12" s="825">
        <v>0</v>
      </c>
      <c r="HF12" s="825">
        <v>0</v>
      </c>
      <c r="HG12" s="825">
        <v>0</v>
      </c>
      <c r="HH12" s="825">
        <v>0</v>
      </c>
      <c r="HI12" s="825">
        <v>0</v>
      </c>
      <c r="HJ12" s="825">
        <v>0</v>
      </c>
      <c r="HK12" s="825">
        <v>0</v>
      </c>
      <c r="HL12" s="825">
        <v>0</v>
      </c>
      <c r="HM12" s="825">
        <v>0</v>
      </c>
      <c r="HN12" s="825">
        <v>0</v>
      </c>
      <c r="HO12" s="825">
        <v>0</v>
      </c>
      <c r="HP12" s="825">
        <v>0</v>
      </c>
      <c r="HQ12" s="825">
        <v>0</v>
      </c>
      <c r="HR12" s="825">
        <v>0</v>
      </c>
      <c r="HS12" s="825">
        <v>0</v>
      </c>
      <c r="HT12" s="825">
        <v>0</v>
      </c>
      <c r="HU12" s="825">
        <v>0</v>
      </c>
    </row>
    <row r="13" spans="1:229" ht="114.75">
      <c r="A13" s="823" t="s">
        <v>515</v>
      </c>
      <c r="B13" s="823" t="s">
        <v>1004</v>
      </c>
      <c r="C13" s="823" t="s">
        <v>1005</v>
      </c>
      <c r="D13" s="824" t="s">
        <v>1006</v>
      </c>
      <c r="E13" s="824" t="s">
        <v>1007</v>
      </c>
      <c r="F13" s="824" t="s">
        <v>1008</v>
      </c>
      <c r="G13" s="824" t="s">
        <v>1009</v>
      </c>
      <c r="H13" s="824" t="s">
        <v>1010</v>
      </c>
      <c r="I13" s="824"/>
      <c r="J13" s="824"/>
      <c r="K13" s="824"/>
      <c r="L13" s="824" t="s">
        <v>1011</v>
      </c>
      <c r="M13" s="824" t="s">
        <v>1012</v>
      </c>
      <c r="N13" s="824" t="s">
        <v>1013</v>
      </c>
      <c r="O13" s="824"/>
      <c r="P13" s="824"/>
      <c r="Q13" s="824" t="s">
        <v>1014</v>
      </c>
      <c r="R13" s="824"/>
      <c r="S13" s="824"/>
      <c r="T13" s="824" t="s">
        <v>1015</v>
      </c>
      <c r="U13" s="824" t="s">
        <v>1016</v>
      </c>
      <c r="V13" s="824" t="s">
        <v>1017</v>
      </c>
      <c r="W13" s="824" t="s">
        <v>1018</v>
      </c>
      <c r="X13" s="824" t="s">
        <v>1019</v>
      </c>
      <c r="Y13" s="824"/>
      <c r="Z13" s="824"/>
      <c r="AA13" s="824"/>
      <c r="AB13" s="824"/>
      <c r="AC13" s="824"/>
      <c r="AD13" s="824"/>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c r="BC13" s="824"/>
      <c r="BD13" s="824"/>
      <c r="BE13" s="824"/>
      <c r="BF13" s="824"/>
      <c r="BG13" s="824"/>
      <c r="BH13" s="824"/>
      <c r="BI13" s="824"/>
      <c r="BJ13" s="824"/>
      <c r="BK13" s="824"/>
      <c r="BL13" s="824"/>
      <c r="BM13" s="824"/>
      <c r="BN13" s="824"/>
      <c r="BO13" s="824"/>
      <c r="BP13" s="824"/>
      <c r="BQ13" s="824"/>
      <c r="BR13" s="824"/>
      <c r="BS13" s="824"/>
      <c r="BT13" s="824"/>
      <c r="BU13" s="824"/>
      <c r="BV13" s="824"/>
      <c r="BW13" s="824"/>
      <c r="BX13" s="824"/>
      <c r="BY13" s="824"/>
      <c r="BZ13" s="824"/>
      <c r="CA13" s="824"/>
      <c r="CB13" s="824"/>
      <c r="CC13" s="824"/>
      <c r="CD13" s="824"/>
      <c r="CE13" s="824"/>
      <c r="CF13" s="824"/>
      <c r="CG13" s="824"/>
      <c r="CH13" s="824"/>
      <c r="CI13" s="824"/>
      <c r="CJ13" s="824"/>
      <c r="CK13" s="824"/>
      <c r="CL13" s="824"/>
      <c r="CM13" s="824"/>
      <c r="CN13" s="824"/>
      <c r="CO13" s="824"/>
      <c r="CP13" s="824"/>
      <c r="CQ13" s="824"/>
      <c r="CR13" s="824"/>
      <c r="CS13" s="824"/>
      <c r="CT13" s="824"/>
      <c r="CU13" s="824"/>
      <c r="CV13" s="824"/>
      <c r="CW13" s="824"/>
      <c r="CX13" s="824"/>
      <c r="CY13" s="824"/>
      <c r="CZ13" s="824"/>
      <c r="DA13" s="824"/>
      <c r="DB13" s="824"/>
      <c r="DC13" s="824"/>
      <c r="DD13" s="824"/>
      <c r="DE13" s="824"/>
      <c r="DF13" s="824"/>
      <c r="DG13" s="824"/>
      <c r="DH13" s="824"/>
      <c r="DI13" s="824"/>
      <c r="DJ13" s="824"/>
      <c r="DK13" s="824"/>
      <c r="DL13" s="824"/>
      <c r="DM13" s="825">
        <v>6.3</v>
      </c>
      <c r="DN13" s="825">
        <v>5.6</v>
      </c>
      <c r="DO13" s="825">
        <v>8.1</v>
      </c>
      <c r="DP13" s="825">
        <v>10.4</v>
      </c>
      <c r="DQ13" s="825">
        <v>6</v>
      </c>
      <c r="DR13" s="825">
        <v>0</v>
      </c>
      <c r="DS13" s="825">
        <v>0</v>
      </c>
      <c r="DT13" s="825">
        <v>0</v>
      </c>
      <c r="DU13" s="825">
        <v>8.9</v>
      </c>
      <c r="DV13" s="825">
        <v>7.8</v>
      </c>
      <c r="DW13" s="825">
        <v>6.2</v>
      </c>
      <c r="DX13" s="825">
        <v>0</v>
      </c>
      <c r="DY13" s="825">
        <v>0</v>
      </c>
      <c r="DZ13" s="825">
        <v>13.1</v>
      </c>
      <c r="EA13" s="825">
        <v>0</v>
      </c>
      <c r="EB13" s="825">
        <v>0</v>
      </c>
      <c r="EC13" s="825">
        <v>7.9</v>
      </c>
      <c r="ED13" s="825">
        <v>0</v>
      </c>
      <c r="EE13" s="825">
        <v>0</v>
      </c>
      <c r="EF13" s="825">
        <v>0</v>
      </c>
      <c r="EG13" s="825">
        <v>0</v>
      </c>
      <c r="EH13" s="825">
        <v>0</v>
      </c>
      <c r="EI13" s="825">
        <v>0</v>
      </c>
      <c r="EJ13" s="825">
        <v>0</v>
      </c>
      <c r="EK13" s="825">
        <v>0</v>
      </c>
      <c r="EL13" s="825">
        <v>0</v>
      </c>
      <c r="EM13" s="825">
        <v>0</v>
      </c>
      <c r="EN13" s="825">
        <v>0</v>
      </c>
      <c r="EO13" s="825">
        <v>0</v>
      </c>
      <c r="EP13" s="825">
        <v>0</v>
      </c>
      <c r="EQ13" s="825">
        <v>0</v>
      </c>
      <c r="ER13" s="825">
        <v>0</v>
      </c>
      <c r="ES13" s="825">
        <v>0</v>
      </c>
      <c r="ET13" s="825">
        <v>0</v>
      </c>
      <c r="EU13" s="825">
        <v>0</v>
      </c>
      <c r="EV13" s="825">
        <v>0</v>
      </c>
      <c r="EW13" s="825">
        <v>0</v>
      </c>
      <c r="EX13" s="825">
        <v>0</v>
      </c>
      <c r="EY13" s="825">
        <v>0</v>
      </c>
      <c r="EZ13" s="825">
        <v>0</v>
      </c>
      <c r="FA13" s="825">
        <v>0</v>
      </c>
      <c r="FB13" s="825">
        <v>0</v>
      </c>
      <c r="FC13" s="825">
        <v>0</v>
      </c>
      <c r="FD13" s="825">
        <v>0</v>
      </c>
      <c r="FE13" s="825">
        <v>0</v>
      </c>
      <c r="FF13" s="825">
        <v>0</v>
      </c>
      <c r="FG13" s="825">
        <v>0</v>
      </c>
      <c r="FH13" s="825">
        <v>0</v>
      </c>
      <c r="FI13" s="825">
        <v>0</v>
      </c>
      <c r="FJ13" s="825">
        <v>0</v>
      </c>
      <c r="FK13" s="825">
        <v>0</v>
      </c>
      <c r="FL13" s="825">
        <v>0</v>
      </c>
      <c r="FM13" s="825">
        <v>0</v>
      </c>
      <c r="FN13" s="825">
        <v>0</v>
      </c>
      <c r="FO13" s="825">
        <v>0</v>
      </c>
      <c r="FP13" s="825">
        <v>0</v>
      </c>
      <c r="FQ13" s="825">
        <v>0</v>
      </c>
      <c r="FR13" s="825">
        <v>0</v>
      </c>
      <c r="FS13" s="825">
        <v>0</v>
      </c>
      <c r="FT13" s="825">
        <v>0</v>
      </c>
      <c r="FU13" s="825">
        <v>0</v>
      </c>
      <c r="FV13" s="825">
        <v>0</v>
      </c>
      <c r="FW13" s="825">
        <v>0</v>
      </c>
      <c r="FX13" s="825">
        <v>0</v>
      </c>
      <c r="FY13" s="825">
        <v>0</v>
      </c>
      <c r="FZ13" s="825">
        <v>0</v>
      </c>
      <c r="GA13" s="825">
        <v>0</v>
      </c>
      <c r="GB13" s="825">
        <v>0</v>
      </c>
      <c r="GC13" s="825">
        <v>0</v>
      </c>
      <c r="GD13" s="825">
        <v>0</v>
      </c>
      <c r="GE13" s="825">
        <v>0</v>
      </c>
      <c r="GF13" s="825">
        <v>0</v>
      </c>
      <c r="GG13" s="825">
        <v>0</v>
      </c>
      <c r="GH13" s="825">
        <v>0</v>
      </c>
      <c r="GI13" s="825">
        <v>0</v>
      </c>
      <c r="GJ13" s="825">
        <v>0</v>
      </c>
      <c r="GK13" s="825">
        <v>0</v>
      </c>
      <c r="GL13" s="825">
        <v>0</v>
      </c>
      <c r="GM13" s="825">
        <v>0</v>
      </c>
      <c r="GN13" s="825">
        <v>0</v>
      </c>
      <c r="GO13" s="825">
        <v>0</v>
      </c>
      <c r="GP13" s="825">
        <v>0</v>
      </c>
      <c r="GQ13" s="825">
        <v>0</v>
      </c>
      <c r="GR13" s="825">
        <v>0</v>
      </c>
      <c r="GS13" s="825">
        <v>0</v>
      </c>
      <c r="GT13" s="825">
        <v>0</v>
      </c>
      <c r="GU13" s="825">
        <v>0</v>
      </c>
      <c r="GV13" s="825">
        <v>0</v>
      </c>
      <c r="GW13" s="825">
        <v>0</v>
      </c>
      <c r="GX13" s="825">
        <v>0</v>
      </c>
      <c r="GY13" s="825">
        <v>0</v>
      </c>
      <c r="GZ13" s="825">
        <v>0</v>
      </c>
      <c r="HA13" s="825">
        <v>0</v>
      </c>
      <c r="HB13" s="825">
        <v>0</v>
      </c>
      <c r="HC13" s="825">
        <v>0</v>
      </c>
      <c r="HD13" s="825">
        <v>0</v>
      </c>
      <c r="HE13" s="825">
        <v>0</v>
      </c>
      <c r="HF13" s="825">
        <v>0</v>
      </c>
      <c r="HG13" s="825">
        <v>0</v>
      </c>
      <c r="HH13" s="825">
        <v>0</v>
      </c>
      <c r="HI13" s="825">
        <v>0</v>
      </c>
      <c r="HJ13" s="825">
        <v>0</v>
      </c>
      <c r="HK13" s="825">
        <v>0</v>
      </c>
      <c r="HL13" s="825">
        <v>0</v>
      </c>
      <c r="HM13" s="825">
        <v>0</v>
      </c>
      <c r="HN13" s="825">
        <v>0</v>
      </c>
      <c r="HO13" s="825">
        <v>0</v>
      </c>
      <c r="HP13" s="825">
        <v>0</v>
      </c>
      <c r="HQ13" s="825">
        <v>0</v>
      </c>
      <c r="HR13" s="825">
        <v>0</v>
      </c>
      <c r="HS13" s="825">
        <v>0</v>
      </c>
      <c r="HT13" s="825">
        <v>0</v>
      </c>
      <c r="HU13" s="825">
        <v>0</v>
      </c>
    </row>
    <row r="14" spans="1:229" ht="63.75">
      <c r="A14" s="823" t="s">
        <v>515</v>
      </c>
      <c r="B14" s="823" t="s">
        <v>1020</v>
      </c>
      <c r="C14" s="823" t="s">
        <v>1021</v>
      </c>
      <c r="D14" s="824" t="s">
        <v>1022</v>
      </c>
      <c r="E14" s="824"/>
      <c r="F14" s="824" t="s">
        <v>1023</v>
      </c>
      <c r="G14" s="824"/>
      <c r="H14" s="824" t="s">
        <v>1024</v>
      </c>
      <c r="I14" s="824"/>
      <c r="J14" s="824"/>
      <c r="K14" s="824"/>
      <c r="L14" s="824"/>
      <c r="M14" s="824"/>
      <c r="N14" s="824"/>
      <c r="O14" s="824"/>
      <c r="P14" s="824"/>
      <c r="Q14" s="824"/>
      <c r="R14" s="824"/>
      <c r="S14" s="824"/>
      <c r="T14" s="824"/>
      <c r="U14" s="824"/>
      <c r="V14" s="824"/>
      <c r="W14" s="824"/>
      <c r="X14" s="824"/>
      <c r="Y14" s="824"/>
      <c r="Z14" s="824"/>
      <c r="AA14" s="824"/>
      <c r="AB14" s="824"/>
      <c r="AC14" s="824"/>
      <c r="AD14" s="824"/>
      <c r="AE14" s="824"/>
      <c r="AF14" s="824"/>
      <c r="AG14" s="824"/>
      <c r="AH14" s="824"/>
      <c r="AI14" s="824"/>
      <c r="AJ14" s="824"/>
      <c r="AK14" s="824"/>
      <c r="AL14" s="824"/>
      <c r="AM14" s="824"/>
      <c r="AN14" s="824"/>
      <c r="AO14" s="824"/>
      <c r="AP14" s="824"/>
      <c r="AQ14" s="824"/>
      <c r="AR14" s="824"/>
      <c r="AS14" s="824"/>
      <c r="AT14" s="824"/>
      <c r="AU14" s="824"/>
      <c r="AV14" s="824"/>
      <c r="AW14" s="824"/>
      <c r="AX14" s="824"/>
      <c r="AY14" s="824"/>
      <c r="AZ14" s="824"/>
      <c r="BA14" s="824"/>
      <c r="BB14" s="824"/>
      <c r="BC14" s="824"/>
      <c r="BD14" s="824"/>
      <c r="BE14" s="824"/>
      <c r="BF14" s="824"/>
      <c r="BG14" s="824"/>
      <c r="BH14" s="824"/>
      <c r="BI14" s="824"/>
      <c r="BJ14" s="824"/>
      <c r="BK14" s="824"/>
      <c r="BL14" s="824"/>
      <c r="BM14" s="824"/>
      <c r="BN14" s="824"/>
      <c r="BO14" s="824"/>
      <c r="BP14" s="824"/>
      <c r="BQ14" s="824"/>
      <c r="BR14" s="824"/>
      <c r="BS14" s="824"/>
      <c r="BT14" s="824"/>
      <c r="BU14" s="824"/>
      <c r="BV14" s="824"/>
      <c r="BW14" s="824"/>
      <c r="BX14" s="824"/>
      <c r="BY14" s="824"/>
      <c r="BZ14" s="824"/>
      <c r="CA14" s="824"/>
      <c r="CB14" s="824"/>
      <c r="CC14" s="824"/>
      <c r="CD14" s="824"/>
      <c r="CE14" s="824"/>
      <c r="CF14" s="824"/>
      <c r="CG14" s="824"/>
      <c r="CH14" s="824"/>
      <c r="CI14" s="824"/>
      <c r="CJ14" s="824"/>
      <c r="CK14" s="824"/>
      <c r="CL14" s="824"/>
      <c r="CM14" s="824"/>
      <c r="CN14" s="824"/>
      <c r="CO14" s="824"/>
      <c r="CP14" s="824"/>
      <c r="CQ14" s="824"/>
      <c r="CR14" s="824"/>
      <c r="CS14" s="824"/>
      <c r="CT14" s="824"/>
      <c r="CU14" s="824"/>
      <c r="CV14" s="824"/>
      <c r="CW14" s="824"/>
      <c r="CX14" s="824"/>
      <c r="CY14" s="824"/>
      <c r="CZ14" s="824"/>
      <c r="DA14" s="824"/>
      <c r="DB14" s="824"/>
      <c r="DC14" s="824"/>
      <c r="DD14" s="824"/>
      <c r="DE14" s="824"/>
      <c r="DF14" s="824"/>
      <c r="DG14" s="824"/>
      <c r="DH14" s="824"/>
      <c r="DI14" s="824"/>
      <c r="DJ14" s="824"/>
      <c r="DK14" s="824"/>
      <c r="DL14" s="824"/>
      <c r="DM14" s="825">
        <v>9.1</v>
      </c>
      <c r="DN14" s="825">
        <v>0</v>
      </c>
      <c r="DO14" s="825">
        <v>6.3</v>
      </c>
      <c r="DP14" s="825">
        <v>0</v>
      </c>
      <c r="DQ14" s="825">
        <v>11.4</v>
      </c>
      <c r="DR14" s="825">
        <v>0</v>
      </c>
      <c r="DS14" s="825">
        <v>0</v>
      </c>
      <c r="DT14" s="825">
        <v>0</v>
      </c>
      <c r="DU14" s="825">
        <v>0</v>
      </c>
      <c r="DV14" s="825">
        <v>0</v>
      </c>
      <c r="DW14" s="825">
        <v>0</v>
      </c>
      <c r="DX14" s="825">
        <v>0</v>
      </c>
      <c r="DY14" s="825">
        <v>0</v>
      </c>
      <c r="DZ14" s="825">
        <v>0</v>
      </c>
      <c r="EA14" s="825">
        <v>0</v>
      </c>
      <c r="EB14" s="825">
        <v>0</v>
      </c>
      <c r="EC14" s="825">
        <v>0</v>
      </c>
      <c r="ED14" s="825">
        <v>0</v>
      </c>
      <c r="EE14" s="825">
        <v>0</v>
      </c>
      <c r="EF14" s="825">
        <v>0</v>
      </c>
      <c r="EG14" s="825">
        <v>0</v>
      </c>
      <c r="EH14" s="825">
        <v>0</v>
      </c>
      <c r="EI14" s="825">
        <v>0</v>
      </c>
      <c r="EJ14" s="825">
        <v>0</v>
      </c>
      <c r="EK14" s="825">
        <v>0</v>
      </c>
      <c r="EL14" s="825">
        <v>0</v>
      </c>
      <c r="EM14" s="825">
        <v>0</v>
      </c>
      <c r="EN14" s="825">
        <v>0</v>
      </c>
      <c r="EO14" s="825">
        <v>0</v>
      </c>
      <c r="EP14" s="825">
        <v>0</v>
      </c>
      <c r="EQ14" s="825">
        <v>0</v>
      </c>
      <c r="ER14" s="825">
        <v>0</v>
      </c>
      <c r="ES14" s="825">
        <v>0</v>
      </c>
      <c r="ET14" s="825">
        <v>0</v>
      </c>
      <c r="EU14" s="825">
        <v>0</v>
      </c>
      <c r="EV14" s="825">
        <v>0</v>
      </c>
      <c r="EW14" s="825">
        <v>0</v>
      </c>
      <c r="EX14" s="825">
        <v>0</v>
      </c>
      <c r="EY14" s="825">
        <v>0</v>
      </c>
      <c r="EZ14" s="825">
        <v>0</v>
      </c>
      <c r="FA14" s="825">
        <v>0</v>
      </c>
      <c r="FB14" s="825">
        <v>0</v>
      </c>
      <c r="FC14" s="825">
        <v>0</v>
      </c>
      <c r="FD14" s="825">
        <v>0</v>
      </c>
      <c r="FE14" s="825">
        <v>0</v>
      </c>
      <c r="FF14" s="825">
        <v>0</v>
      </c>
      <c r="FG14" s="825">
        <v>0</v>
      </c>
      <c r="FH14" s="825">
        <v>0</v>
      </c>
      <c r="FI14" s="825">
        <v>0</v>
      </c>
      <c r="FJ14" s="825">
        <v>0</v>
      </c>
      <c r="FK14" s="825">
        <v>0</v>
      </c>
      <c r="FL14" s="825">
        <v>0</v>
      </c>
      <c r="FM14" s="825">
        <v>0</v>
      </c>
      <c r="FN14" s="825">
        <v>0</v>
      </c>
      <c r="FO14" s="825">
        <v>0</v>
      </c>
      <c r="FP14" s="825">
        <v>0</v>
      </c>
      <c r="FQ14" s="825">
        <v>0</v>
      </c>
      <c r="FR14" s="825">
        <v>0</v>
      </c>
      <c r="FS14" s="825">
        <v>0</v>
      </c>
      <c r="FT14" s="825">
        <v>0</v>
      </c>
      <c r="FU14" s="825">
        <v>0</v>
      </c>
      <c r="FV14" s="825">
        <v>0</v>
      </c>
      <c r="FW14" s="825">
        <v>0</v>
      </c>
      <c r="FX14" s="825">
        <v>0</v>
      </c>
      <c r="FY14" s="825">
        <v>0</v>
      </c>
      <c r="FZ14" s="825">
        <v>0</v>
      </c>
      <c r="GA14" s="825">
        <v>0</v>
      </c>
      <c r="GB14" s="825">
        <v>0</v>
      </c>
      <c r="GC14" s="825">
        <v>0</v>
      </c>
      <c r="GD14" s="825">
        <v>0</v>
      </c>
      <c r="GE14" s="825">
        <v>0</v>
      </c>
      <c r="GF14" s="825">
        <v>0</v>
      </c>
      <c r="GG14" s="825">
        <v>0</v>
      </c>
      <c r="GH14" s="825">
        <v>0</v>
      </c>
      <c r="GI14" s="825">
        <v>0</v>
      </c>
      <c r="GJ14" s="825">
        <v>0</v>
      </c>
      <c r="GK14" s="825">
        <v>0</v>
      </c>
      <c r="GL14" s="825">
        <v>0</v>
      </c>
      <c r="GM14" s="825">
        <v>0</v>
      </c>
      <c r="GN14" s="825">
        <v>0</v>
      </c>
      <c r="GO14" s="825">
        <v>0</v>
      </c>
      <c r="GP14" s="825">
        <v>0</v>
      </c>
      <c r="GQ14" s="825">
        <v>0</v>
      </c>
      <c r="GR14" s="825">
        <v>0</v>
      </c>
      <c r="GS14" s="825">
        <v>0</v>
      </c>
      <c r="GT14" s="825">
        <v>0</v>
      </c>
      <c r="GU14" s="825">
        <v>0</v>
      </c>
      <c r="GV14" s="825">
        <v>0</v>
      </c>
      <c r="GW14" s="825">
        <v>0</v>
      </c>
      <c r="GX14" s="825">
        <v>0</v>
      </c>
      <c r="GY14" s="825">
        <v>0</v>
      </c>
      <c r="GZ14" s="825">
        <v>0</v>
      </c>
      <c r="HA14" s="825">
        <v>0</v>
      </c>
      <c r="HB14" s="825">
        <v>0</v>
      </c>
      <c r="HC14" s="825">
        <v>0</v>
      </c>
      <c r="HD14" s="825">
        <v>0</v>
      </c>
      <c r="HE14" s="825">
        <v>0</v>
      </c>
      <c r="HF14" s="825">
        <v>0</v>
      </c>
      <c r="HG14" s="825">
        <v>0</v>
      </c>
      <c r="HH14" s="825">
        <v>0</v>
      </c>
      <c r="HI14" s="825">
        <v>0</v>
      </c>
      <c r="HJ14" s="825">
        <v>0</v>
      </c>
      <c r="HK14" s="825">
        <v>0</v>
      </c>
      <c r="HL14" s="825">
        <v>0</v>
      </c>
      <c r="HM14" s="825">
        <v>0</v>
      </c>
      <c r="HN14" s="825">
        <v>0</v>
      </c>
      <c r="HO14" s="825">
        <v>0</v>
      </c>
      <c r="HP14" s="825">
        <v>0</v>
      </c>
      <c r="HQ14" s="825">
        <v>0</v>
      </c>
      <c r="HR14" s="825">
        <v>0</v>
      </c>
      <c r="HS14" s="825">
        <v>0</v>
      </c>
      <c r="HT14" s="825">
        <v>0</v>
      </c>
      <c r="HU14" s="825">
        <v>0</v>
      </c>
    </row>
    <row r="15" spans="1:229" ht="63.75">
      <c r="A15" s="823" t="s">
        <v>515</v>
      </c>
      <c r="B15" s="823" t="s">
        <v>1025</v>
      </c>
      <c r="C15" s="823" t="s">
        <v>1026</v>
      </c>
      <c r="D15" s="824"/>
      <c r="E15" s="824"/>
      <c r="F15" s="824" t="s">
        <v>1027</v>
      </c>
      <c r="G15" s="824"/>
      <c r="H15" s="824"/>
      <c r="I15" s="824"/>
      <c r="J15" s="824"/>
      <c r="K15" s="824"/>
      <c r="L15" s="824"/>
      <c r="M15" s="824"/>
      <c r="N15" s="824"/>
      <c r="O15" s="824"/>
      <c r="P15" s="824"/>
      <c r="Q15" s="824"/>
      <c r="R15" s="824"/>
      <c r="S15" s="824"/>
      <c r="T15" s="824"/>
      <c r="U15" s="824"/>
      <c r="V15" s="824"/>
      <c r="W15" s="824"/>
      <c r="X15" s="824"/>
      <c r="Y15" s="824"/>
      <c r="Z15" s="824"/>
      <c r="AA15" s="824"/>
      <c r="AB15" s="824"/>
      <c r="AC15" s="824"/>
      <c r="AD15" s="824"/>
      <c r="AE15" s="824"/>
      <c r="AF15" s="824"/>
      <c r="AG15" s="824"/>
      <c r="AH15" s="824"/>
      <c r="AI15" s="824"/>
      <c r="AJ15" s="824"/>
      <c r="AK15" s="824"/>
      <c r="AL15" s="824"/>
      <c r="AM15" s="824"/>
      <c r="AN15" s="824"/>
      <c r="AO15" s="824"/>
      <c r="AP15" s="824"/>
      <c r="AQ15" s="824"/>
      <c r="AR15" s="824"/>
      <c r="AS15" s="824"/>
      <c r="AT15" s="824"/>
      <c r="AU15" s="824"/>
      <c r="AV15" s="824"/>
      <c r="AW15" s="824"/>
      <c r="AX15" s="824"/>
      <c r="AY15" s="824"/>
      <c r="AZ15" s="824"/>
      <c r="BA15" s="824"/>
      <c r="BB15" s="824"/>
      <c r="BC15" s="824"/>
      <c r="BD15" s="824"/>
      <c r="BE15" s="824"/>
      <c r="BF15" s="824"/>
      <c r="BG15" s="824"/>
      <c r="BH15" s="824"/>
      <c r="BI15" s="824"/>
      <c r="BJ15" s="824"/>
      <c r="BK15" s="824"/>
      <c r="BL15" s="824"/>
      <c r="BM15" s="824"/>
      <c r="BN15" s="824"/>
      <c r="BO15" s="824"/>
      <c r="BP15" s="824"/>
      <c r="BQ15" s="824"/>
      <c r="BR15" s="824"/>
      <c r="BS15" s="824"/>
      <c r="BT15" s="824"/>
      <c r="BU15" s="824"/>
      <c r="BV15" s="824"/>
      <c r="BW15" s="824"/>
      <c r="BX15" s="824"/>
      <c r="BY15" s="824"/>
      <c r="BZ15" s="824"/>
      <c r="CA15" s="824"/>
      <c r="CB15" s="824"/>
      <c r="CC15" s="824"/>
      <c r="CD15" s="824"/>
      <c r="CE15" s="824"/>
      <c r="CF15" s="824"/>
      <c r="CG15" s="824"/>
      <c r="CH15" s="824"/>
      <c r="CI15" s="824"/>
      <c r="CJ15" s="824"/>
      <c r="CK15" s="824"/>
      <c r="CL15" s="824"/>
      <c r="CM15" s="824"/>
      <c r="CN15" s="824"/>
      <c r="CO15" s="824"/>
      <c r="CP15" s="824"/>
      <c r="CQ15" s="824"/>
      <c r="CR15" s="824"/>
      <c r="CS15" s="824"/>
      <c r="CT15" s="824"/>
      <c r="CU15" s="824"/>
      <c r="CV15" s="824"/>
      <c r="CW15" s="824"/>
      <c r="CX15" s="824"/>
      <c r="CY15" s="824"/>
      <c r="CZ15" s="824"/>
      <c r="DA15" s="824"/>
      <c r="DB15" s="824"/>
      <c r="DC15" s="824"/>
      <c r="DD15" s="824"/>
      <c r="DE15" s="824"/>
      <c r="DF15" s="824"/>
      <c r="DG15" s="824"/>
      <c r="DH15" s="824"/>
      <c r="DI15" s="824"/>
      <c r="DJ15" s="824"/>
      <c r="DK15" s="824"/>
      <c r="DL15" s="824"/>
      <c r="DM15" s="825">
        <v>0</v>
      </c>
      <c r="DN15" s="825">
        <v>0</v>
      </c>
      <c r="DO15" s="825">
        <v>6.7</v>
      </c>
      <c r="DP15" s="825">
        <v>0</v>
      </c>
      <c r="DQ15" s="825">
        <v>0</v>
      </c>
      <c r="DR15" s="825">
        <v>0</v>
      </c>
      <c r="DS15" s="825">
        <v>0</v>
      </c>
      <c r="DT15" s="825">
        <v>0</v>
      </c>
      <c r="DU15" s="825">
        <v>0</v>
      </c>
      <c r="DV15" s="825">
        <v>0</v>
      </c>
      <c r="DW15" s="825">
        <v>0</v>
      </c>
      <c r="DX15" s="825">
        <v>0</v>
      </c>
      <c r="DY15" s="825">
        <v>0</v>
      </c>
      <c r="DZ15" s="825">
        <v>0</v>
      </c>
      <c r="EA15" s="825">
        <v>0</v>
      </c>
      <c r="EB15" s="825">
        <v>0</v>
      </c>
      <c r="EC15" s="825">
        <v>0</v>
      </c>
      <c r="ED15" s="825">
        <v>0</v>
      </c>
      <c r="EE15" s="825">
        <v>0</v>
      </c>
      <c r="EF15" s="825">
        <v>0</v>
      </c>
      <c r="EG15" s="825">
        <v>0</v>
      </c>
      <c r="EH15" s="825">
        <v>0</v>
      </c>
      <c r="EI15" s="825">
        <v>0</v>
      </c>
      <c r="EJ15" s="825">
        <v>0</v>
      </c>
      <c r="EK15" s="825">
        <v>0</v>
      </c>
      <c r="EL15" s="825">
        <v>0</v>
      </c>
      <c r="EM15" s="825">
        <v>0</v>
      </c>
      <c r="EN15" s="825">
        <v>0</v>
      </c>
      <c r="EO15" s="825">
        <v>0</v>
      </c>
      <c r="EP15" s="825">
        <v>0</v>
      </c>
      <c r="EQ15" s="825">
        <v>0</v>
      </c>
      <c r="ER15" s="825">
        <v>0</v>
      </c>
      <c r="ES15" s="825">
        <v>0</v>
      </c>
      <c r="ET15" s="825">
        <v>0</v>
      </c>
      <c r="EU15" s="825">
        <v>0</v>
      </c>
      <c r="EV15" s="825">
        <v>0</v>
      </c>
      <c r="EW15" s="825">
        <v>0</v>
      </c>
      <c r="EX15" s="825">
        <v>0</v>
      </c>
      <c r="EY15" s="825">
        <v>0</v>
      </c>
      <c r="EZ15" s="825">
        <v>0</v>
      </c>
      <c r="FA15" s="825">
        <v>0</v>
      </c>
      <c r="FB15" s="825">
        <v>0</v>
      </c>
      <c r="FC15" s="825">
        <v>0</v>
      </c>
      <c r="FD15" s="825">
        <v>0</v>
      </c>
      <c r="FE15" s="825">
        <v>0</v>
      </c>
      <c r="FF15" s="825">
        <v>0</v>
      </c>
      <c r="FG15" s="825">
        <v>0</v>
      </c>
      <c r="FH15" s="825">
        <v>0</v>
      </c>
      <c r="FI15" s="825">
        <v>0</v>
      </c>
      <c r="FJ15" s="825">
        <v>0</v>
      </c>
      <c r="FK15" s="825">
        <v>0</v>
      </c>
      <c r="FL15" s="825">
        <v>0</v>
      </c>
      <c r="FM15" s="825">
        <v>0</v>
      </c>
      <c r="FN15" s="825">
        <v>0</v>
      </c>
      <c r="FO15" s="825">
        <v>0</v>
      </c>
      <c r="FP15" s="825">
        <v>0</v>
      </c>
      <c r="FQ15" s="825">
        <v>0</v>
      </c>
      <c r="FR15" s="825">
        <v>0</v>
      </c>
      <c r="FS15" s="825">
        <v>0</v>
      </c>
      <c r="FT15" s="825">
        <v>0</v>
      </c>
      <c r="FU15" s="825">
        <v>0</v>
      </c>
      <c r="FV15" s="825">
        <v>0</v>
      </c>
      <c r="FW15" s="825">
        <v>0</v>
      </c>
      <c r="FX15" s="825">
        <v>0</v>
      </c>
      <c r="FY15" s="825">
        <v>0</v>
      </c>
      <c r="FZ15" s="825">
        <v>0</v>
      </c>
      <c r="GA15" s="825">
        <v>0</v>
      </c>
      <c r="GB15" s="825">
        <v>0</v>
      </c>
      <c r="GC15" s="825">
        <v>0</v>
      </c>
      <c r="GD15" s="825">
        <v>0</v>
      </c>
      <c r="GE15" s="825">
        <v>0</v>
      </c>
      <c r="GF15" s="825">
        <v>0</v>
      </c>
      <c r="GG15" s="825">
        <v>0</v>
      </c>
      <c r="GH15" s="825">
        <v>0</v>
      </c>
      <c r="GI15" s="825">
        <v>0</v>
      </c>
      <c r="GJ15" s="825">
        <v>0</v>
      </c>
      <c r="GK15" s="825">
        <v>0</v>
      </c>
      <c r="GL15" s="825">
        <v>0</v>
      </c>
      <c r="GM15" s="825">
        <v>0</v>
      </c>
      <c r="GN15" s="825">
        <v>0</v>
      </c>
      <c r="GO15" s="825">
        <v>0</v>
      </c>
      <c r="GP15" s="825">
        <v>0</v>
      </c>
      <c r="GQ15" s="825">
        <v>0</v>
      </c>
      <c r="GR15" s="825">
        <v>0</v>
      </c>
      <c r="GS15" s="825">
        <v>0</v>
      </c>
      <c r="GT15" s="825">
        <v>0</v>
      </c>
      <c r="GU15" s="825">
        <v>0</v>
      </c>
      <c r="GV15" s="825">
        <v>0</v>
      </c>
      <c r="GW15" s="825">
        <v>0</v>
      </c>
      <c r="GX15" s="825">
        <v>0</v>
      </c>
      <c r="GY15" s="825">
        <v>0</v>
      </c>
      <c r="GZ15" s="825">
        <v>0</v>
      </c>
      <c r="HA15" s="825">
        <v>0</v>
      </c>
      <c r="HB15" s="825">
        <v>0</v>
      </c>
      <c r="HC15" s="825">
        <v>0</v>
      </c>
      <c r="HD15" s="825">
        <v>0</v>
      </c>
      <c r="HE15" s="825">
        <v>0</v>
      </c>
      <c r="HF15" s="825">
        <v>0</v>
      </c>
      <c r="HG15" s="825">
        <v>0</v>
      </c>
      <c r="HH15" s="825">
        <v>0</v>
      </c>
      <c r="HI15" s="825">
        <v>0</v>
      </c>
      <c r="HJ15" s="825">
        <v>0</v>
      </c>
      <c r="HK15" s="825">
        <v>0</v>
      </c>
      <c r="HL15" s="825">
        <v>0</v>
      </c>
      <c r="HM15" s="825">
        <v>0</v>
      </c>
      <c r="HN15" s="825">
        <v>0</v>
      </c>
      <c r="HO15" s="825">
        <v>0</v>
      </c>
      <c r="HP15" s="825">
        <v>0</v>
      </c>
      <c r="HQ15" s="825">
        <v>0</v>
      </c>
      <c r="HR15" s="825">
        <v>0</v>
      </c>
      <c r="HS15" s="825">
        <v>0</v>
      </c>
      <c r="HT15" s="825">
        <v>0</v>
      </c>
      <c r="HU15" s="825">
        <v>0</v>
      </c>
    </row>
    <row r="16" spans="1:229" ht="89.25">
      <c r="A16" s="823" t="s">
        <v>515</v>
      </c>
      <c r="B16" s="823" t="s">
        <v>1028</v>
      </c>
      <c r="C16" s="823" t="s">
        <v>1029</v>
      </c>
      <c r="D16" s="824" t="s">
        <v>1030</v>
      </c>
      <c r="E16" s="824"/>
      <c r="F16" s="824"/>
      <c r="G16" s="824"/>
      <c r="H16" s="824"/>
      <c r="I16" s="824"/>
      <c r="J16" s="824"/>
      <c r="K16" s="824"/>
      <c r="L16" s="824"/>
      <c r="M16" s="824"/>
      <c r="N16" s="824"/>
      <c r="O16" s="824"/>
      <c r="P16" s="824"/>
      <c r="Q16" s="824"/>
      <c r="R16" s="824"/>
      <c r="S16" s="824"/>
      <c r="T16" s="824"/>
      <c r="U16" s="824"/>
      <c r="V16" s="824"/>
      <c r="W16" s="824"/>
      <c r="X16" s="824"/>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c r="BC16" s="824"/>
      <c r="BD16" s="824"/>
      <c r="BE16" s="824"/>
      <c r="BF16" s="824"/>
      <c r="BG16" s="824"/>
      <c r="BH16" s="824"/>
      <c r="BI16" s="824"/>
      <c r="BJ16" s="824"/>
      <c r="BK16" s="824"/>
      <c r="BL16" s="824"/>
      <c r="BM16" s="824"/>
      <c r="BN16" s="824"/>
      <c r="BO16" s="824"/>
      <c r="BP16" s="824"/>
      <c r="BQ16" s="824"/>
      <c r="BR16" s="824"/>
      <c r="BS16" s="824"/>
      <c r="BT16" s="824"/>
      <c r="BU16" s="824"/>
      <c r="BV16" s="824"/>
      <c r="BW16" s="824"/>
      <c r="BX16" s="824"/>
      <c r="BY16" s="824"/>
      <c r="BZ16" s="824"/>
      <c r="CA16" s="824"/>
      <c r="CB16" s="824"/>
      <c r="CC16" s="824"/>
      <c r="CD16" s="824"/>
      <c r="CE16" s="824"/>
      <c r="CF16" s="824"/>
      <c r="CG16" s="824"/>
      <c r="CH16" s="824"/>
      <c r="CI16" s="824"/>
      <c r="CJ16" s="824"/>
      <c r="CK16" s="824"/>
      <c r="CL16" s="824"/>
      <c r="CM16" s="824"/>
      <c r="CN16" s="824"/>
      <c r="CO16" s="824"/>
      <c r="CP16" s="824"/>
      <c r="CQ16" s="824"/>
      <c r="CR16" s="824"/>
      <c r="CS16" s="824"/>
      <c r="CT16" s="824"/>
      <c r="CU16" s="824"/>
      <c r="CV16" s="824"/>
      <c r="CW16" s="824"/>
      <c r="CX16" s="824"/>
      <c r="CY16" s="824"/>
      <c r="CZ16" s="824"/>
      <c r="DA16" s="824"/>
      <c r="DB16" s="824"/>
      <c r="DC16" s="824"/>
      <c r="DD16" s="824"/>
      <c r="DE16" s="824"/>
      <c r="DF16" s="824"/>
      <c r="DG16" s="824"/>
      <c r="DH16" s="824"/>
      <c r="DI16" s="824"/>
      <c r="DJ16" s="824"/>
      <c r="DK16" s="824"/>
      <c r="DL16" s="824"/>
      <c r="DM16" s="825">
        <v>8.1</v>
      </c>
      <c r="DN16" s="825">
        <v>0</v>
      </c>
      <c r="DO16" s="825">
        <v>0</v>
      </c>
      <c r="DP16" s="825">
        <v>0</v>
      </c>
      <c r="DQ16" s="825">
        <v>0</v>
      </c>
      <c r="DR16" s="825">
        <v>0</v>
      </c>
      <c r="DS16" s="825">
        <v>0</v>
      </c>
      <c r="DT16" s="825">
        <v>0</v>
      </c>
      <c r="DU16" s="825">
        <v>0</v>
      </c>
      <c r="DV16" s="825">
        <v>0</v>
      </c>
      <c r="DW16" s="825">
        <v>0</v>
      </c>
      <c r="DX16" s="825">
        <v>0</v>
      </c>
      <c r="DY16" s="825">
        <v>0</v>
      </c>
      <c r="DZ16" s="825">
        <v>0</v>
      </c>
      <c r="EA16" s="825">
        <v>0</v>
      </c>
      <c r="EB16" s="825">
        <v>0</v>
      </c>
      <c r="EC16" s="825">
        <v>0</v>
      </c>
      <c r="ED16" s="825">
        <v>0</v>
      </c>
      <c r="EE16" s="825">
        <v>0</v>
      </c>
      <c r="EF16" s="825">
        <v>0</v>
      </c>
      <c r="EG16" s="825">
        <v>0</v>
      </c>
      <c r="EH16" s="825">
        <v>0</v>
      </c>
      <c r="EI16" s="825">
        <v>0</v>
      </c>
      <c r="EJ16" s="825">
        <v>0</v>
      </c>
      <c r="EK16" s="825">
        <v>0</v>
      </c>
      <c r="EL16" s="825">
        <v>0</v>
      </c>
      <c r="EM16" s="825">
        <v>0</v>
      </c>
      <c r="EN16" s="825">
        <v>0</v>
      </c>
      <c r="EO16" s="825">
        <v>0</v>
      </c>
      <c r="EP16" s="825">
        <v>0</v>
      </c>
      <c r="EQ16" s="825">
        <v>0</v>
      </c>
      <c r="ER16" s="825">
        <v>0</v>
      </c>
      <c r="ES16" s="825">
        <v>0</v>
      </c>
      <c r="ET16" s="825">
        <v>0</v>
      </c>
      <c r="EU16" s="825">
        <v>0</v>
      </c>
      <c r="EV16" s="825">
        <v>0</v>
      </c>
      <c r="EW16" s="825">
        <v>0</v>
      </c>
      <c r="EX16" s="825">
        <v>0</v>
      </c>
      <c r="EY16" s="825">
        <v>0</v>
      </c>
      <c r="EZ16" s="825">
        <v>0</v>
      </c>
      <c r="FA16" s="825">
        <v>0</v>
      </c>
      <c r="FB16" s="825">
        <v>0</v>
      </c>
      <c r="FC16" s="825">
        <v>0</v>
      </c>
      <c r="FD16" s="825">
        <v>0</v>
      </c>
      <c r="FE16" s="825">
        <v>0</v>
      </c>
      <c r="FF16" s="825">
        <v>0</v>
      </c>
      <c r="FG16" s="825">
        <v>0</v>
      </c>
      <c r="FH16" s="825">
        <v>0</v>
      </c>
      <c r="FI16" s="825">
        <v>0</v>
      </c>
      <c r="FJ16" s="825">
        <v>0</v>
      </c>
      <c r="FK16" s="825">
        <v>0</v>
      </c>
      <c r="FL16" s="825">
        <v>0</v>
      </c>
      <c r="FM16" s="825">
        <v>0</v>
      </c>
      <c r="FN16" s="825">
        <v>0</v>
      </c>
      <c r="FO16" s="825">
        <v>0</v>
      </c>
      <c r="FP16" s="825">
        <v>0</v>
      </c>
      <c r="FQ16" s="825">
        <v>0</v>
      </c>
      <c r="FR16" s="825">
        <v>0</v>
      </c>
      <c r="FS16" s="825">
        <v>0</v>
      </c>
      <c r="FT16" s="825">
        <v>0</v>
      </c>
      <c r="FU16" s="825">
        <v>0</v>
      </c>
      <c r="FV16" s="825">
        <v>0</v>
      </c>
      <c r="FW16" s="825">
        <v>0</v>
      </c>
      <c r="FX16" s="825">
        <v>0</v>
      </c>
      <c r="FY16" s="825">
        <v>0</v>
      </c>
      <c r="FZ16" s="825">
        <v>0</v>
      </c>
      <c r="GA16" s="825">
        <v>0</v>
      </c>
      <c r="GB16" s="825">
        <v>0</v>
      </c>
      <c r="GC16" s="825">
        <v>0</v>
      </c>
      <c r="GD16" s="825">
        <v>0</v>
      </c>
      <c r="GE16" s="825">
        <v>0</v>
      </c>
      <c r="GF16" s="825">
        <v>0</v>
      </c>
      <c r="GG16" s="825">
        <v>0</v>
      </c>
      <c r="GH16" s="825">
        <v>0</v>
      </c>
      <c r="GI16" s="825">
        <v>0</v>
      </c>
      <c r="GJ16" s="825">
        <v>0</v>
      </c>
      <c r="GK16" s="825">
        <v>0</v>
      </c>
      <c r="GL16" s="825">
        <v>0</v>
      </c>
      <c r="GM16" s="825">
        <v>0</v>
      </c>
      <c r="GN16" s="825">
        <v>0</v>
      </c>
      <c r="GO16" s="825">
        <v>0</v>
      </c>
      <c r="GP16" s="825">
        <v>0</v>
      </c>
      <c r="GQ16" s="825">
        <v>0</v>
      </c>
      <c r="GR16" s="825">
        <v>0</v>
      </c>
      <c r="GS16" s="825">
        <v>0</v>
      </c>
      <c r="GT16" s="825">
        <v>0</v>
      </c>
      <c r="GU16" s="825">
        <v>0</v>
      </c>
      <c r="GV16" s="825">
        <v>0</v>
      </c>
      <c r="GW16" s="825">
        <v>0</v>
      </c>
      <c r="GX16" s="825">
        <v>0</v>
      </c>
      <c r="GY16" s="825">
        <v>0</v>
      </c>
      <c r="GZ16" s="825">
        <v>0</v>
      </c>
      <c r="HA16" s="825">
        <v>0</v>
      </c>
      <c r="HB16" s="825">
        <v>0</v>
      </c>
      <c r="HC16" s="825">
        <v>0</v>
      </c>
      <c r="HD16" s="825">
        <v>0</v>
      </c>
      <c r="HE16" s="825">
        <v>0</v>
      </c>
      <c r="HF16" s="825">
        <v>0</v>
      </c>
      <c r="HG16" s="825">
        <v>0</v>
      </c>
      <c r="HH16" s="825">
        <v>0</v>
      </c>
      <c r="HI16" s="825">
        <v>0</v>
      </c>
      <c r="HJ16" s="825">
        <v>0</v>
      </c>
      <c r="HK16" s="825">
        <v>0</v>
      </c>
      <c r="HL16" s="825">
        <v>0</v>
      </c>
      <c r="HM16" s="825">
        <v>0</v>
      </c>
      <c r="HN16" s="825">
        <v>0</v>
      </c>
      <c r="HO16" s="825">
        <v>0</v>
      </c>
      <c r="HP16" s="825">
        <v>0</v>
      </c>
      <c r="HQ16" s="825">
        <v>0</v>
      </c>
      <c r="HR16" s="825">
        <v>0</v>
      </c>
      <c r="HS16" s="825">
        <v>0</v>
      </c>
      <c r="HT16" s="825">
        <v>0</v>
      </c>
      <c r="HU16" s="825">
        <v>0</v>
      </c>
    </row>
    <row r="17" spans="1:229" ht="51">
      <c r="A17" s="823" t="s">
        <v>515</v>
      </c>
      <c r="B17" s="823" t="s">
        <v>1031</v>
      </c>
      <c r="C17" s="823" t="s">
        <v>1032</v>
      </c>
      <c r="D17" s="826" t="s">
        <v>1033</v>
      </c>
      <c r="E17" s="824" t="s">
        <v>1034</v>
      </c>
      <c r="F17" s="824"/>
      <c r="G17" s="824"/>
      <c r="H17" s="826" t="s">
        <v>1035</v>
      </c>
      <c r="I17" s="824"/>
      <c r="J17" s="824" t="s">
        <v>1036</v>
      </c>
      <c r="K17" s="824"/>
      <c r="L17" s="824"/>
      <c r="M17" s="824"/>
      <c r="N17" s="824"/>
      <c r="O17" s="824"/>
      <c r="P17" s="824"/>
      <c r="Q17" s="824"/>
      <c r="R17" s="824"/>
      <c r="S17" s="824"/>
      <c r="T17" s="824"/>
      <c r="U17" s="824"/>
      <c r="V17" s="824"/>
      <c r="W17" s="824"/>
      <c r="X17" s="824"/>
      <c r="Y17" s="824"/>
      <c r="Z17" s="824"/>
      <c r="AA17" s="824"/>
      <c r="AB17" s="824"/>
      <c r="AC17" s="824"/>
      <c r="AD17" s="824"/>
      <c r="AE17" s="824"/>
      <c r="AF17" s="824"/>
      <c r="AG17" s="824"/>
      <c r="AH17" s="824"/>
      <c r="AI17" s="824"/>
      <c r="AJ17" s="824"/>
      <c r="AK17" s="824"/>
      <c r="AL17" s="824"/>
      <c r="AM17" s="824"/>
      <c r="AN17" s="824"/>
      <c r="AO17" s="824"/>
      <c r="AP17" s="824"/>
      <c r="AQ17" s="824"/>
      <c r="AR17" s="824"/>
      <c r="AS17" s="824"/>
      <c r="AT17" s="824"/>
      <c r="AU17" s="824"/>
      <c r="AV17" s="824"/>
      <c r="AW17" s="824"/>
      <c r="AX17" s="824"/>
      <c r="AY17" s="824"/>
      <c r="AZ17" s="824"/>
      <c r="BA17" s="824"/>
      <c r="BB17" s="824"/>
      <c r="BC17" s="824"/>
      <c r="BD17" s="824"/>
      <c r="BE17" s="824"/>
      <c r="BF17" s="824"/>
      <c r="BG17" s="824"/>
      <c r="BH17" s="824"/>
      <c r="BI17" s="824"/>
      <c r="BJ17" s="824"/>
      <c r="BK17" s="824"/>
      <c r="BL17" s="824"/>
      <c r="BM17" s="824"/>
      <c r="BN17" s="824"/>
      <c r="BO17" s="824"/>
      <c r="BP17" s="824"/>
      <c r="BQ17" s="824"/>
      <c r="BR17" s="824"/>
      <c r="BS17" s="824"/>
      <c r="BT17" s="824"/>
      <c r="BU17" s="824"/>
      <c r="BV17" s="824"/>
      <c r="BW17" s="824"/>
      <c r="BX17" s="824"/>
      <c r="BY17" s="824"/>
      <c r="BZ17" s="824"/>
      <c r="CA17" s="824"/>
      <c r="CB17" s="824"/>
      <c r="CC17" s="824"/>
      <c r="CD17" s="824"/>
      <c r="CE17" s="824"/>
      <c r="CF17" s="824"/>
      <c r="CG17" s="824"/>
      <c r="CH17" s="824"/>
      <c r="CI17" s="824"/>
      <c r="CJ17" s="824"/>
      <c r="CK17" s="824"/>
      <c r="CL17" s="824"/>
      <c r="CM17" s="824"/>
      <c r="CN17" s="824"/>
      <c r="CO17" s="824"/>
      <c r="CP17" s="824"/>
      <c r="CQ17" s="824"/>
      <c r="CR17" s="824"/>
      <c r="CS17" s="824"/>
      <c r="CT17" s="824"/>
      <c r="CU17" s="824"/>
      <c r="CV17" s="824"/>
      <c r="CW17" s="824"/>
      <c r="CX17" s="824"/>
      <c r="CY17" s="824"/>
      <c r="CZ17" s="824"/>
      <c r="DA17" s="824"/>
      <c r="DB17" s="824"/>
      <c r="DC17" s="824"/>
      <c r="DD17" s="824"/>
      <c r="DE17" s="824"/>
      <c r="DF17" s="824"/>
      <c r="DG17" s="824"/>
      <c r="DH17" s="824"/>
      <c r="DI17" s="824"/>
      <c r="DJ17" s="824"/>
      <c r="DK17" s="824"/>
      <c r="DL17" s="824"/>
      <c r="DM17" s="825">
        <v>12.5</v>
      </c>
      <c r="DN17" s="825">
        <v>12.5</v>
      </c>
      <c r="DO17" s="825">
        <v>0</v>
      </c>
      <c r="DP17" s="825">
        <v>0</v>
      </c>
      <c r="DQ17" s="825">
        <v>9</v>
      </c>
      <c r="DR17" s="825">
        <v>0</v>
      </c>
      <c r="DS17" s="825">
        <v>12.5</v>
      </c>
      <c r="DT17" s="825">
        <v>0</v>
      </c>
      <c r="DU17" s="825">
        <v>0</v>
      </c>
      <c r="DV17" s="825">
        <v>0</v>
      </c>
      <c r="DW17" s="825">
        <v>0</v>
      </c>
      <c r="DX17" s="825">
        <v>0</v>
      </c>
      <c r="DY17" s="825">
        <v>0</v>
      </c>
      <c r="DZ17" s="825">
        <v>0</v>
      </c>
      <c r="EA17" s="825">
        <v>0</v>
      </c>
      <c r="EB17" s="825">
        <v>0</v>
      </c>
      <c r="EC17" s="825">
        <v>0</v>
      </c>
      <c r="ED17" s="825">
        <v>0</v>
      </c>
      <c r="EE17" s="825">
        <v>0</v>
      </c>
      <c r="EF17" s="825">
        <v>0</v>
      </c>
      <c r="EG17" s="825">
        <v>0</v>
      </c>
      <c r="EH17" s="825">
        <v>0</v>
      </c>
      <c r="EI17" s="825">
        <v>0</v>
      </c>
      <c r="EJ17" s="825">
        <v>0</v>
      </c>
      <c r="EK17" s="825">
        <v>0</v>
      </c>
      <c r="EL17" s="825">
        <v>0</v>
      </c>
      <c r="EM17" s="825">
        <v>0</v>
      </c>
      <c r="EN17" s="825">
        <v>0</v>
      </c>
      <c r="EO17" s="825">
        <v>0</v>
      </c>
      <c r="EP17" s="825">
        <v>0</v>
      </c>
      <c r="EQ17" s="825">
        <v>0</v>
      </c>
      <c r="ER17" s="825">
        <v>0</v>
      </c>
      <c r="ES17" s="825">
        <v>0</v>
      </c>
      <c r="ET17" s="825">
        <v>0</v>
      </c>
      <c r="EU17" s="825">
        <v>0</v>
      </c>
      <c r="EV17" s="825">
        <v>0</v>
      </c>
      <c r="EW17" s="825">
        <v>0</v>
      </c>
      <c r="EX17" s="825">
        <v>0</v>
      </c>
      <c r="EY17" s="825">
        <v>0</v>
      </c>
      <c r="EZ17" s="825">
        <v>0</v>
      </c>
      <c r="FA17" s="825">
        <v>0</v>
      </c>
      <c r="FB17" s="825">
        <v>0</v>
      </c>
      <c r="FC17" s="825">
        <v>0</v>
      </c>
      <c r="FD17" s="825">
        <v>0</v>
      </c>
      <c r="FE17" s="825">
        <v>0</v>
      </c>
      <c r="FF17" s="825">
        <v>0</v>
      </c>
      <c r="FG17" s="825">
        <v>0</v>
      </c>
      <c r="FH17" s="825">
        <v>0</v>
      </c>
      <c r="FI17" s="825">
        <v>0</v>
      </c>
      <c r="FJ17" s="825">
        <v>0</v>
      </c>
      <c r="FK17" s="825">
        <v>0</v>
      </c>
      <c r="FL17" s="825">
        <v>0</v>
      </c>
      <c r="FM17" s="825">
        <v>0</v>
      </c>
      <c r="FN17" s="825">
        <v>0</v>
      </c>
      <c r="FO17" s="825">
        <v>0</v>
      </c>
      <c r="FP17" s="825">
        <v>0</v>
      </c>
      <c r="FQ17" s="825">
        <v>0</v>
      </c>
      <c r="FR17" s="825">
        <v>0</v>
      </c>
      <c r="FS17" s="825">
        <v>0</v>
      </c>
      <c r="FT17" s="825">
        <v>0</v>
      </c>
      <c r="FU17" s="825">
        <v>0</v>
      </c>
      <c r="FV17" s="825">
        <v>0</v>
      </c>
      <c r="FW17" s="825">
        <v>0</v>
      </c>
      <c r="FX17" s="825">
        <v>0</v>
      </c>
      <c r="FY17" s="825">
        <v>0</v>
      </c>
      <c r="FZ17" s="825">
        <v>0</v>
      </c>
      <c r="GA17" s="825">
        <v>0</v>
      </c>
      <c r="GB17" s="825">
        <v>0</v>
      </c>
      <c r="GC17" s="825">
        <v>0</v>
      </c>
      <c r="GD17" s="825">
        <v>0</v>
      </c>
      <c r="GE17" s="825">
        <v>0</v>
      </c>
      <c r="GF17" s="825">
        <v>0</v>
      </c>
      <c r="GG17" s="825">
        <v>0</v>
      </c>
      <c r="GH17" s="825">
        <v>0</v>
      </c>
      <c r="GI17" s="825">
        <v>0</v>
      </c>
      <c r="GJ17" s="825">
        <v>0</v>
      </c>
      <c r="GK17" s="825">
        <v>0</v>
      </c>
      <c r="GL17" s="825">
        <v>0</v>
      </c>
      <c r="GM17" s="825">
        <v>0</v>
      </c>
      <c r="GN17" s="825">
        <v>0</v>
      </c>
      <c r="GO17" s="825">
        <v>0</v>
      </c>
      <c r="GP17" s="825">
        <v>0</v>
      </c>
      <c r="GQ17" s="825">
        <v>0</v>
      </c>
      <c r="GR17" s="825">
        <v>0</v>
      </c>
      <c r="GS17" s="825">
        <v>0</v>
      </c>
      <c r="GT17" s="825">
        <v>0</v>
      </c>
      <c r="GU17" s="825">
        <v>0</v>
      </c>
      <c r="GV17" s="825">
        <v>0</v>
      </c>
      <c r="GW17" s="825">
        <v>0</v>
      </c>
      <c r="GX17" s="825">
        <v>0</v>
      </c>
      <c r="GY17" s="825">
        <v>0</v>
      </c>
      <c r="GZ17" s="825">
        <v>0</v>
      </c>
      <c r="HA17" s="825">
        <v>0</v>
      </c>
      <c r="HB17" s="825">
        <v>0</v>
      </c>
      <c r="HC17" s="825">
        <v>0</v>
      </c>
      <c r="HD17" s="825">
        <v>0</v>
      </c>
      <c r="HE17" s="825">
        <v>0</v>
      </c>
      <c r="HF17" s="825">
        <v>0</v>
      </c>
      <c r="HG17" s="825">
        <v>0</v>
      </c>
      <c r="HH17" s="825">
        <v>0</v>
      </c>
      <c r="HI17" s="825">
        <v>0</v>
      </c>
      <c r="HJ17" s="825">
        <v>0</v>
      </c>
      <c r="HK17" s="825">
        <v>0</v>
      </c>
      <c r="HL17" s="825">
        <v>0</v>
      </c>
      <c r="HM17" s="825">
        <v>0</v>
      </c>
      <c r="HN17" s="825">
        <v>0</v>
      </c>
      <c r="HO17" s="825">
        <v>0</v>
      </c>
      <c r="HP17" s="825">
        <v>0</v>
      </c>
      <c r="HQ17" s="825">
        <v>0</v>
      </c>
      <c r="HR17" s="825">
        <v>0</v>
      </c>
      <c r="HS17" s="825">
        <v>0</v>
      </c>
      <c r="HT17" s="825">
        <v>0</v>
      </c>
      <c r="HU17" s="825">
        <v>0</v>
      </c>
    </row>
    <row r="18" spans="1:229" ht="204">
      <c r="A18" s="823" t="s">
        <v>515</v>
      </c>
      <c r="B18" s="823" t="s">
        <v>1037</v>
      </c>
      <c r="C18" s="823" t="s">
        <v>1038</v>
      </c>
      <c r="D18" s="826" t="s">
        <v>1039</v>
      </c>
      <c r="E18" s="826" t="s">
        <v>1040</v>
      </c>
      <c r="F18" s="824" t="s">
        <v>1041</v>
      </c>
      <c r="G18" s="824" t="s">
        <v>1042</v>
      </c>
      <c r="H18" s="824"/>
      <c r="I18" s="826" t="s">
        <v>1043</v>
      </c>
      <c r="J18" s="826" t="s">
        <v>1044</v>
      </c>
      <c r="K18" s="824"/>
      <c r="L18" s="826" t="s">
        <v>1045</v>
      </c>
      <c r="M18" s="824" t="s">
        <v>1046</v>
      </c>
      <c r="N18" s="824"/>
      <c r="O18" s="824"/>
      <c r="P18" s="824"/>
      <c r="Q18" s="824"/>
      <c r="R18" s="824"/>
      <c r="S18" s="824"/>
      <c r="T18" s="824"/>
      <c r="U18" s="824"/>
      <c r="V18" s="824"/>
      <c r="W18" s="824"/>
      <c r="X18" s="824"/>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c r="BC18" s="824"/>
      <c r="BD18" s="824"/>
      <c r="BE18" s="824"/>
      <c r="BF18" s="824"/>
      <c r="BG18" s="824"/>
      <c r="BH18" s="824"/>
      <c r="BI18" s="824"/>
      <c r="BJ18" s="824"/>
      <c r="BK18" s="824"/>
      <c r="BL18" s="824"/>
      <c r="BM18" s="824"/>
      <c r="BN18" s="824"/>
      <c r="BO18" s="824"/>
      <c r="BP18" s="824"/>
      <c r="BQ18" s="824"/>
      <c r="BR18" s="824"/>
      <c r="BS18" s="824"/>
      <c r="BT18" s="824"/>
      <c r="BU18" s="824"/>
      <c r="BV18" s="824"/>
      <c r="BW18" s="824"/>
      <c r="BX18" s="824"/>
      <c r="BY18" s="824"/>
      <c r="BZ18" s="824"/>
      <c r="CA18" s="824"/>
      <c r="CB18" s="824"/>
      <c r="CC18" s="824"/>
      <c r="CD18" s="824"/>
      <c r="CE18" s="824"/>
      <c r="CF18" s="824"/>
      <c r="CG18" s="824"/>
      <c r="CH18" s="824"/>
      <c r="CI18" s="824"/>
      <c r="CJ18" s="824"/>
      <c r="CK18" s="824"/>
      <c r="CL18" s="824"/>
      <c r="CM18" s="824"/>
      <c r="CN18" s="824"/>
      <c r="CO18" s="824"/>
      <c r="CP18" s="824"/>
      <c r="CQ18" s="824"/>
      <c r="CR18" s="824"/>
      <c r="CS18" s="824"/>
      <c r="CT18" s="824"/>
      <c r="CU18" s="824"/>
      <c r="CV18" s="824"/>
      <c r="CW18" s="824"/>
      <c r="CX18" s="824"/>
      <c r="CY18" s="824"/>
      <c r="CZ18" s="824"/>
      <c r="DA18" s="824"/>
      <c r="DB18" s="824"/>
      <c r="DC18" s="824"/>
      <c r="DD18" s="824"/>
      <c r="DE18" s="824"/>
      <c r="DF18" s="824"/>
      <c r="DG18" s="824"/>
      <c r="DH18" s="824"/>
      <c r="DI18" s="824"/>
      <c r="DJ18" s="824"/>
      <c r="DK18" s="824"/>
      <c r="DL18" s="824"/>
      <c r="DM18" s="825">
        <v>10.1</v>
      </c>
      <c r="DN18" s="825">
        <v>10.1</v>
      </c>
      <c r="DO18" s="825">
        <v>8.4</v>
      </c>
      <c r="DP18" s="825">
        <v>10.5</v>
      </c>
      <c r="DQ18" s="825">
        <v>0</v>
      </c>
      <c r="DR18" s="825">
        <v>8.6</v>
      </c>
      <c r="DS18" s="825">
        <v>7.1</v>
      </c>
      <c r="DT18" s="825">
        <v>0</v>
      </c>
      <c r="DU18" s="825">
        <v>9.9</v>
      </c>
      <c r="DV18" s="825">
        <v>9.4</v>
      </c>
      <c r="DW18" s="825">
        <v>0</v>
      </c>
      <c r="DX18" s="825">
        <v>0</v>
      </c>
      <c r="DY18" s="825">
        <v>0</v>
      </c>
      <c r="DZ18" s="825">
        <v>0</v>
      </c>
      <c r="EA18" s="825">
        <v>0</v>
      </c>
      <c r="EB18" s="825">
        <v>0</v>
      </c>
      <c r="EC18" s="825">
        <v>0</v>
      </c>
      <c r="ED18" s="825">
        <v>0</v>
      </c>
      <c r="EE18" s="825">
        <v>0</v>
      </c>
      <c r="EF18" s="825">
        <v>0</v>
      </c>
      <c r="EG18" s="825">
        <v>0</v>
      </c>
      <c r="EH18" s="825">
        <v>0</v>
      </c>
      <c r="EI18" s="825">
        <v>0</v>
      </c>
      <c r="EJ18" s="825">
        <v>0</v>
      </c>
      <c r="EK18" s="825">
        <v>0</v>
      </c>
      <c r="EL18" s="825">
        <v>0</v>
      </c>
      <c r="EM18" s="825">
        <v>0</v>
      </c>
      <c r="EN18" s="825">
        <v>0</v>
      </c>
      <c r="EO18" s="825">
        <v>0</v>
      </c>
      <c r="EP18" s="825">
        <v>0</v>
      </c>
      <c r="EQ18" s="825">
        <v>0</v>
      </c>
      <c r="ER18" s="825">
        <v>0</v>
      </c>
      <c r="ES18" s="825">
        <v>0</v>
      </c>
      <c r="ET18" s="825">
        <v>0</v>
      </c>
      <c r="EU18" s="825">
        <v>0</v>
      </c>
      <c r="EV18" s="825">
        <v>0</v>
      </c>
      <c r="EW18" s="825">
        <v>0</v>
      </c>
      <c r="EX18" s="825">
        <v>0</v>
      </c>
      <c r="EY18" s="825">
        <v>0</v>
      </c>
      <c r="EZ18" s="825">
        <v>0</v>
      </c>
      <c r="FA18" s="825">
        <v>0</v>
      </c>
      <c r="FB18" s="825">
        <v>0</v>
      </c>
      <c r="FC18" s="825">
        <v>0</v>
      </c>
      <c r="FD18" s="825">
        <v>0</v>
      </c>
      <c r="FE18" s="825">
        <v>0</v>
      </c>
      <c r="FF18" s="825">
        <v>0</v>
      </c>
      <c r="FG18" s="825">
        <v>0</v>
      </c>
      <c r="FH18" s="825">
        <v>0</v>
      </c>
      <c r="FI18" s="825">
        <v>0</v>
      </c>
      <c r="FJ18" s="825">
        <v>0</v>
      </c>
      <c r="FK18" s="825">
        <v>0</v>
      </c>
      <c r="FL18" s="825">
        <v>0</v>
      </c>
      <c r="FM18" s="825">
        <v>0</v>
      </c>
      <c r="FN18" s="825">
        <v>0</v>
      </c>
      <c r="FO18" s="825">
        <v>0</v>
      </c>
      <c r="FP18" s="825">
        <v>0</v>
      </c>
      <c r="FQ18" s="825">
        <v>0</v>
      </c>
      <c r="FR18" s="825">
        <v>0</v>
      </c>
      <c r="FS18" s="825">
        <v>0</v>
      </c>
      <c r="FT18" s="825">
        <v>0</v>
      </c>
      <c r="FU18" s="825">
        <v>0</v>
      </c>
      <c r="FV18" s="825">
        <v>0</v>
      </c>
      <c r="FW18" s="825">
        <v>0</v>
      </c>
      <c r="FX18" s="825">
        <v>0</v>
      </c>
      <c r="FY18" s="825">
        <v>0</v>
      </c>
      <c r="FZ18" s="825">
        <v>0</v>
      </c>
      <c r="GA18" s="825">
        <v>0</v>
      </c>
      <c r="GB18" s="825">
        <v>0</v>
      </c>
      <c r="GC18" s="825">
        <v>0</v>
      </c>
      <c r="GD18" s="825">
        <v>0</v>
      </c>
      <c r="GE18" s="825">
        <v>0</v>
      </c>
      <c r="GF18" s="825">
        <v>0</v>
      </c>
      <c r="GG18" s="825">
        <v>0</v>
      </c>
      <c r="GH18" s="825">
        <v>0</v>
      </c>
      <c r="GI18" s="825">
        <v>0</v>
      </c>
      <c r="GJ18" s="825">
        <v>0</v>
      </c>
      <c r="GK18" s="825">
        <v>0</v>
      </c>
      <c r="GL18" s="825">
        <v>0</v>
      </c>
      <c r="GM18" s="825">
        <v>0</v>
      </c>
      <c r="GN18" s="825">
        <v>0</v>
      </c>
      <c r="GO18" s="825">
        <v>0</v>
      </c>
      <c r="GP18" s="825">
        <v>0</v>
      </c>
      <c r="GQ18" s="825">
        <v>0</v>
      </c>
      <c r="GR18" s="825">
        <v>0</v>
      </c>
      <c r="GS18" s="825">
        <v>0</v>
      </c>
      <c r="GT18" s="825">
        <v>0</v>
      </c>
      <c r="GU18" s="825">
        <v>0</v>
      </c>
      <c r="GV18" s="825">
        <v>0</v>
      </c>
      <c r="GW18" s="825">
        <v>0</v>
      </c>
      <c r="GX18" s="825">
        <v>0</v>
      </c>
      <c r="GY18" s="825">
        <v>0</v>
      </c>
      <c r="GZ18" s="825">
        <v>0</v>
      </c>
      <c r="HA18" s="825">
        <v>0</v>
      </c>
      <c r="HB18" s="825">
        <v>0</v>
      </c>
      <c r="HC18" s="825">
        <v>0</v>
      </c>
      <c r="HD18" s="825">
        <v>0</v>
      </c>
      <c r="HE18" s="825">
        <v>0</v>
      </c>
      <c r="HF18" s="825">
        <v>0</v>
      </c>
      <c r="HG18" s="825">
        <v>0</v>
      </c>
      <c r="HH18" s="825">
        <v>0</v>
      </c>
      <c r="HI18" s="825">
        <v>0</v>
      </c>
      <c r="HJ18" s="825">
        <v>0</v>
      </c>
      <c r="HK18" s="825">
        <v>0</v>
      </c>
      <c r="HL18" s="825">
        <v>0</v>
      </c>
      <c r="HM18" s="825">
        <v>0</v>
      </c>
      <c r="HN18" s="825">
        <v>0</v>
      </c>
      <c r="HO18" s="825">
        <v>0</v>
      </c>
      <c r="HP18" s="825">
        <v>0</v>
      </c>
      <c r="HQ18" s="825">
        <v>0</v>
      </c>
      <c r="HR18" s="825">
        <v>0</v>
      </c>
      <c r="HS18" s="825">
        <v>0</v>
      </c>
      <c r="HT18" s="825">
        <v>0</v>
      </c>
      <c r="HU18" s="825">
        <v>0</v>
      </c>
    </row>
    <row r="19" spans="1:229" ht="165.75">
      <c r="A19" s="823" t="s">
        <v>515</v>
      </c>
      <c r="B19" s="823" t="s">
        <v>1047</v>
      </c>
      <c r="C19" s="823" t="s">
        <v>1048</v>
      </c>
      <c r="D19" s="826" t="s">
        <v>1049</v>
      </c>
      <c r="E19" s="824" t="s">
        <v>1050</v>
      </c>
      <c r="F19" s="824" t="s">
        <v>1051</v>
      </c>
      <c r="G19" s="824" t="s">
        <v>1052</v>
      </c>
      <c r="H19" s="824" t="s">
        <v>1053</v>
      </c>
      <c r="I19" s="824"/>
      <c r="J19" s="824"/>
      <c r="K19" s="824"/>
      <c r="L19" s="824"/>
      <c r="M19" s="824"/>
      <c r="N19" s="824"/>
      <c r="O19" s="824"/>
      <c r="P19" s="824"/>
      <c r="Q19" s="824"/>
      <c r="R19" s="824"/>
      <c r="S19" s="824"/>
      <c r="T19" s="824"/>
      <c r="U19" s="824"/>
      <c r="V19" s="824"/>
      <c r="W19" s="824"/>
      <c r="X19" s="824"/>
      <c r="Y19" s="824"/>
      <c r="Z19" s="824"/>
      <c r="AA19" s="824"/>
      <c r="AB19" s="824"/>
      <c r="AC19" s="824"/>
      <c r="AD19" s="824"/>
      <c r="AE19" s="824"/>
      <c r="AF19" s="824"/>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c r="BC19" s="824"/>
      <c r="BD19" s="824"/>
      <c r="BE19" s="824"/>
      <c r="BF19" s="824"/>
      <c r="BG19" s="824"/>
      <c r="BH19" s="824"/>
      <c r="BI19" s="824"/>
      <c r="BJ19" s="824"/>
      <c r="BK19" s="824"/>
      <c r="BL19" s="824"/>
      <c r="BM19" s="824"/>
      <c r="BN19" s="824"/>
      <c r="BO19" s="824"/>
      <c r="BP19" s="824"/>
      <c r="BQ19" s="824"/>
      <c r="BR19" s="824"/>
      <c r="BS19" s="824"/>
      <c r="BT19" s="824"/>
      <c r="BU19" s="824"/>
      <c r="BV19" s="824"/>
      <c r="BW19" s="824"/>
      <c r="BX19" s="824"/>
      <c r="BY19" s="824"/>
      <c r="BZ19" s="824"/>
      <c r="CA19" s="824"/>
      <c r="CB19" s="824"/>
      <c r="CC19" s="824"/>
      <c r="CD19" s="824"/>
      <c r="CE19" s="824"/>
      <c r="CF19" s="824"/>
      <c r="CG19" s="824"/>
      <c r="CH19" s="824"/>
      <c r="CI19" s="824"/>
      <c r="CJ19" s="824"/>
      <c r="CK19" s="824"/>
      <c r="CL19" s="824"/>
      <c r="CM19" s="824"/>
      <c r="CN19" s="824"/>
      <c r="CO19" s="824"/>
      <c r="CP19" s="824"/>
      <c r="CQ19" s="824"/>
      <c r="CR19" s="824"/>
      <c r="CS19" s="824"/>
      <c r="CT19" s="824"/>
      <c r="CU19" s="824"/>
      <c r="CV19" s="824"/>
      <c r="CW19" s="824"/>
      <c r="CX19" s="824"/>
      <c r="CY19" s="824"/>
      <c r="CZ19" s="824"/>
      <c r="DA19" s="824"/>
      <c r="DB19" s="824"/>
      <c r="DC19" s="824"/>
      <c r="DD19" s="824"/>
      <c r="DE19" s="824"/>
      <c r="DF19" s="824"/>
      <c r="DG19" s="824"/>
      <c r="DH19" s="824"/>
      <c r="DI19" s="824"/>
      <c r="DJ19" s="824"/>
      <c r="DK19" s="824"/>
      <c r="DL19" s="824"/>
      <c r="DM19" s="825">
        <v>8.1</v>
      </c>
      <c r="DN19" s="825">
        <v>8.4</v>
      </c>
      <c r="DO19" s="825">
        <v>8.1</v>
      </c>
      <c r="DP19" s="825">
        <v>8.1</v>
      </c>
      <c r="DQ19" s="825">
        <v>5</v>
      </c>
      <c r="DR19" s="825">
        <v>0</v>
      </c>
      <c r="DS19" s="825">
        <v>0</v>
      </c>
      <c r="DT19" s="825">
        <v>0</v>
      </c>
      <c r="DU19" s="825">
        <v>0</v>
      </c>
      <c r="DV19" s="825">
        <v>0</v>
      </c>
      <c r="DW19" s="825">
        <v>0</v>
      </c>
      <c r="DX19" s="825">
        <v>0</v>
      </c>
      <c r="DY19" s="825">
        <v>0</v>
      </c>
      <c r="DZ19" s="825">
        <v>0</v>
      </c>
      <c r="EA19" s="825">
        <v>0</v>
      </c>
      <c r="EB19" s="825">
        <v>0</v>
      </c>
      <c r="EC19" s="825">
        <v>0</v>
      </c>
      <c r="ED19" s="825">
        <v>0</v>
      </c>
      <c r="EE19" s="825">
        <v>0</v>
      </c>
      <c r="EF19" s="825">
        <v>0</v>
      </c>
      <c r="EG19" s="825">
        <v>0</v>
      </c>
      <c r="EH19" s="825">
        <v>0</v>
      </c>
      <c r="EI19" s="825">
        <v>0</v>
      </c>
      <c r="EJ19" s="825">
        <v>0</v>
      </c>
      <c r="EK19" s="825">
        <v>0</v>
      </c>
      <c r="EL19" s="825">
        <v>0</v>
      </c>
      <c r="EM19" s="825">
        <v>0</v>
      </c>
      <c r="EN19" s="825">
        <v>0</v>
      </c>
      <c r="EO19" s="825">
        <v>0</v>
      </c>
      <c r="EP19" s="825">
        <v>0</v>
      </c>
      <c r="EQ19" s="825">
        <v>0</v>
      </c>
      <c r="ER19" s="825">
        <v>0</v>
      </c>
      <c r="ES19" s="825">
        <v>0</v>
      </c>
      <c r="ET19" s="825">
        <v>0</v>
      </c>
      <c r="EU19" s="825">
        <v>0</v>
      </c>
      <c r="EV19" s="825">
        <v>0</v>
      </c>
      <c r="EW19" s="825">
        <v>0</v>
      </c>
      <c r="EX19" s="825">
        <v>0</v>
      </c>
      <c r="EY19" s="825">
        <v>0</v>
      </c>
      <c r="EZ19" s="825">
        <v>0</v>
      </c>
      <c r="FA19" s="825">
        <v>0</v>
      </c>
      <c r="FB19" s="825">
        <v>0</v>
      </c>
      <c r="FC19" s="825">
        <v>0</v>
      </c>
      <c r="FD19" s="825">
        <v>0</v>
      </c>
      <c r="FE19" s="825">
        <v>0</v>
      </c>
      <c r="FF19" s="825">
        <v>0</v>
      </c>
      <c r="FG19" s="825">
        <v>0</v>
      </c>
      <c r="FH19" s="825">
        <v>0</v>
      </c>
      <c r="FI19" s="825">
        <v>0</v>
      </c>
      <c r="FJ19" s="825">
        <v>0</v>
      </c>
      <c r="FK19" s="825">
        <v>0</v>
      </c>
      <c r="FL19" s="825">
        <v>0</v>
      </c>
      <c r="FM19" s="825">
        <v>0</v>
      </c>
      <c r="FN19" s="825">
        <v>0</v>
      </c>
      <c r="FO19" s="825">
        <v>0</v>
      </c>
      <c r="FP19" s="825">
        <v>0</v>
      </c>
      <c r="FQ19" s="825">
        <v>0</v>
      </c>
      <c r="FR19" s="825">
        <v>0</v>
      </c>
      <c r="FS19" s="825">
        <v>0</v>
      </c>
      <c r="FT19" s="825">
        <v>0</v>
      </c>
      <c r="FU19" s="825">
        <v>0</v>
      </c>
      <c r="FV19" s="825">
        <v>0</v>
      </c>
      <c r="FW19" s="825">
        <v>0</v>
      </c>
      <c r="FX19" s="825">
        <v>0</v>
      </c>
      <c r="FY19" s="825">
        <v>0</v>
      </c>
      <c r="FZ19" s="825">
        <v>0</v>
      </c>
      <c r="GA19" s="825">
        <v>0</v>
      </c>
      <c r="GB19" s="825">
        <v>0</v>
      </c>
      <c r="GC19" s="825">
        <v>0</v>
      </c>
      <c r="GD19" s="825">
        <v>0</v>
      </c>
      <c r="GE19" s="825">
        <v>0</v>
      </c>
      <c r="GF19" s="825">
        <v>0</v>
      </c>
      <c r="GG19" s="825">
        <v>0</v>
      </c>
      <c r="GH19" s="825">
        <v>0</v>
      </c>
      <c r="GI19" s="825">
        <v>0</v>
      </c>
      <c r="GJ19" s="825">
        <v>0</v>
      </c>
      <c r="GK19" s="825">
        <v>0</v>
      </c>
      <c r="GL19" s="825">
        <v>0</v>
      </c>
      <c r="GM19" s="825">
        <v>0</v>
      </c>
      <c r="GN19" s="825">
        <v>0</v>
      </c>
      <c r="GO19" s="825">
        <v>0</v>
      </c>
      <c r="GP19" s="825">
        <v>0</v>
      </c>
      <c r="GQ19" s="825">
        <v>0</v>
      </c>
      <c r="GR19" s="825">
        <v>0</v>
      </c>
      <c r="GS19" s="825">
        <v>0</v>
      </c>
      <c r="GT19" s="825">
        <v>0</v>
      </c>
      <c r="GU19" s="825">
        <v>0</v>
      </c>
      <c r="GV19" s="825">
        <v>0</v>
      </c>
      <c r="GW19" s="825">
        <v>0</v>
      </c>
      <c r="GX19" s="825">
        <v>0</v>
      </c>
      <c r="GY19" s="825">
        <v>0</v>
      </c>
      <c r="GZ19" s="825">
        <v>0</v>
      </c>
      <c r="HA19" s="825">
        <v>0</v>
      </c>
      <c r="HB19" s="825">
        <v>0</v>
      </c>
      <c r="HC19" s="825">
        <v>0</v>
      </c>
      <c r="HD19" s="825">
        <v>0</v>
      </c>
      <c r="HE19" s="825">
        <v>0</v>
      </c>
      <c r="HF19" s="825">
        <v>0</v>
      </c>
      <c r="HG19" s="825">
        <v>0</v>
      </c>
      <c r="HH19" s="825">
        <v>0</v>
      </c>
      <c r="HI19" s="825">
        <v>0</v>
      </c>
      <c r="HJ19" s="825">
        <v>0</v>
      </c>
      <c r="HK19" s="825">
        <v>0</v>
      </c>
      <c r="HL19" s="825">
        <v>0</v>
      </c>
      <c r="HM19" s="825">
        <v>0</v>
      </c>
      <c r="HN19" s="825">
        <v>0</v>
      </c>
      <c r="HO19" s="825">
        <v>0</v>
      </c>
      <c r="HP19" s="825">
        <v>0</v>
      </c>
      <c r="HQ19" s="825">
        <v>0</v>
      </c>
      <c r="HR19" s="825">
        <v>0</v>
      </c>
      <c r="HS19" s="825">
        <v>0</v>
      </c>
      <c r="HT19" s="825">
        <v>0</v>
      </c>
      <c r="HU19" s="825">
        <v>0</v>
      </c>
    </row>
    <row r="20" spans="1:229" ht="191.25">
      <c r="A20" s="823" t="s">
        <v>515</v>
      </c>
      <c r="B20" s="823" t="s">
        <v>1054</v>
      </c>
      <c r="C20" s="823" t="s">
        <v>1055</v>
      </c>
      <c r="D20" s="824" t="s">
        <v>1056</v>
      </c>
      <c r="E20" s="824"/>
      <c r="F20" s="824"/>
      <c r="G20" s="824" t="s">
        <v>1057</v>
      </c>
      <c r="H20" s="824" t="s">
        <v>1058</v>
      </c>
      <c r="I20" s="824" t="s">
        <v>1059</v>
      </c>
      <c r="J20" s="824" t="s">
        <v>1060</v>
      </c>
      <c r="K20" s="824" t="s">
        <v>1061</v>
      </c>
      <c r="L20" s="824" t="s">
        <v>1062</v>
      </c>
      <c r="M20" s="824" t="s">
        <v>1063</v>
      </c>
      <c r="N20" s="824"/>
      <c r="O20" s="824"/>
      <c r="P20" s="824"/>
      <c r="Q20" s="824"/>
      <c r="R20" s="824"/>
      <c r="S20" s="824"/>
      <c r="T20" s="824"/>
      <c r="U20" s="824"/>
      <c r="V20" s="824"/>
      <c r="W20" s="824"/>
      <c r="X20" s="824"/>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c r="BC20" s="824"/>
      <c r="BD20" s="824"/>
      <c r="BE20" s="824"/>
      <c r="BF20" s="824"/>
      <c r="BG20" s="824"/>
      <c r="BH20" s="824"/>
      <c r="BI20" s="824"/>
      <c r="BJ20" s="824"/>
      <c r="BK20" s="824"/>
      <c r="BL20" s="824"/>
      <c r="BM20" s="824"/>
      <c r="BN20" s="824"/>
      <c r="BO20" s="824"/>
      <c r="BP20" s="824"/>
      <c r="BQ20" s="824"/>
      <c r="BR20" s="824"/>
      <c r="BS20" s="824"/>
      <c r="BT20" s="824"/>
      <c r="BU20" s="824"/>
      <c r="BV20" s="824"/>
      <c r="BW20" s="824"/>
      <c r="BX20" s="824"/>
      <c r="BY20" s="824"/>
      <c r="BZ20" s="824"/>
      <c r="CA20" s="824"/>
      <c r="CB20" s="824"/>
      <c r="CC20" s="824"/>
      <c r="CD20" s="824"/>
      <c r="CE20" s="824"/>
      <c r="CF20" s="824"/>
      <c r="CG20" s="824"/>
      <c r="CH20" s="824"/>
      <c r="CI20" s="824"/>
      <c r="CJ20" s="824"/>
      <c r="CK20" s="824"/>
      <c r="CL20" s="824"/>
      <c r="CM20" s="824"/>
      <c r="CN20" s="824"/>
      <c r="CO20" s="824"/>
      <c r="CP20" s="824"/>
      <c r="CQ20" s="824"/>
      <c r="CR20" s="824"/>
      <c r="CS20" s="824"/>
      <c r="CT20" s="824"/>
      <c r="CU20" s="824"/>
      <c r="CV20" s="824"/>
      <c r="CW20" s="824"/>
      <c r="CX20" s="824"/>
      <c r="CY20" s="824"/>
      <c r="CZ20" s="824"/>
      <c r="DA20" s="824"/>
      <c r="DB20" s="824"/>
      <c r="DC20" s="824"/>
      <c r="DD20" s="824"/>
      <c r="DE20" s="824"/>
      <c r="DF20" s="824"/>
      <c r="DG20" s="824"/>
      <c r="DH20" s="824"/>
      <c r="DI20" s="824"/>
      <c r="DJ20" s="824"/>
      <c r="DK20" s="824"/>
      <c r="DL20" s="824"/>
      <c r="DM20" s="825">
        <v>9.3000000000000007</v>
      </c>
      <c r="DN20" s="825">
        <v>0</v>
      </c>
      <c r="DO20" s="825">
        <v>0</v>
      </c>
      <c r="DP20" s="825">
        <v>5.5</v>
      </c>
      <c r="DQ20" s="825">
        <v>6.7</v>
      </c>
      <c r="DR20" s="825">
        <v>7.4</v>
      </c>
      <c r="DS20" s="825">
        <v>7.8</v>
      </c>
      <c r="DT20" s="825">
        <v>7.8</v>
      </c>
      <c r="DU20" s="825">
        <v>10.6</v>
      </c>
      <c r="DV20" s="825">
        <v>9.1</v>
      </c>
      <c r="DW20" s="825">
        <v>0</v>
      </c>
      <c r="DX20" s="825">
        <v>0</v>
      </c>
      <c r="DY20" s="825">
        <v>0</v>
      </c>
      <c r="DZ20" s="825">
        <v>0</v>
      </c>
      <c r="EA20" s="825">
        <v>0</v>
      </c>
      <c r="EB20" s="825">
        <v>0</v>
      </c>
      <c r="EC20" s="825">
        <v>0</v>
      </c>
      <c r="ED20" s="825">
        <v>0</v>
      </c>
      <c r="EE20" s="825">
        <v>0</v>
      </c>
      <c r="EF20" s="825">
        <v>0</v>
      </c>
      <c r="EG20" s="825">
        <v>0</v>
      </c>
      <c r="EH20" s="825">
        <v>0</v>
      </c>
      <c r="EI20" s="825">
        <v>0</v>
      </c>
      <c r="EJ20" s="825">
        <v>0</v>
      </c>
      <c r="EK20" s="825">
        <v>0</v>
      </c>
      <c r="EL20" s="825">
        <v>0</v>
      </c>
      <c r="EM20" s="825">
        <v>0</v>
      </c>
      <c r="EN20" s="825">
        <v>0</v>
      </c>
      <c r="EO20" s="825">
        <v>0</v>
      </c>
      <c r="EP20" s="825">
        <v>0</v>
      </c>
      <c r="EQ20" s="825">
        <v>0</v>
      </c>
      <c r="ER20" s="825">
        <v>0</v>
      </c>
      <c r="ES20" s="825">
        <v>0</v>
      </c>
      <c r="ET20" s="825">
        <v>0</v>
      </c>
      <c r="EU20" s="825">
        <v>0</v>
      </c>
      <c r="EV20" s="825">
        <v>0</v>
      </c>
      <c r="EW20" s="825">
        <v>0</v>
      </c>
      <c r="EX20" s="825">
        <v>0</v>
      </c>
      <c r="EY20" s="825">
        <v>0</v>
      </c>
      <c r="EZ20" s="825">
        <v>0</v>
      </c>
      <c r="FA20" s="825">
        <v>0</v>
      </c>
      <c r="FB20" s="825">
        <v>0</v>
      </c>
      <c r="FC20" s="825">
        <v>0</v>
      </c>
      <c r="FD20" s="825">
        <v>0</v>
      </c>
      <c r="FE20" s="825">
        <v>0</v>
      </c>
      <c r="FF20" s="825">
        <v>0</v>
      </c>
      <c r="FG20" s="825">
        <v>0</v>
      </c>
      <c r="FH20" s="825">
        <v>0</v>
      </c>
      <c r="FI20" s="825">
        <v>0</v>
      </c>
      <c r="FJ20" s="825">
        <v>0</v>
      </c>
      <c r="FK20" s="825">
        <v>0</v>
      </c>
      <c r="FL20" s="825">
        <v>0</v>
      </c>
      <c r="FM20" s="825">
        <v>0</v>
      </c>
      <c r="FN20" s="825">
        <v>0</v>
      </c>
      <c r="FO20" s="825">
        <v>0</v>
      </c>
      <c r="FP20" s="825">
        <v>0</v>
      </c>
      <c r="FQ20" s="825">
        <v>0</v>
      </c>
      <c r="FR20" s="825">
        <v>0</v>
      </c>
      <c r="FS20" s="825">
        <v>0</v>
      </c>
      <c r="FT20" s="825">
        <v>0</v>
      </c>
      <c r="FU20" s="825">
        <v>0</v>
      </c>
      <c r="FV20" s="825">
        <v>0</v>
      </c>
      <c r="FW20" s="825">
        <v>0</v>
      </c>
      <c r="FX20" s="825">
        <v>0</v>
      </c>
      <c r="FY20" s="825">
        <v>0</v>
      </c>
      <c r="FZ20" s="825">
        <v>0</v>
      </c>
      <c r="GA20" s="825">
        <v>0</v>
      </c>
      <c r="GB20" s="825">
        <v>0</v>
      </c>
      <c r="GC20" s="825">
        <v>0</v>
      </c>
      <c r="GD20" s="825">
        <v>0</v>
      </c>
      <c r="GE20" s="825">
        <v>0</v>
      </c>
      <c r="GF20" s="825">
        <v>0</v>
      </c>
      <c r="GG20" s="825">
        <v>0</v>
      </c>
      <c r="GH20" s="825">
        <v>0</v>
      </c>
      <c r="GI20" s="825">
        <v>0</v>
      </c>
      <c r="GJ20" s="825">
        <v>0</v>
      </c>
      <c r="GK20" s="825">
        <v>0</v>
      </c>
      <c r="GL20" s="825">
        <v>0</v>
      </c>
      <c r="GM20" s="825">
        <v>0</v>
      </c>
      <c r="GN20" s="825">
        <v>0</v>
      </c>
      <c r="GO20" s="825">
        <v>0</v>
      </c>
      <c r="GP20" s="825">
        <v>0</v>
      </c>
      <c r="GQ20" s="825">
        <v>0</v>
      </c>
      <c r="GR20" s="825">
        <v>0</v>
      </c>
      <c r="GS20" s="825">
        <v>0</v>
      </c>
      <c r="GT20" s="825">
        <v>0</v>
      </c>
      <c r="GU20" s="825">
        <v>0</v>
      </c>
      <c r="GV20" s="825">
        <v>0</v>
      </c>
      <c r="GW20" s="825">
        <v>0</v>
      </c>
      <c r="GX20" s="825">
        <v>0</v>
      </c>
      <c r="GY20" s="825">
        <v>0</v>
      </c>
      <c r="GZ20" s="825">
        <v>0</v>
      </c>
      <c r="HA20" s="825">
        <v>0</v>
      </c>
      <c r="HB20" s="825">
        <v>0</v>
      </c>
      <c r="HC20" s="825">
        <v>0</v>
      </c>
      <c r="HD20" s="825">
        <v>0</v>
      </c>
      <c r="HE20" s="825">
        <v>0</v>
      </c>
      <c r="HF20" s="825">
        <v>0</v>
      </c>
      <c r="HG20" s="825">
        <v>0</v>
      </c>
      <c r="HH20" s="825">
        <v>0</v>
      </c>
      <c r="HI20" s="825">
        <v>0</v>
      </c>
      <c r="HJ20" s="825">
        <v>0</v>
      </c>
      <c r="HK20" s="825">
        <v>0</v>
      </c>
      <c r="HL20" s="825">
        <v>0</v>
      </c>
      <c r="HM20" s="825">
        <v>0</v>
      </c>
      <c r="HN20" s="825">
        <v>0</v>
      </c>
      <c r="HO20" s="825">
        <v>0</v>
      </c>
      <c r="HP20" s="825">
        <v>0</v>
      </c>
      <c r="HQ20" s="825">
        <v>0</v>
      </c>
      <c r="HR20" s="825">
        <v>0</v>
      </c>
      <c r="HS20" s="825">
        <v>0</v>
      </c>
      <c r="HT20" s="825">
        <v>0</v>
      </c>
      <c r="HU20" s="825">
        <v>0</v>
      </c>
    </row>
    <row r="21" spans="1:229" ht="127.5">
      <c r="A21" s="823" t="s">
        <v>515</v>
      </c>
      <c r="B21" s="823" t="s">
        <v>1064</v>
      </c>
      <c r="C21" s="823" t="s">
        <v>1065</v>
      </c>
      <c r="D21" s="826" t="s">
        <v>1066</v>
      </c>
      <c r="E21" s="824"/>
      <c r="F21" s="824"/>
      <c r="G21" s="824"/>
      <c r="H21" s="824"/>
      <c r="I21" s="824"/>
      <c r="J21" s="824"/>
      <c r="K21" s="824"/>
      <c r="L21" s="824"/>
      <c r="M21" s="824"/>
      <c r="N21" s="824"/>
      <c r="O21" s="824"/>
      <c r="P21" s="824"/>
      <c r="Q21" s="824"/>
      <c r="R21" s="824"/>
      <c r="S21" s="824"/>
      <c r="T21" s="824"/>
      <c r="U21" s="824"/>
      <c r="V21" s="824"/>
      <c r="W21" s="824"/>
      <c r="X21" s="824"/>
      <c r="Y21" s="824"/>
      <c r="Z21" s="824"/>
      <c r="AA21" s="824"/>
      <c r="AB21" s="824"/>
      <c r="AC21" s="824"/>
      <c r="AD21" s="824"/>
      <c r="AE21" s="824"/>
      <c r="AF21" s="824"/>
      <c r="AG21" s="824"/>
      <c r="AH21" s="824"/>
      <c r="AI21" s="824"/>
      <c r="AJ21" s="824"/>
      <c r="AK21" s="824"/>
      <c r="AL21" s="824"/>
      <c r="AM21" s="824"/>
      <c r="AN21" s="824"/>
      <c r="AO21" s="824"/>
      <c r="AP21" s="824"/>
      <c r="AQ21" s="824"/>
      <c r="AR21" s="824"/>
      <c r="AS21" s="824"/>
      <c r="AT21" s="824"/>
      <c r="AU21" s="824"/>
      <c r="AV21" s="824"/>
      <c r="AW21" s="824"/>
      <c r="AX21" s="824"/>
      <c r="AY21" s="824"/>
      <c r="AZ21" s="824"/>
      <c r="BA21" s="824"/>
      <c r="BB21" s="824"/>
      <c r="BC21" s="824"/>
      <c r="BD21" s="824"/>
      <c r="BE21" s="824"/>
      <c r="BF21" s="824"/>
      <c r="BG21" s="824"/>
      <c r="BH21" s="824"/>
      <c r="BI21" s="824"/>
      <c r="BJ21" s="824"/>
      <c r="BK21" s="824"/>
      <c r="BL21" s="824"/>
      <c r="BM21" s="824"/>
      <c r="BN21" s="824"/>
      <c r="BO21" s="824"/>
      <c r="BP21" s="824"/>
      <c r="BQ21" s="824"/>
      <c r="BR21" s="824"/>
      <c r="BS21" s="824"/>
      <c r="BT21" s="824"/>
      <c r="BU21" s="824"/>
      <c r="BV21" s="824"/>
      <c r="BW21" s="824"/>
      <c r="BX21" s="824"/>
      <c r="BY21" s="824"/>
      <c r="BZ21" s="824"/>
      <c r="CA21" s="824"/>
      <c r="CB21" s="824"/>
      <c r="CC21" s="824"/>
      <c r="CD21" s="824"/>
      <c r="CE21" s="824"/>
      <c r="CF21" s="824"/>
      <c r="CG21" s="824"/>
      <c r="CH21" s="824"/>
      <c r="CI21" s="824"/>
      <c r="CJ21" s="824"/>
      <c r="CK21" s="824"/>
      <c r="CL21" s="824"/>
      <c r="CM21" s="824"/>
      <c r="CN21" s="824"/>
      <c r="CO21" s="824"/>
      <c r="CP21" s="824"/>
      <c r="CQ21" s="824"/>
      <c r="CR21" s="824"/>
      <c r="CS21" s="824"/>
      <c r="CT21" s="824"/>
      <c r="CU21" s="824"/>
      <c r="CV21" s="824"/>
      <c r="CW21" s="824"/>
      <c r="CX21" s="824"/>
      <c r="CY21" s="824"/>
      <c r="CZ21" s="824"/>
      <c r="DA21" s="824"/>
      <c r="DB21" s="824"/>
      <c r="DC21" s="824"/>
      <c r="DD21" s="824"/>
      <c r="DE21" s="824"/>
      <c r="DF21" s="824"/>
      <c r="DG21" s="824"/>
      <c r="DH21" s="824"/>
      <c r="DI21" s="824"/>
      <c r="DJ21" s="824"/>
      <c r="DK21" s="824"/>
      <c r="DL21" s="824"/>
      <c r="DM21" s="825">
        <v>7.8</v>
      </c>
      <c r="DN21" s="825">
        <v>0</v>
      </c>
      <c r="DO21" s="825">
        <v>0</v>
      </c>
      <c r="DP21" s="825">
        <v>0</v>
      </c>
      <c r="DQ21" s="825">
        <v>0</v>
      </c>
      <c r="DR21" s="825">
        <v>0</v>
      </c>
      <c r="DS21" s="825">
        <v>0</v>
      </c>
      <c r="DT21" s="825">
        <v>0</v>
      </c>
      <c r="DU21" s="825">
        <v>0</v>
      </c>
      <c r="DV21" s="825">
        <v>0</v>
      </c>
      <c r="DW21" s="825">
        <v>0</v>
      </c>
      <c r="DX21" s="825">
        <v>0</v>
      </c>
      <c r="DY21" s="825">
        <v>0</v>
      </c>
      <c r="DZ21" s="825">
        <v>0</v>
      </c>
      <c r="EA21" s="825">
        <v>0</v>
      </c>
      <c r="EB21" s="825">
        <v>0</v>
      </c>
      <c r="EC21" s="825">
        <v>0</v>
      </c>
      <c r="ED21" s="825">
        <v>0</v>
      </c>
      <c r="EE21" s="825">
        <v>0</v>
      </c>
      <c r="EF21" s="825">
        <v>0</v>
      </c>
      <c r="EG21" s="825">
        <v>0</v>
      </c>
      <c r="EH21" s="825">
        <v>0</v>
      </c>
      <c r="EI21" s="825">
        <v>0</v>
      </c>
      <c r="EJ21" s="825">
        <v>0</v>
      </c>
      <c r="EK21" s="825">
        <v>0</v>
      </c>
      <c r="EL21" s="825">
        <v>0</v>
      </c>
      <c r="EM21" s="825">
        <v>0</v>
      </c>
      <c r="EN21" s="825">
        <v>0</v>
      </c>
      <c r="EO21" s="825">
        <v>0</v>
      </c>
      <c r="EP21" s="825">
        <v>0</v>
      </c>
      <c r="EQ21" s="825">
        <v>0</v>
      </c>
      <c r="ER21" s="825">
        <v>0</v>
      </c>
      <c r="ES21" s="825">
        <v>0</v>
      </c>
      <c r="ET21" s="825">
        <v>0</v>
      </c>
      <c r="EU21" s="825">
        <v>0</v>
      </c>
      <c r="EV21" s="825">
        <v>0</v>
      </c>
      <c r="EW21" s="825">
        <v>0</v>
      </c>
      <c r="EX21" s="825">
        <v>0</v>
      </c>
      <c r="EY21" s="825">
        <v>0</v>
      </c>
      <c r="EZ21" s="825">
        <v>0</v>
      </c>
      <c r="FA21" s="825">
        <v>0</v>
      </c>
      <c r="FB21" s="825">
        <v>0</v>
      </c>
      <c r="FC21" s="825">
        <v>0</v>
      </c>
      <c r="FD21" s="825">
        <v>0</v>
      </c>
      <c r="FE21" s="825">
        <v>0</v>
      </c>
      <c r="FF21" s="825">
        <v>0</v>
      </c>
      <c r="FG21" s="825">
        <v>0</v>
      </c>
      <c r="FH21" s="825">
        <v>0</v>
      </c>
      <c r="FI21" s="825">
        <v>0</v>
      </c>
      <c r="FJ21" s="825">
        <v>0</v>
      </c>
      <c r="FK21" s="825">
        <v>0</v>
      </c>
      <c r="FL21" s="825">
        <v>0</v>
      </c>
      <c r="FM21" s="825">
        <v>0</v>
      </c>
      <c r="FN21" s="825">
        <v>0</v>
      </c>
      <c r="FO21" s="825">
        <v>0</v>
      </c>
      <c r="FP21" s="825">
        <v>0</v>
      </c>
      <c r="FQ21" s="825">
        <v>0</v>
      </c>
      <c r="FR21" s="825">
        <v>0</v>
      </c>
      <c r="FS21" s="825">
        <v>0</v>
      </c>
      <c r="FT21" s="825">
        <v>0</v>
      </c>
      <c r="FU21" s="825">
        <v>0</v>
      </c>
      <c r="FV21" s="825">
        <v>0</v>
      </c>
      <c r="FW21" s="825">
        <v>0</v>
      </c>
      <c r="FX21" s="825">
        <v>0</v>
      </c>
      <c r="FY21" s="825">
        <v>0</v>
      </c>
      <c r="FZ21" s="825">
        <v>0</v>
      </c>
      <c r="GA21" s="825">
        <v>0</v>
      </c>
      <c r="GB21" s="825">
        <v>0</v>
      </c>
      <c r="GC21" s="825">
        <v>0</v>
      </c>
      <c r="GD21" s="825">
        <v>0</v>
      </c>
      <c r="GE21" s="825">
        <v>0</v>
      </c>
      <c r="GF21" s="825">
        <v>0</v>
      </c>
      <c r="GG21" s="825">
        <v>0</v>
      </c>
      <c r="GH21" s="825">
        <v>0</v>
      </c>
      <c r="GI21" s="825">
        <v>0</v>
      </c>
      <c r="GJ21" s="825">
        <v>0</v>
      </c>
      <c r="GK21" s="825">
        <v>0</v>
      </c>
      <c r="GL21" s="825">
        <v>0</v>
      </c>
      <c r="GM21" s="825">
        <v>0</v>
      </c>
      <c r="GN21" s="825">
        <v>0</v>
      </c>
      <c r="GO21" s="825">
        <v>0</v>
      </c>
      <c r="GP21" s="825">
        <v>0</v>
      </c>
      <c r="GQ21" s="825">
        <v>0</v>
      </c>
      <c r="GR21" s="825">
        <v>0</v>
      </c>
      <c r="GS21" s="825">
        <v>0</v>
      </c>
      <c r="GT21" s="825">
        <v>0</v>
      </c>
      <c r="GU21" s="825">
        <v>0</v>
      </c>
      <c r="GV21" s="825">
        <v>0</v>
      </c>
      <c r="GW21" s="825">
        <v>0</v>
      </c>
      <c r="GX21" s="825">
        <v>0</v>
      </c>
      <c r="GY21" s="825">
        <v>0</v>
      </c>
      <c r="GZ21" s="825">
        <v>0</v>
      </c>
      <c r="HA21" s="825">
        <v>0</v>
      </c>
      <c r="HB21" s="825">
        <v>0</v>
      </c>
      <c r="HC21" s="825">
        <v>0</v>
      </c>
      <c r="HD21" s="825">
        <v>0</v>
      </c>
      <c r="HE21" s="825">
        <v>0</v>
      </c>
      <c r="HF21" s="825">
        <v>0</v>
      </c>
      <c r="HG21" s="825">
        <v>0</v>
      </c>
      <c r="HH21" s="825">
        <v>0</v>
      </c>
      <c r="HI21" s="825">
        <v>0</v>
      </c>
      <c r="HJ21" s="825">
        <v>0</v>
      </c>
      <c r="HK21" s="825">
        <v>0</v>
      </c>
      <c r="HL21" s="825">
        <v>0</v>
      </c>
      <c r="HM21" s="825">
        <v>0</v>
      </c>
      <c r="HN21" s="825">
        <v>0</v>
      </c>
      <c r="HO21" s="825">
        <v>0</v>
      </c>
      <c r="HP21" s="825">
        <v>0</v>
      </c>
      <c r="HQ21" s="825">
        <v>0</v>
      </c>
      <c r="HR21" s="825">
        <v>0</v>
      </c>
      <c r="HS21" s="825">
        <v>0</v>
      </c>
      <c r="HT21" s="825">
        <v>0</v>
      </c>
      <c r="HU21" s="825">
        <v>0</v>
      </c>
    </row>
    <row r="22" spans="1:229" ht="165.75">
      <c r="A22" s="823" t="s">
        <v>515</v>
      </c>
      <c r="B22" s="823" t="s">
        <v>1067</v>
      </c>
      <c r="C22" s="823" t="s">
        <v>1068</v>
      </c>
      <c r="D22" s="824"/>
      <c r="E22" s="824"/>
      <c r="F22" s="826" t="s">
        <v>1069</v>
      </c>
      <c r="G22" s="824" t="s">
        <v>1070</v>
      </c>
      <c r="H22" s="826" t="s">
        <v>1071</v>
      </c>
      <c r="I22" s="824" t="s">
        <v>1072</v>
      </c>
      <c r="J22" s="826" t="s">
        <v>1073</v>
      </c>
      <c r="K22" s="826" t="s">
        <v>1074</v>
      </c>
      <c r="L22" s="824"/>
      <c r="M22" s="824"/>
      <c r="N22" s="824"/>
      <c r="O22" s="824"/>
      <c r="P22" s="824"/>
      <c r="Q22" s="824"/>
      <c r="R22" s="824"/>
      <c r="S22" s="824"/>
      <c r="T22" s="824"/>
      <c r="U22" s="824"/>
      <c r="V22" s="824"/>
      <c r="W22" s="824"/>
      <c r="X22" s="824"/>
      <c r="Y22" s="824"/>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c r="BC22" s="824"/>
      <c r="BD22" s="824"/>
      <c r="BE22" s="824"/>
      <c r="BF22" s="824"/>
      <c r="BG22" s="824"/>
      <c r="BH22" s="824"/>
      <c r="BI22" s="824"/>
      <c r="BJ22" s="824"/>
      <c r="BK22" s="824"/>
      <c r="BL22" s="824"/>
      <c r="BM22" s="824"/>
      <c r="BN22" s="824"/>
      <c r="BO22" s="824"/>
      <c r="BP22" s="824"/>
      <c r="BQ22" s="824"/>
      <c r="BR22" s="824"/>
      <c r="BS22" s="824"/>
      <c r="BT22" s="824"/>
      <c r="BU22" s="824"/>
      <c r="BV22" s="824"/>
      <c r="BW22" s="824"/>
      <c r="BX22" s="824"/>
      <c r="BY22" s="824"/>
      <c r="BZ22" s="824"/>
      <c r="CA22" s="824"/>
      <c r="CB22" s="824"/>
      <c r="CC22" s="824"/>
      <c r="CD22" s="824"/>
      <c r="CE22" s="824"/>
      <c r="CF22" s="824"/>
      <c r="CG22" s="824"/>
      <c r="CH22" s="824"/>
      <c r="CI22" s="824"/>
      <c r="CJ22" s="824"/>
      <c r="CK22" s="824"/>
      <c r="CL22" s="824"/>
      <c r="CM22" s="824"/>
      <c r="CN22" s="824"/>
      <c r="CO22" s="824"/>
      <c r="CP22" s="824"/>
      <c r="CQ22" s="824"/>
      <c r="CR22" s="824"/>
      <c r="CS22" s="824"/>
      <c r="CT22" s="824"/>
      <c r="CU22" s="824"/>
      <c r="CV22" s="824"/>
      <c r="CW22" s="824"/>
      <c r="CX22" s="824"/>
      <c r="CY22" s="824"/>
      <c r="CZ22" s="824"/>
      <c r="DA22" s="824"/>
      <c r="DB22" s="824"/>
      <c r="DC22" s="824"/>
      <c r="DD22" s="824"/>
      <c r="DE22" s="824"/>
      <c r="DF22" s="824"/>
      <c r="DG22" s="824"/>
      <c r="DH22" s="824"/>
      <c r="DI22" s="824"/>
      <c r="DJ22" s="824"/>
      <c r="DK22" s="824"/>
      <c r="DL22" s="824"/>
      <c r="DM22" s="825">
        <v>0</v>
      </c>
      <c r="DN22" s="825">
        <v>0</v>
      </c>
      <c r="DO22" s="825">
        <v>7</v>
      </c>
      <c r="DP22" s="825">
        <v>6.2</v>
      </c>
      <c r="DQ22" s="825">
        <v>6.4</v>
      </c>
      <c r="DR22" s="825">
        <v>6</v>
      </c>
      <c r="DS22" s="825">
        <v>7.6</v>
      </c>
      <c r="DT22" s="825">
        <v>8.1</v>
      </c>
      <c r="DU22" s="825">
        <v>0</v>
      </c>
      <c r="DV22" s="825">
        <v>0</v>
      </c>
      <c r="DW22" s="825">
        <v>0</v>
      </c>
      <c r="DX22" s="825">
        <v>0</v>
      </c>
      <c r="DY22" s="825">
        <v>0</v>
      </c>
      <c r="DZ22" s="825">
        <v>0</v>
      </c>
      <c r="EA22" s="825">
        <v>0</v>
      </c>
      <c r="EB22" s="825">
        <v>0</v>
      </c>
      <c r="EC22" s="825">
        <v>0</v>
      </c>
      <c r="ED22" s="825">
        <v>0</v>
      </c>
      <c r="EE22" s="825">
        <v>0</v>
      </c>
      <c r="EF22" s="825">
        <v>0</v>
      </c>
      <c r="EG22" s="825">
        <v>0</v>
      </c>
      <c r="EH22" s="825">
        <v>0</v>
      </c>
      <c r="EI22" s="825">
        <v>0</v>
      </c>
      <c r="EJ22" s="825">
        <v>0</v>
      </c>
      <c r="EK22" s="825">
        <v>0</v>
      </c>
      <c r="EL22" s="825">
        <v>0</v>
      </c>
      <c r="EM22" s="825">
        <v>0</v>
      </c>
      <c r="EN22" s="825">
        <v>0</v>
      </c>
      <c r="EO22" s="825">
        <v>0</v>
      </c>
      <c r="EP22" s="825">
        <v>0</v>
      </c>
      <c r="EQ22" s="825">
        <v>0</v>
      </c>
      <c r="ER22" s="825">
        <v>0</v>
      </c>
      <c r="ES22" s="825">
        <v>0</v>
      </c>
      <c r="ET22" s="825">
        <v>0</v>
      </c>
      <c r="EU22" s="825">
        <v>0</v>
      </c>
      <c r="EV22" s="825">
        <v>0</v>
      </c>
      <c r="EW22" s="825">
        <v>0</v>
      </c>
      <c r="EX22" s="825">
        <v>0</v>
      </c>
      <c r="EY22" s="825">
        <v>0</v>
      </c>
      <c r="EZ22" s="825">
        <v>0</v>
      </c>
      <c r="FA22" s="825">
        <v>0</v>
      </c>
      <c r="FB22" s="825">
        <v>0</v>
      </c>
      <c r="FC22" s="825">
        <v>0</v>
      </c>
      <c r="FD22" s="825">
        <v>0</v>
      </c>
      <c r="FE22" s="825">
        <v>0</v>
      </c>
      <c r="FF22" s="825">
        <v>0</v>
      </c>
      <c r="FG22" s="825">
        <v>0</v>
      </c>
      <c r="FH22" s="825">
        <v>0</v>
      </c>
      <c r="FI22" s="825">
        <v>0</v>
      </c>
      <c r="FJ22" s="825">
        <v>0</v>
      </c>
      <c r="FK22" s="825">
        <v>0</v>
      </c>
      <c r="FL22" s="825">
        <v>0</v>
      </c>
      <c r="FM22" s="825">
        <v>0</v>
      </c>
      <c r="FN22" s="825">
        <v>0</v>
      </c>
      <c r="FO22" s="825">
        <v>0</v>
      </c>
      <c r="FP22" s="825">
        <v>0</v>
      </c>
      <c r="FQ22" s="825">
        <v>0</v>
      </c>
      <c r="FR22" s="825">
        <v>0</v>
      </c>
      <c r="FS22" s="825">
        <v>0</v>
      </c>
      <c r="FT22" s="825">
        <v>0</v>
      </c>
      <c r="FU22" s="825">
        <v>0</v>
      </c>
      <c r="FV22" s="825">
        <v>0</v>
      </c>
      <c r="FW22" s="825">
        <v>0</v>
      </c>
      <c r="FX22" s="825">
        <v>0</v>
      </c>
      <c r="FY22" s="825">
        <v>0</v>
      </c>
      <c r="FZ22" s="825">
        <v>0</v>
      </c>
      <c r="GA22" s="825">
        <v>0</v>
      </c>
      <c r="GB22" s="825">
        <v>0</v>
      </c>
      <c r="GC22" s="825">
        <v>0</v>
      </c>
      <c r="GD22" s="825">
        <v>0</v>
      </c>
      <c r="GE22" s="825">
        <v>0</v>
      </c>
      <c r="GF22" s="825">
        <v>0</v>
      </c>
      <c r="GG22" s="825">
        <v>0</v>
      </c>
      <c r="GH22" s="825">
        <v>0</v>
      </c>
      <c r="GI22" s="825">
        <v>0</v>
      </c>
      <c r="GJ22" s="825">
        <v>0</v>
      </c>
      <c r="GK22" s="825">
        <v>0</v>
      </c>
      <c r="GL22" s="825">
        <v>0</v>
      </c>
      <c r="GM22" s="825">
        <v>0</v>
      </c>
      <c r="GN22" s="825">
        <v>0</v>
      </c>
      <c r="GO22" s="825">
        <v>0</v>
      </c>
      <c r="GP22" s="825">
        <v>0</v>
      </c>
      <c r="GQ22" s="825">
        <v>0</v>
      </c>
      <c r="GR22" s="825">
        <v>0</v>
      </c>
      <c r="GS22" s="825">
        <v>0</v>
      </c>
      <c r="GT22" s="825">
        <v>0</v>
      </c>
      <c r="GU22" s="825">
        <v>0</v>
      </c>
      <c r="GV22" s="825">
        <v>0</v>
      </c>
      <c r="GW22" s="825">
        <v>0</v>
      </c>
      <c r="GX22" s="825">
        <v>0</v>
      </c>
      <c r="GY22" s="825">
        <v>0</v>
      </c>
      <c r="GZ22" s="825">
        <v>0</v>
      </c>
      <c r="HA22" s="825">
        <v>0</v>
      </c>
      <c r="HB22" s="825">
        <v>0</v>
      </c>
      <c r="HC22" s="825">
        <v>0</v>
      </c>
      <c r="HD22" s="825">
        <v>0</v>
      </c>
      <c r="HE22" s="825">
        <v>0</v>
      </c>
      <c r="HF22" s="825">
        <v>0</v>
      </c>
      <c r="HG22" s="825">
        <v>0</v>
      </c>
      <c r="HH22" s="825">
        <v>0</v>
      </c>
      <c r="HI22" s="825">
        <v>0</v>
      </c>
      <c r="HJ22" s="825">
        <v>0</v>
      </c>
      <c r="HK22" s="825">
        <v>0</v>
      </c>
      <c r="HL22" s="825">
        <v>0</v>
      </c>
      <c r="HM22" s="825">
        <v>0</v>
      </c>
      <c r="HN22" s="825">
        <v>0</v>
      </c>
      <c r="HO22" s="825">
        <v>0</v>
      </c>
      <c r="HP22" s="825">
        <v>0</v>
      </c>
      <c r="HQ22" s="825">
        <v>0</v>
      </c>
      <c r="HR22" s="825">
        <v>0</v>
      </c>
      <c r="HS22" s="825">
        <v>0</v>
      </c>
      <c r="HT22" s="825">
        <v>0</v>
      </c>
      <c r="HU22" s="825">
        <v>0</v>
      </c>
    </row>
    <row r="23" spans="1:229" ht="51">
      <c r="A23" s="823" t="s">
        <v>515</v>
      </c>
      <c r="B23" s="823" t="s">
        <v>1075</v>
      </c>
      <c r="C23" s="823" t="s">
        <v>1076</v>
      </c>
      <c r="D23" s="824"/>
      <c r="E23" s="826"/>
      <c r="F23" s="824"/>
      <c r="G23" s="826" t="s">
        <v>1077</v>
      </c>
      <c r="H23" s="824"/>
      <c r="I23" s="824"/>
      <c r="J23" s="824"/>
      <c r="K23" s="824"/>
      <c r="L23" s="824"/>
      <c r="M23" s="824"/>
      <c r="N23" s="824"/>
      <c r="O23" s="824"/>
      <c r="P23" s="824"/>
      <c r="Q23" s="824"/>
      <c r="R23" s="824"/>
      <c r="S23" s="824"/>
      <c r="T23" s="824"/>
      <c r="U23" s="824"/>
      <c r="V23" s="824"/>
      <c r="W23" s="824"/>
      <c r="X23" s="824"/>
      <c r="Y23" s="824"/>
      <c r="Z23" s="824"/>
      <c r="AA23" s="824"/>
      <c r="AB23" s="824"/>
      <c r="AC23" s="824"/>
      <c r="AD23" s="824"/>
      <c r="AE23" s="824"/>
      <c r="AF23" s="824"/>
      <c r="AG23" s="824"/>
      <c r="AH23" s="824"/>
      <c r="AI23" s="824"/>
      <c r="AJ23" s="824"/>
      <c r="AK23" s="824"/>
      <c r="AL23" s="824"/>
      <c r="AM23" s="824"/>
      <c r="AN23" s="824"/>
      <c r="AO23" s="824"/>
      <c r="AP23" s="824"/>
      <c r="AQ23" s="824"/>
      <c r="AR23" s="824"/>
      <c r="AS23" s="824"/>
      <c r="AT23" s="824"/>
      <c r="AU23" s="824"/>
      <c r="AV23" s="824"/>
      <c r="AW23" s="824"/>
      <c r="AX23" s="824"/>
      <c r="AY23" s="824"/>
      <c r="AZ23" s="824"/>
      <c r="BA23" s="824"/>
      <c r="BB23" s="824"/>
      <c r="BC23" s="824"/>
      <c r="BD23" s="824"/>
      <c r="BE23" s="824"/>
      <c r="BF23" s="824"/>
      <c r="BG23" s="824"/>
      <c r="BH23" s="824"/>
      <c r="BI23" s="824"/>
      <c r="BJ23" s="824"/>
      <c r="BK23" s="824"/>
      <c r="BL23" s="824"/>
      <c r="BM23" s="824"/>
      <c r="BN23" s="824"/>
      <c r="BO23" s="824"/>
      <c r="BP23" s="824"/>
      <c r="BQ23" s="824"/>
      <c r="BR23" s="824"/>
      <c r="BS23" s="824"/>
      <c r="BT23" s="824"/>
      <c r="BU23" s="824"/>
      <c r="BV23" s="824"/>
      <c r="BW23" s="824"/>
      <c r="BX23" s="824"/>
      <c r="BY23" s="824"/>
      <c r="BZ23" s="824"/>
      <c r="CA23" s="824"/>
      <c r="CB23" s="824"/>
      <c r="CC23" s="824"/>
      <c r="CD23" s="824"/>
      <c r="CE23" s="824"/>
      <c r="CF23" s="824"/>
      <c r="CG23" s="824"/>
      <c r="CH23" s="824"/>
      <c r="CI23" s="824"/>
      <c r="CJ23" s="824"/>
      <c r="CK23" s="824"/>
      <c r="CL23" s="824"/>
      <c r="CM23" s="824"/>
      <c r="CN23" s="824"/>
      <c r="CO23" s="824"/>
      <c r="CP23" s="824"/>
      <c r="CQ23" s="824"/>
      <c r="CR23" s="824"/>
      <c r="CS23" s="824"/>
      <c r="CT23" s="824"/>
      <c r="CU23" s="824"/>
      <c r="CV23" s="824"/>
      <c r="CW23" s="824"/>
      <c r="CX23" s="824"/>
      <c r="CY23" s="824"/>
      <c r="CZ23" s="824"/>
      <c r="DA23" s="824"/>
      <c r="DB23" s="824"/>
      <c r="DC23" s="824"/>
      <c r="DD23" s="824"/>
      <c r="DE23" s="824"/>
      <c r="DF23" s="824"/>
      <c r="DG23" s="824"/>
      <c r="DH23" s="824"/>
      <c r="DI23" s="824"/>
      <c r="DJ23" s="824"/>
      <c r="DK23" s="824"/>
      <c r="DL23" s="824"/>
      <c r="DM23" s="825">
        <v>0</v>
      </c>
      <c r="DN23" s="825">
        <v>0</v>
      </c>
      <c r="DO23" s="825">
        <v>0</v>
      </c>
      <c r="DP23" s="825">
        <v>11.8</v>
      </c>
      <c r="DQ23" s="825">
        <v>0</v>
      </c>
      <c r="DR23" s="825">
        <v>0</v>
      </c>
      <c r="DS23" s="825">
        <v>0</v>
      </c>
      <c r="DT23" s="825">
        <v>0</v>
      </c>
      <c r="DU23" s="825">
        <v>0</v>
      </c>
      <c r="DV23" s="825">
        <v>0</v>
      </c>
      <c r="DW23" s="825">
        <v>0</v>
      </c>
      <c r="DX23" s="825">
        <v>0</v>
      </c>
      <c r="DY23" s="825">
        <v>0</v>
      </c>
      <c r="DZ23" s="825">
        <v>0</v>
      </c>
      <c r="EA23" s="825">
        <v>0</v>
      </c>
      <c r="EB23" s="825">
        <v>0</v>
      </c>
      <c r="EC23" s="825">
        <v>0</v>
      </c>
      <c r="ED23" s="825">
        <v>0</v>
      </c>
      <c r="EE23" s="825">
        <v>0</v>
      </c>
      <c r="EF23" s="825">
        <v>0</v>
      </c>
      <c r="EG23" s="825">
        <v>0</v>
      </c>
      <c r="EH23" s="825">
        <v>0</v>
      </c>
      <c r="EI23" s="825">
        <v>0</v>
      </c>
      <c r="EJ23" s="825">
        <v>0</v>
      </c>
      <c r="EK23" s="825">
        <v>0</v>
      </c>
      <c r="EL23" s="825">
        <v>0</v>
      </c>
      <c r="EM23" s="825">
        <v>0</v>
      </c>
      <c r="EN23" s="825">
        <v>0</v>
      </c>
      <c r="EO23" s="825">
        <v>0</v>
      </c>
      <c r="EP23" s="825">
        <v>0</v>
      </c>
      <c r="EQ23" s="825">
        <v>0</v>
      </c>
      <c r="ER23" s="825">
        <v>0</v>
      </c>
      <c r="ES23" s="825">
        <v>0</v>
      </c>
      <c r="ET23" s="825">
        <v>0</v>
      </c>
      <c r="EU23" s="825">
        <v>0</v>
      </c>
      <c r="EV23" s="825">
        <v>0</v>
      </c>
      <c r="EW23" s="825">
        <v>0</v>
      </c>
      <c r="EX23" s="825">
        <v>0</v>
      </c>
      <c r="EY23" s="825">
        <v>0</v>
      </c>
      <c r="EZ23" s="825">
        <v>0</v>
      </c>
      <c r="FA23" s="825">
        <v>0</v>
      </c>
      <c r="FB23" s="825">
        <v>0</v>
      </c>
      <c r="FC23" s="825">
        <v>0</v>
      </c>
      <c r="FD23" s="825">
        <v>0</v>
      </c>
      <c r="FE23" s="825">
        <v>0</v>
      </c>
      <c r="FF23" s="825">
        <v>0</v>
      </c>
      <c r="FG23" s="825">
        <v>0</v>
      </c>
      <c r="FH23" s="825">
        <v>0</v>
      </c>
      <c r="FI23" s="825">
        <v>0</v>
      </c>
      <c r="FJ23" s="825">
        <v>0</v>
      </c>
      <c r="FK23" s="825">
        <v>0</v>
      </c>
      <c r="FL23" s="825">
        <v>0</v>
      </c>
      <c r="FM23" s="825">
        <v>0</v>
      </c>
      <c r="FN23" s="825">
        <v>0</v>
      </c>
      <c r="FO23" s="825">
        <v>0</v>
      </c>
      <c r="FP23" s="825">
        <v>0</v>
      </c>
      <c r="FQ23" s="825">
        <v>0</v>
      </c>
      <c r="FR23" s="825">
        <v>0</v>
      </c>
      <c r="FS23" s="825">
        <v>0</v>
      </c>
      <c r="FT23" s="825">
        <v>0</v>
      </c>
      <c r="FU23" s="825">
        <v>0</v>
      </c>
      <c r="FV23" s="825">
        <v>0</v>
      </c>
      <c r="FW23" s="825">
        <v>0</v>
      </c>
      <c r="FX23" s="825">
        <v>0</v>
      </c>
      <c r="FY23" s="825">
        <v>0</v>
      </c>
      <c r="FZ23" s="825">
        <v>0</v>
      </c>
      <c r="GA23" s="825">
        <v>0</v>
      </c>
      <c r="GB23" s="825">
        <v>0</v>
      </c>
      <c r="GC23" s="825">
        <v>0</v>
      </c>
      <c r="GD23" s="825">
        <v>0</v>
      </c>
      <c r="GE23" s="825">
        <v>0</v>
      </c>
      <c r="GF23" s="825">
        <v>0</v>
      </c>
      <c r="GG23" s="825">
        <v>0</v>
      </c>
      <c r="GH23" s="825">
        <v>0</v>
      </c>
      <c r="GI23" s="825">
        <v>0</v>
      </c>
      <c r="GJ23" s="825">
        <v>0</v>
      </c>
      <c r="GK23" s="825">
        <v>0</v>
      </c>
      <c r="GL23" s="825">
        <v>0</v>
      </c>
      <c r="GM23" s="825">
        <v>0</v>
      </c>
      <c r="GN23" s="825">
        <v>0</v>
      </c>
      <c r="GO23" s="825">
        <v>0</v>
      </c>
      <c r="GP23" s="825">
        <v>0</v>
      </c>
      <c r="GQ23" s="825">
        <v>0</v>
      </c>
      <c r="GR23" s="825">
        <v>0</v>
      </c>
      <c r="GS23" s="825">
        <v>0</v>
      </c>
      <c r="GT23" s="825">
        <v>0</v>
      </c>
      <c r="GU23" s="825">
        <v>0</v>
      </c>
      <c r="GV23" s="825">
        <v>0</v>
      </c>
      <c r="GW23" s="825">
        <v>0</v>
      </c>
      <c r="GX23" s="825">
        <v>0</v>
      </c>
      <c r="GY23" s="825">
        <v>0</v>
      </c>
      <c r="GZ23" s="825">
        <v>0</v>
      </c>
      <c r="HA23" s="825">
        <v>0</v>
      </c>
      <c r="HB23" s="825">
        <v>0</v>
      </c>
      <c r="HC23" s="825">
        <v>0</v>
      </c>
      <c r="HD23" s="825">
        <v>0</v>
      </c>
      <c r="HE23" s="825">
        <v>0</v>
      </c>
      <c r="HF23" s="825">
        <v>0</v>
      </c>
      <c r="HG23" s="825">
        <v>0</v>
      </c>
      <c r="HH23" s="825">
        <v>0</v>
      </c>
      <c r="HI23" s="825">
        <v>0</v>
      </c>
      <c r="HJ23" s="825">
        <v>0</v>
      </c>
      <c r="HK23" s="825">
        <v>0</v>
      </c>
      <c r="HL23" s="825">
        <v>0</v>
      </c>
      <c r="HM23" s="825">
        <v>0</v>
      </c>
      <c r="HN23" s="825">
        <v>0</v>
      </c>
      <c r="HO23" s="825">
        <v>0</v>
      </c>
      <c r="HP23" s="825">
        <v>0</v>
      </c>
      <c r="HQ23" s="825">
        <v>0</v>
      </c>
      <c r="HR23" s="825">
        <v>0</v>
      </c>
      <c r="HS23" s="825">
        <v>0</v>
      </c>
      <c r="HT23" s="825">
        <v>0</v>
      </c>
      <c r="HU23" s="825">
        <v>0</v>
      </c>
    </row>
    <row r="24" spans="1:229" ht="63.75">
      <c r="A24" s="823" t="s">
        <v>515</v>
      </c>
      <c r="B24" s="823" t="s">
        <v>1075</v>
      </c>
      <c r="C24" s="823" t="s">
        <v>1078</v>
      </c>
      <c r="D24" s="826"/>
      <c r="E24" s="824" t="s">
        <v>1079</v>
      </c>
      <c r="F24" s="824" t="s">
        <v>1080</v>
      </c>
      <c r="G24" s="824"/>
      <c r="H24" s="824"/>
      <c r="I24" s="824"/>
      <c r="J24" s="824"/>
      <c r="K24" s="824"/>
      <c r="L24" s="824"/>
      <c r="M24" s="824"/>
      <c r="N24" s="824"/>
      <c r="O24" s="824"/>
      <c r="P24" s="824"/>
      <c r="Q24" s="824"/>
      <c r="R24" s="824"/>
      <c r="S24" s="824"/>
      <c r="T24" s="824"/>
      <c r="U24" s="824"/>
      <c r="V24" s="824"/>
      <c r="W24" s="824"/>
      <c r="X24" s="824"/>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c r="BC24" s="824"/>
      <c r="BD24" s="824"/>
      <c r="BE24" s="824"/>
      <c r="BF24" s="824"/>
      <c r="BG24" s="824"/>
      <c r="BH24" s="824"/>
      <c r="BI24" s="824"/>
      <c r="BJ24" s="824"/>
      <c r="BK24" s="824"/>
      <c r="BL24" s="824"/>
      <c r="BM24" s="824"/>
      <c r="BN24" s="824"/>
      <c r="BO24" s="824"/>
      <c r="BP24" s="824"/>
      <c r="BQ24" s="824"/>
      <c r="BR24" s="824"/>
      <c r="BS24" s="824"/>
      <c r="BT24" s="824"/>
      <c r="BU24" s="824"/>
      <c r="BV24" s="824"/>
      <c r="BW24" s="824"/>
      <c r="BX24" s="824"/>
      <c r="BY24" s="824"/>
      <c r="BZ24" s="824"/>
      <c r="CA24" s="824"/>
      <c r="CB24" s="824"/>
      <c r="CC24" s="824"/>
      <c r="CD24" s="824"/>
      <c r="CE24" s="824"/>
      <c r="CF24" s="824"/>
      <c r="CG24" s="824"/>
      <c r="CH24" s="824"/>
      <c r="CI24" s="824"/>
      <c r="CJ24" s="824"/>
      <c r="CK24" s="824"/>
      <c r="CL24" s="824"/>
      <c r="CM24" s="824"/>
      <c r="CN24" s="824"/>
      <c r="CO24" s="824"/>
      <c r="CP24" s="824"/>
      <c r="CQ24" s="824"/>
      <c r="CR24" s="824"/>
      <c r="CS24" s="824"/>
      <c r="CT24" s="824"/>
      <c r="CU24" s="824"/>
      <c r="CV24" s="824"/>
      <c r="CW24" s="824"/>
      <c r="CX24" s="824"/>
      <c r="CY24" s="824"/>
      <c r="CZ24" s="824"/>
      <c r="DA24" s="824"/>
      <c r="DB24" s="824"/>
      <c r="DC24" s="824"/>
      <c r="DD24" s="824"/>
      <c r="DE24" s="824"/>
      <c r="DF24" s="824"/>
      <c r="DG24" s="824"/>
      <c r="DH24" s="824"/>
      <c r="DI24" s="824"/>
      <c r="DJ24" s="824"/>
      <c r="DK24" s="824"/>
      <c r="DL24" s="824"/>
      <c r="DM24" s="825">
        <v>0</v>
      </c>
      <c r="DN24" s="825">
        <v>8.1999999999999993</v>
      </c>
      <c r="DO24" s="825">
        <v>8</v>
      </c>
      <c r="DP24" s="825">
        <v>0</v>
      </c>
      <c r="DQ24" s="825">
        <v>0</v>
      </c>
      <c r="DR24" s="825">
        <v>0</v>
      </c>
      <c r="DS24" s="825">
        <v>0</v>
      </c>
      <c r="DT24" s="825">
        <v>0</v>
      </c>
      <c r="DU24" s="825">
        <v>0</v>
      </c>
      <c r="DV24" s="825">
        <v>0</v>
      </c>
      <c r="DW24" s="825">
        <v>0</v>
      </c>
      <c r="DX24" s="825">
        <v>0</v>
      </c>
      <c r="DY24" s="825">
        <v>0</v>
      </c>
      <c r="DZ24" s="825">
        <v>0</v>
      </c>
      <c r="EA24" s="825">
        <v>0</v>
      </c>
      <c r="EB24" s="825">
        <v>0</v>
      </c>
      <c r="EC24" s="825">
        <v>0</v>
      </c>
      <c r="ED24" s="825">
        <v>0</v>
      </c>
      <c r="EE24" s="825">
        <v>0</v>
      </c>
      <c r="EF24" s="825">
        <v>0</v>
      </c>
      <c r="EG24" s="825">
        <v>0</v>
      </c>
      <c r="EH24" s="825">
        <v>0</v>
      </c>
      <c r="EI24" s="825">
        <v>0</v>
      </c>
      <c r="EJ24" s="825">
        <v>0</v>
      </c>
      <c r="EK24" s="825">
        <v>0</v>
      </c>
      <c r="EL24" s="825">
        <v>0</v>
      </c>
      <c r="EM24" s="825">
        <v>0</v>
      </c>
      <c r="EN24" s="825">
        <v>0</v>
      </c>
      <c r="EO24" s="825">
        <v>0</v>
      </c>
      <c r="EP24" s="825">
        <v>0</v>
      </c>
      <c r="EQ24" s="825">
        <v>0</v>
      </c>
      <c r="ER24" s="825">
        <v>0</v>
      </c>
      <c r="ES24" s="825">
        <v>0</v>
      </c>
      <c r="ET24" s="825">
        <v>0</v>
      </c>
      <c r="EU24" s="825">
        <v>0</v>
      </c>
      <c r="EV24" s="825">
        <v>0</v>
      </c>
      <c r="EW24" s="825">
        <v>0</v>
      </c>
      <c r="EX24" s="825">
        <v>0</v>
      </c>
      <c r="EY24" s="825">
        <v>0</v>
      </c>
      <c r="EZ24" s="825">
        <v>0</v>
      </c>
      <c r="FA24" s="825">
        <v>0</v>
      </c>
      <c r="FB24" s="825">
        <v>0</v>
      </c>
      <c r="FC24" s="825">
        <v>0</v>
      </c>
      <c r="FD24" s="825">
        <v>0</v>
      </c>
      <c r="FE24" s="825">
        <v>0</v>
      </c>
      <c r="FF24" s="825">
        <v>0</v>
      </c>
      <c r="FG24" s="825">
        <v>0</v>
      </c>
      <c r="FH24" s="825">
        <v>0</v>
      </c>
      <c r="FI24" s="825">
        <v>0</v>
      </c>
      <c r="FJ24" s="825">
        <v>0</v>
      </c>
      <c r="FK24" s="825">
        <v>0</v>
      </c>
      <c r="FL24" s="825">
        <v>0</v>
      </c>
      <c r="FM24" s="825">
        <v>0</v>
      </c>
      <c r="FN24" s="825">
        <v>0</v>
      </c>
      <c r="FO24" s="825">
        <v>0</v>
      </c>
      <c r="FP24" s="825">
        <v>0</v>
      </c>
      <c r="FQ24" s="825">
        <v>0</v>
      </c>
      <c r="FR24" s="825">
        <v>0</v>
      </c>
      <c r="FS24" s="825">
        <v>0</v>
      </c>
      <c r="FT24" s="825">
        <v>0</v>
      </c>
      <c r="FU24" s="825">
        <v>0</v>
      </c>
      <c r="FV24" s="825">
        <v>0</v>
      </c>
      <c r="FW24" s="825">
        <v>0</v>
      </c>
      <c r="FX24" s="825">
        <v>0</v>
      </c>
      <c r="FY24" s="825">
        <v>0</v>
      </c>
      <c r="FZ24" s="825">
        <v>0</v>
      </c>
      <c r="GA24" s="825">
        <v>0</v>
      </c>
      <c r="GB24" s="825">
        <v>0</v>
      </c>
      <c r="GC24" s="825">
        <v>0</v>
      </c>
      <c r="GD24" s="825">
        <v>0</v>
      </c>
      <c r="GE24" s="825">
        <v>0</v>
      </c>
      <c r="GF24" s="825">
        <v>0</v>
      </c>
      <c r="GG24" s="825">
        <v>0</v>
      </c>
      <c r="GH24" s="825">
        <v>0</v>
      </c>
      <c r="GI24" s="825">
        <v>0</v>
      </c>
      <c r="GJ24" s="825">
        <v>0</v>
      </c>
      <c r="GK24" s="825">
        <v>0</v>
      </c>
      <c r="GL24" s="825">
        <v>0</v>
      </c>
      <c r="GM24" s="825">
        <v>0</v>
      </c>
      <c r="GN24" s="825">
        <v>0</v>
      </c>
      <c r="GO24" s="825">
        <v>0</v>
      </c>
      <c r="GP24" s="825">
        <v>0</v>
      </c>
      <c r="GQ24" s="825">
        <v>0</v>
      </c>
      <c r="GR24" s="825">
        <v>0</v>
      </c>
      <c r="GS24" s="825">
        <v>0</v>
      </c>
      <c r="GT24" s="825">
        <v>0</v>
      </c>
      <c r="GU24" s="825">
        <v>0</v>
      </c>
      <c r="GV24" s="825">
        <v>0</v>
      </c>
      <c r="GW24" s="825">
        <v>0</v>
      </c>
      <c r="GX24" s="825">
        <v>0</v>
      </c>
      <c r="GY24" s="825">
        <v>0</v>
      </c>
      <c r="GZ24" s="825">
        <v>0</v>
      </c>
      <c r="HA24" s="825">
        <v>0</v>
      </c>
      <c r="HB24" s="825">
        <v>0</v>
      </c>
      <c r="HC24" s="825">
        <v>0</v>
      </c>
      <c r="HD24" s="825">
        <v>0</v>
      </c>
      <c r="HE24" s="825">
        <v>0</v>
      </c>
      <c r="HF24" s="825">
        <v>0</v>
      </c>
      <c r="HG24" s="825">
        <v>0</v>
      </c>
      <c r="HH24" s="825">
        <v>0</v>
      </c>
      <c r="HI24" s="825">
        <v>0</v>
      </c>
      <c r="HJ24" s="825">
        <v>0</v>
      </c>
      <c r="HK24" s="825">
        <v>0</v>
      </c>
      <c r="HL24" s="825">
        <v>0</v>
      </c>
      <c r="HM24" s="825">
        <v>0</v>
      </c>
      <c r="HN24" s="825">
        <v>0</v>
      </c>
      <c r="HO24" s="825">
        <v>0</v>
      </c>
      <c r="HP24" s="825">
        <v>0</v>
      </c>
      <c r="HQ24" s="825">
        <v>0</v>
      </c>
      <c r="HR24" s="825">
        <v>0</v>
      </c>
      <c r="HS24" s="825">
        <v>0</v>
      </c>
      <c r="HT24" s="825">
        <v>0</v>
      </c>
      <c r="HU24" s="825">
        <v>0</v>
      </c>
    </row>
    <row r="25" spans="1:229" ht="63.75">
      <c r="A25" s="823" t="s">
        <v>515</v>
      </c>
      <c r="B25" s="823" t="s">
        <v>1075</v>
      </c>
      <c r="C25" s="823" t="s">
        <v>1081</v>
      </c>
      <c r="D25" s="824" t="s">
        <v>1082</v>
      </c>
      <c r="E25" s="824" t="s">
        <v>1083</v>
      </c>
      <c r="F25" s="824"/>
      <c r="G25" s="826" t="s">
        <v>1084</v>
      </c>
      <c r="H25" s="824" t="s">
        <v>1085</v>
      </c>
      <c r="I25" s="824" t="s">
        <v>1086</v>
      </c>
      <c r="J25" s="824"/>
      <c r="K25" s="824" t="s">
        <v>1087</v>
      </c>
      <c r="L25" s="824" t="s">
        <v>1088</v>
      </c>
      <c r="M25" s="826" t="s">
        <v>1089</v>
      </c>
      <c r="N25" s="824" t="s">
        <v>1090</v>
      </c>
      <c r="O25" s="826" t="s">
        <v>1091</v>
      </c>
      <c r="P25" s="824"/>
      <c r="Q25" s="824"/>
      <c r="R25" s="824"/>
      <c r="S25" s="824"/>
      <c r="T25" s="824"/>
      <c r="U25" s="824"/>
      <c r="V25" s="824"/>
      <c r="W25" s="824"/>
      <c r="X25" s="824"/>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c r="BC25" s="824"/>
      <c r="BD25" s="824"/>
      <c r="BE25" s="824"/>
      <c r="BF25" s="824"/>
      <c r="BG25" s="824"/>
      <c r="BH25" s="824"/>
      <c r="BI25" s="824"/>
      <c r="BJ25" s="824"/>
      <c r="BK25" s="824"/>
      <c r="BL25" s="824"/>
      <c r="BM25" s="824"/>
      <c r="BN25" s="824"/>
      <c r="BO25" s="824"/>
      <c r="BP25" s="824"/>
      <c r="BQ25" s="824"/>
      <c r="BR25" s="824"/>
      <c r="BS25" s="824"/>
      <c r="BT25" s="824"/>
      <c r="BU25" s="824"/>
      <c r="BV25" s="824"/>
      <c r="BW25" s="824"/>
      <c r="BX25" s="824"/>
      <c r="BY25" s="824"/>
      <c r="BZ25" s="824"/>
      <c r="CA25" s="824"/>
      <c r="CB25" s="824"/>
      <c r="CC25" s="824"/>
      <c r="CD25" s="824"/>
      <c r="CE25" s="824"/>
      <c r="CF25" s="824"/>
      <c r="CG25" s="824"/>
      <c r="CH25" s="824"/>
      <c r="CI25" s="824"/>
      <c r="CJ25" s="824"/>
      <c r="CK25" s="824"/>
      <c r="CL25" s="824"/>
      <c r="CM25" s="824"/>
      <c r="CN25" s="824"/>
      <c r="CO25" s="824"/>
      <c r="CP25" s="824"/>
      <c r="CQ25" s="824"/>
      <c r="CR25" s="824"/>
      <c r="CS25" s="824"/>
      <c r="CT25" s="824"/>
      <c r="CU25" s="824"/>
      <c r="CV25" s="824"/>
      <c r="CW25" s="824"/>
      <c r="CX25" s="824"/>
      <c r="CY25" s="824"/>
      <c r="CZ25" s="824"/>
      <c r="DA25" s="824"/>
      <c r="DB25" s="824"/>
      <c r="DC25" s="824"/>
      <c r="DD25" s="824"/>
      <c r="DE25" s="824"/>
      <c r="DF25" s="824"/>
      <c r="DG25" s="824"/>
      <c r="DH25" s="824"/>
      <c r="DI25" s="824"/>
      <c r="DJ25" s="824"/>
      <c r="DK25" s="824"/>
      <c r="DL25" s="824"/>
      <c r="DM25" s="825">
        <v>18.8</v>
      </c>
      <c r="DN25" s="825">
        <v>10</v>
      </c>
      <c r="DO25" s="825">
        <v>0</v>
      </c>
      <c r="DP25" s="825">
        <v>5</v>
      </c>
      <c r="DQ25" s="825">
        <v>8.5</v>
      </c>
      <c r="DR25" s="825">
        <v>8.9</v>
      </c>
      <c r="DS25" s="825">
        <v>0</v>
      </c>
      <c r="DT25" s="825">
        <v>10</v>
      </c>
      <c r="DU25" s="825">
        <v>19.3</v>
      </c>
      <c r="DV25" s="825">
        <v>5.0999999999999996</v>
      </c>
      <c r="DW25" s="825">
        <v>5.0999999999999996</v>
      </c>
      <c r="DX25" s="825">
        <v>5.7</v>
      </c>
      <c r="DY25" s="825">
        <v>0</v>
      </c>
      <c r="DZ25" s="825">
        <v>0</v>
      </c>
      <c r="EA25" s="825">
        <v>0</v>
      </c>
      <c r="EB25" s="825">
        <v>0</v>
      </c>
      <c r="EC25" s="825">
        <v>0</v>
      </c>
      <c r="ED25" s="825">
        <v>0</v>
      </c>
      <c r="EE25" s="825">
        <v>0</v>
      </c>
      <c r="EF25" s="825">
        <v>0</v>
      </c>
      <c r="EG25" s="825">
        <v>0</v>
      </c>
      <c r="EH25" s="825">
        <v>0</v>
      </c>
      <c r="EI25" s="825">
        <v>0</v>
      </c>
      <c r="EJ25" s="825">
        <v>0</v>
      </c>
      <c r="EK25" s="825">
        <v>0</v>
      </c>
      <c r="EL25" s="825">
        <v>0</v>
      </c>
      <c r="EM25" s="825">
        <v>0</v>
      </c>
      <c r="EN25" s="825">
        <v>0</v>
      </c>
      <c r="EO25" s="825">
        <v>0</v>
      </c>
      <c r="EP25" s="825">
        <v>0</v>
      </c>
      <c r="EQ25" s="825">
        <v>0</v>
      </c>
      <c r="ER25" s="825">
        <v>0</v>
      </c>
      <c r="ES25" s="825">
        <v>0</v>
      </c>
      <c r="ET25" s="825">
        <v>0</v>
      </c>
      <c r="EU25" s="825">
        <v>0</v>
      </c>
      <c r="EV25" s="825">
        <v>0</v>
      </c>
      <c r="EW25" s="825">
        <v>0</v>
      </c>
      <c r="EX25" s="825">
        <v>0</v>
      </c>
      <c r="EY25" s="825">
        <v>0</v>
      </c>
      <c r="EZ25" s="825">
        <v>0</v>
      </c>
      <c r="FA25" s="825">
        <v>0</v>
      </c>
      <c r="FB25" s="825">
        <v>0</v>
      </c>
      <c r="FC25" s="825">
        <v>0</v>
      </c>
      <c r="FD25" s="825">
        <v>0</v>
      </c>
      <c r="FE25" s="825">
        <v>0</v>
      </c>
      <c r="FF25" s="825">
        <v>0</v>
      </c>
      <c r="FG25" s="825">
        <v>0</v>
      </c>
      <c r="FH25" s="825">
        <v>0</v>
      </c>
      <c r="FI25" s="825">
        <v>0</v>
      </c>
      <c r="FJ25" s="825">
        <v>0</v>
      </c>
      <c r="FK25" s="825">
        <v>0</v>
      </c>
      <c r="FL25" s="825">
        <v>0</v>
      </c>
      <c r="FM25" s="825">
        <v>0</v>
      </c>
      <c r="FN25" s="825">
        <v>0</v>
      </c>
      <c r="FO25" s="825">
        <v>0</v>
      </c>
      <c r="FP25" s="825">
        <v>0</v>
      </c>
      <c r="FQ25" s="825">
        <v>0</v>
      </c>
      <c r="FR25" s="825">
        <v>0</v>
      </c>
      <c r="FS25" s="825">
        <v>0</v>
      </c>
      <c r="FT25" s="825">
        <v>0</v>
      </c>
      <c r="FU25" s="825">
        <v>0</v>
      </c>
      <c r="FV25" s="825">
        <v>0</v>
      </c>
      <c r="FW25" s="825">
        <v>0</v>
      </c>
      <c r="FX25" s="825">
        <v>0</v>
      </c>
      <c r="FY25" s="825">
        <v>0</v>
      </c>
      <c r="FZ25" s="825">
        <v>0</v>
      </c>
      <c r="GA25" s="825">
        <v>0</v>
      </c>
      <c r="GB25" s="825">
        <v>0</v>
      </c>
      <c r="GC25" s="825">
        <v>0</v>
      </c>
      <c r="GD25" s="825">
        <v>0</v>
      </c>
      <c r="GE25" s="825">
        <v>0</v>
      </c>
      <c r="GF25" s="825">
        <v>0</v>
      </c>
      <c r="GG25" s="825">
        <v>0</v>
      </c>
      <c r="GH25" s="825">
        <v>0</v>
      </c>
      <c r="GI25" s="825">
        <v>0</v>
      </c>
      <c r="GJ25" s="825">
        <v>0</v>
      </c>
      <c r="GK25" s="825">
        <v>0</v>
      </c>
      <c r="GL25" s="825">
        <v>0</v>
      </c>
      <c r="GM25" s="825">
        <v>0</v>
      </c>
      <c r="GN25" s="825">
        <v>0</v>
      </c>
      <c r="GO25" s="825">
        <v>0</v>
      </c>
      <c r="GP25" s="825">
        <v>0</v>
      </c>
      <c r="GQ25" s="825">
        <v>0</v>
      </c>
      <c r="GR25" s="825">
        <v>0</v>
      </c>
      <c r="GS25" s="825">
        <v>0</v>
      </c>
      <c r="GT25" s="825">
        <v>0</v>
      </c>
      <c r="GU25" s="825">
        <v>0</v>
      </c>
      <c r="GV25" s="825">
        <v>0</v>
      </c>
      <c r="GW25" s="825">
        <v>0</v>
      </c>
      <c r="GX25" s="825">
        <v>0</v>
      </c>
      <c r="GY25" s="825">
        <v>0</v>
      </c>
      <c r="GZ25" s="825">
        <v>0</v>
      </c>
      <c r="HA25" s="825">
        <v>0</v>
      </c>
      <c r="HB25" s="825">
        <v>0</v>
      </c>
      <c r="HC25" s="825">
        <v>0</v>
      </c>
      <c r="HD25" s="825">
        <v>0</v>
      </c>
      <c r="HE25" s="825">
        <v>0</v>
      </c>
      <c r="HF25" s="825">
        <v>0</v>
      </c>
      <c r="HG25" s="825">
        <v>0</v>
      </c>
      <c r="HH25" s="825">
        <v>0</v>
      </c>
      <c r="HI25" s="825">
        <v>0</v>
      </c>
      <c r="HJ25" s="825">
        <v>0</v>
      </c>
      <c r="HK25" s="825">
        <v>0</v>
      </c>
      <c r="HL25" s="825">
        <v>0</v>
      </c>
      <c r="HM25" s="825">
        <v>0</v>
      </c>
      <c r="HN25" s="825">
        <v>0</v>
      </c>
      <c r="HO25" s="825">
        <v>0</v>
      </c>
      <c r="HP25" s="825">
        <v>0</v>
      </c>
      <c r="HQ25" s="825">
        <v>0</v>
      </c>
      <c r="HR25" s="825">
        <v>0</v>
      </c>
      <c r="HS25" s="825">
        <v>0</v>
      </c>
      <c r="HT25" s="825">
        <v>0</v>
      </c>
      <c r="HU25" s="825">
        <v>0</v>
      </c>
    </row>
    <row r="26" spans="1:229" ht="63.75">
      <c r="A26" s="823" t="s">
        <v>515</v>
      </c>
      <c r="B26" s="823" t="s">
        <v>1075</v>
      </c>
      <c r="C26" s="823" t="s">
        <v>1092</v>
      </c>
      <c r="D26" s="826" t="s">
        <v>1093</v>
      </c>
      <c r="E26" s="824" t="s">
        <v>1094</v>
      </c>
      <c r="F26" s="824" t="s">
        <v>1095</v>
      </c>
      <c r="G26" s="824"/>
      <c r="H26" s="826" t="s">
        <v>1096</v>
      </c>
      <c r="I26" s="826" t="s">
        <v>1097</v>
      </c>
      <c r="J26" s="824"/>
      <c r="K26" s="824"/>
      <c r="L26" s="826" t="s">
        <v>1098</v>
      </c>
      <c r="M26" s="824"/>
      <c r="N26" s="824" t="s">
        <v>1099</v>
      </c>
      <c r="O26" s="824"/>
      <c r="P26" s="824"/>
      <c r="Q26" s="824"/>
      <c r="R26" s="824"/>
      <c r="S26" s="824"/>
      <c r="T26" s="824"/>
      <c r="U26" s="824"/>
      <c r="V26" s="824"/>
      <c r="W26" s="824"/>
      <c r="X26" s="824"/>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c r="BC26" s="824"/>
      <c r="BD26" s="824"/>
      <c r="BE26" s="824"/>
      <c r="BF26" s="824"/>
      <c r="BG26" s="824"/>
      <c r="BH26" s="824"/>
      <c r="BI26" s="824"/>
      <c r="BJ26" s="824"/>
      <c r="BK26" s="824"/>
      <c r="BL26" s="824"/>
      <c r="BM26" s="824"/>
      <c r="BN26" s="824"/>
      <c r="BO26" s="824"/>
      <c r="BP26" s="824"/>
      <c r="BQ26" s="824"/>
      <c r="BR26" s="824"/>
      <c r="BS26" s="824"/>
      <c r="BT26" s="824"/>
      <c r="BU26" s="824"/>
      <c r="BV26" s="824"/>
      <c r="BW26" s="824"/>
      <c r="BX26" s="824"/>
      <c r="BY26" s="824"/>
      <c r="BZ26" s="824"/>
      <c r="CA26" s="824"/>
      <c r="CB26" s="824"/>
      <c r="CC26" s="824"/>
      <c r="CD26" s="824"/>
      <c r="CE26" s="824"/>
      <c r="CF26" s="824"/>
      <c r="CG26" s="824"/>
      <c r="CH26" s="824"/>
      <c r="CI26" s="824"/>
      <c r="CJ26" s="824"/>
      <c r="CK26" s="824"/>
      <c r="CL26" s="824"/>
      <c r="CM26" s="824"/>
      <c r="CN26" s="824"/>
      <c r="CO26" s="824"/>
      <c r="CP26" s="824"/>
      <c r="CQ26" s="824"/>
      <c r="CR26" s="824"/>
      <c r="CS26" s="824"/>
      <c r="CT26" s="824"/>
      <c r="CU26" s="824"/>
      <c r="CV26" s="824"/>
      <c r="CW26" s="824"/>
      <c r="CX26" s="824"/>
      <c r="CY26" s="824"/>
      <c r="CZ26" s="824"/>
      <c r="DA26" s="824"/>
      <c r="DB26" s="824"/>
      <c r="DC26" s="824"/>
      <c r="DD26" s="824"/>
      <c r="DE26" s="824"/>
      <c r="DF26" s="824"/>
      <c r="DG26" s="824"/>
      <c r="DH26" s="824"/>
      <c r="DI26" s="824"/>
      <c r="DJ26" s="824"/>
      <c r="DK26" s="824"/>
      <c r="DL26" s="824"/>
      <c r="DM26" s="825">
        <v>5.5</v>
      </c>
      <c r="DN26" s="825">
        <v>5.5</v>
      </c>
      <c r="DO26" s="825">
        <v>3.5</v>
      </c>
      <c r="DP26" s="825">
        <v>0</v>
      </c>
      <c r="DQ26" s="825">
        <v>5.6</v>
      </c>
      <c r="DR26" s="825">
        <v>7</v>
      </c>
      <c r="DS26" s="825">
        <v>0</v>
      </c>
      <c r="DT26" s="825">
        <v>0</v>
      </c>
      <c r="DU26" s="825">
        <v>5.0999999999999996</v>
      </c>
      <c r="DV26" s="825">
        <v>0</v>
      </c>
      <c r="DW26" s="825">
        <v>7</v>
      </c>
      <c r="DX26" s="825">
        <v>0</v>
      </c>
      <c r="DY26" s="825">
        <v>0</v>
      </c>
      <c r="DZ26" s="825">
        <v>0</v>
      </c>
      <c r="EA26" s="825">
        <v>0</v>
      </c>
      <c r="EB26" s="825">
        <v>0</v>
      </c>
      <c r="EC26" s="825">
        <v>0</v>
      </c>
      <c r="ED26" s="825">
        <v>0</v>
      </c>
      <c r="EE26" s="825">
        <v>0</v>
      </c>
      <c r="EF26" s="825">
        <v>0</v>
      </c>
      <c r="EG26" s="825">
        <v>0</v>
      </c>
      <c r="EH26" s="825">
        <v>0</v>
      </c>
      <c r="EI26" s="825">
        <v>0</v>
      </c>
      <c r="EJ26" s="825">
        <v>0</v>
      </c>
      <c r="EK26" s="825">
        <v>0</v>
      </c>
      <c r="EL26" s="825">
        <v>0</v>
      </c>
      <c r="EM26" s="825">
        <v>0</v>
      </c>
      <c r="EN26" s="825">
        <v>0</v>
      </c>
      <c r="EO26" s="825">
        <v>0</v>
      </c>
      <c r="EP26" s="825">
        <v>0</v>
      </c>
      <c r="EQ26" s="825">
        <v>0</v>
      </c>
      <c r="ER26" s="825">
        <v>0</v>
      </c>
      <c r="ES26" s="825">
        <v>0</v>
      </c>
      <c r="ET26" s="825">
        <v>0</v>
      </c>
      <c r="EU26" s="825">
        <v>0</v>
      </c>
      <c r="EV26" s="825">
        <v>0</v>
      </c>
      <c r="EW26" s="825">
        <v>0</v>
      </c>
      <c r="EX26" s="825">
        <v>0</v>
      </c>
      <c r="EY26" s="825">
        <v>0</v>
      </c>
      <c r="EZ26" s="825">
        <v>0</v>
      </c>
      <c r="FA26" s="825">
        <v>0</v>
      </c>
      <c r="FB26" s="825">
        <v>0</v>
      </c>
      <c r="FC26" s="825">
        <v>0</v>
      </c>
      <c r="FD26" s="825">
        <v>0</v>
      </c>
      <c r="FE26" s="825">
        <v>0</v>
      </c>
      <c r="FF26" s="825">
        <v>0</v>
      </c>
      <c r="FG26" s="825">
        <v>0</v>
      </c>
      <c r="FH26" s="825">
        <v>0</v>
      </c>
      <c r="FI26" s="825">
        <v>0</v>
      </c>
      <c r="FJ26" s="825">
        <v>0</v>
      </c>
      <c r="FK26" s="825">
        <v>0</v>
      </c>
      <c r="FL26" s="825">
        <v>0</v>
      </c>
      <c r="FM26" s="825">
        <v>0</v>
      </c>
      <c r="FN26" s="825">
        <v>0</v>
      </c>
      <c r="FO26" s="825">
        <v>0</v>
      </c>
      <c r="FP26" s="825">
        <v>0</v>
      </c>
      <c r="FQ26" s="825">
        <v>0</v>
      </c>
      <c r="FR26" s="825">
        <v>0</v>
      </c>
      <c r="FS26" s="825">
        <v>0</v>
      </c>
      <c r="FT26" s="825">
        <v>0</v>
      </c>
      <c r="FU26" s="825">
        <v>0</v>
      </c>
      <c r="FV26" s="825">
        <v>0</v>
      </c>
      <c r="FW26" s="825">
        <v>0</v>
      </c>
      <c r="FX26" s="825">
        <v>0</v>
      </c>
      <c r="FY26" s="825">
        <v>0</v>
      </c>
      <c r="FZ26" s="825">
        <v>0</v>
      </c>
      <c r="GA26" s="825">
        <v>0</v>
      </c>
      <c r="GB26" s="825">
        <v>0</v>
      </c>
      <c r="GC26" s="825">
        <v>0</v>
      </c>
      <c r="GD26" s="825">
        <v>0</v>
      </c>
      <c r="GE26" s="825">
        <v>0</v>
      </c>
      <c r="GF26" s="825">
        <v>0</v>
      </c>
      <c r="GG26" s="825">
        <v>0</v>
      </c>
      <c r="GH26" s="825">
        <v>0</v>
      </c>
      <c r="GI26" s="825">
        <v>0</v>
      </c>
      <c r="GJ26" s="825">
        <v>0</v>
      </c>
      <c r="GK26" s="825">
        <v>0</v>
      </c>
      <c r="GL26" s="825">
        <v>0</v>
      </c>
      <c r="GM26" s="825">
        <v>0</v>
      </c>
      <c r="GN26" s="825">
        <v>0</v>
      </c>
      <c r="GO26" s="825">
        <v>0</v>
      </c>
      <c r="GP26" s="825">
        <v>0</v>
      </c>
      <c r="GQ26" s="825">
        <v>0</v>
      </c>
      <c r="GR26" s="825">
        <v>0</v>
      </c>
      <c r="GS26" s="825">
        <v>0</v>
      </c>
      <c r="GT26" s="825">
        <v>0</v>
      </c>
      <c r="GU26" s="825">
        <v>0</v>
      </c>
      <c r="GV26" s="825">
        <v>0</v>
      </c>
      <c r="GW26" s="825">
        <v>0</v>
      </c>
      <c r="GX26" s="825">
        <v>0</v>
      </c>
      <c r="GY26" s="825">
        <v>0</v>
      </c>
      <c r="GZ26" s="825">
        <v>0</v>
      </c>
      <c r="HA26" s="825">
        <v>0</v>
      </c>
      <c r="HB26" s="825">
        <v>0</v>
      </c>
      <c r="HC26" s="825">
        <v>0</v>
      </c>
      <c r="HD26" s="825">
        <v>0</v>
      </c>
      <c r="HE26" s="825">
        <v>0</v>
      </c>
      <c r="HF26" s="825">
        <v>0</v>
      </c>
      <c r="HG26" s="825">
        <v>0</v>
      </c>
      <c r="HH26" s="825">
        <v>0</v>
      </c>
      <c r="HI26" s="825">
        <v>0</v>
      </c>
      <c r="HJ26" s="825">
        <v>0</v>
      </c>
      <c r="HK26" s="825">
        <v>0</v>
      </c>
      <c r="HL26" s="825">
        <v>0</v>
      </c>
      <c r="HM26" s="825">
        <v>0</v>
      </c>
      <c r="HN26" s="825">
        <v>0</v>
      </c>
      <c r="HO26" s="825">
        <v>0</v>
      </c>
      <c r="HP26" s="825">
        <v>0</v>
      </c>
      <c r="HQ26" s="825">
        <v>0</v>
      </c>
      <c r="HR26" s="825">
        <v>0</v>
      </c>
      <c r="HS26" s="825">
        <v>0</v>
      </c>
      <c r="HT26" s="825">
        <v>0</v>
      </c>
      <c r="HU26" s="825">
        <v>0</v>
      </c>
    </row>
    <row r="27" spans="1:229" ht="178.5">
      <c r="A27" s="823" t="s">
        <v>515</v>
      </c>
      <c r="B27" s="823" t="s">
        <v>1100</v>
      </c>
      <c r="C27" s="823" t="s">
        <v>1101</v>
      </c>
      <c r="D27" s="826" t="s">
        <v>1102</v>
      </c>
      <c r="E27" s="824" t="s">
        <v>1103</v>
      </c>
      <c r="F27" s="824" t="s">
        <v>1104</v>
      </c>
      <c r="G27" s="824" t="s">
        <v>1105</v>
      </c>
      <c r="H27" s="824" t="s">
        <v>1106</v>
      </c>
      <c r="I27" s="824"/>
      <c r="J27" s="824"/>
      <c r="K27" s="824"/>
      <c r="L27" s="824"/>
      <c r="M27" s="824"/>
      <c r="N27" s="824"/>
      <c r="O27" s="824"/>
      <c r="P27" s="824"/>
      <c r="Q27" s="824"/>
      <c r="R27" s="824"/>
      <c r="S27" s="824"/>
      <c r="T27" s="824"/>
      <c r="U27" s="824"/>
      <c r="V27" s="824"/>
      <c r="W27" s="824"/>
      <c r="X27" s="824"/>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c r="BC27" s="824"/>
      <c r="BD27" s="824"/>
      <c r="BE27" s="824"/>
      <c r="BF27" s="824"/>
      <c r="BG27" s="824"/>
      <c r="BH27" s="824"/>
      <c r="BI27" s="824"/>
      <c r="BJ27" s="824"/>
      <c r="BK27" s="824"/>
      <c r="BL27" s="824"/>
      <c r="BM27" s="824"/>
      <c r="BN27" s="824"/>
      <c r="BO27" s="824"/>
      <c r="BP27" s="824"/>
      <c r="BQ27" s="824"/>
      <c r="BR27" s="824"/>
      <c r="BS27" s="824"/>
      <c r="BT27" s="824"/>
      <c r="BU27" s="824"/>
      <c r="BV27" s="824"/>
      <c r="BW27" s="824"/>
      <c r="BX27" s="824"/>
      <c r="BY27" s="824"/>
      <c r="BZ27" s="824"/>
      <c r="CA27" s="824"/>
      <c r="CB27" s="824"/>
      <c r="CC27" s="824"/>
      <c r="CD27" s="824"/>
      <c r="CE27" s="824"/>
      <c r="CF27" s="824"/>
      <c r="CG27" s="824"/>
      <c r="CH27" s="824"/>
      <c r="CI27" s="824"/>
      <c r="CJ27" s="824"/>
      <c r="CK27" s="824"/>
      <c r="CL27" s="824"/>
      <c r="CM27" s="824"/>
      <c r="CN27" s="824"/>
      <c r="CO27" s="824"/>
      <c r="CP27" s="824"/>
      <c r="CQ27" s="824"/>
      <c r="CR27" s="824"/>
      <c r="CS27" s="824"/>
      <c r="CT27" s="824"/>
      <c r="CU27" s="824"/>
      <c r="CV27" s="824"/>
      <c r="CW27" s="824"/>
      <c r="CX27" s="824"/>
      <c r="CY27" s="824"/>
      <c r="CZ27" s="824"/>
      <c r="DA27" s="824"/>
      <c r="DB27" s="824"/>
      <c r="DC27" s="824"/>
      <c r="DD27" s="824"/>
      <c r="DE27" s="824"/>
      <c r="DF27" s="824"/>
      <c r="DG27" s="824"/>
      <c r="DH27" s="824"/>
      <c r="DI27" s="824"/>
      <c r="DJ27" s="824"/>
      <c r="DK27" s="824"/>
      <c r="DL27" s="824"/>
      <c r="DM27" s="825">
        <v>4</v>
      </c>
      <c r="DN27" s="825">
        <v>4</v>
      </c>
      <c r="DO27" s="825">
        <v>3.9</v>
      </c>
      <c r="DP27" s="825">
        <v>3.9</v>
      </c>
      <c r="DQ27" s="825">
        <v>5.6</v>
      </c>
      <c r="DR27" s="825">
        <v>0</v>
      </c>
      <c r="DS27" s="825">
        <v>0</v>
      </c>
      <c r="DT27" s="825">
        <v>0</v>
      </c>
      <c r="DU27" s="825">
        <v>0</v>
      </c>
      <c r="DV27" s="825">
        <v>0</v>
      </c>
      <c r="DW27" s="825">
        <v>0</v>
      </c>
      <c r="DX27" s="825">
        <v>0</v>
      </c>
      <c r="DY27" s="825">
        <v>0</v>
      </c>
      <c r="DZ27" s="825">
        <v>0</v>
      </c>
      <c r="EA27" s="825">
        <v>0</v>
      </c>
      <c r="EB27" s="825">
        <v>0</v>
      </c>
      <c r="EC27" s="825">
        <v>0</v>
      </c>
      <c r="ED27" s="825">
        <v>0</v>
      </c>
      <c r="EE27" s="825">
        <v>0</v>
      </c>
      <c r="EF27" s="825">
        <v>0</v>
      </c>
      <c r="EG27" s="825">
        <v>0</v>
      </c>
      <c r="EH27" s="825">
        <v>0</v>
      </c>
      <c r="EI27" s="825">
        <v>0</v>
      </c>
      <c r="EJ27" s="825">
        <v>0</v>
      </c>
      <c r="EK27" s="825">
        <v>0</v>
      </c>
      <c r="EL27" s="825">
        <v>0</v>
      </c>
      <c r="EM27" s="825">
        <v>0</v>
      </c>
      <c r="EN27" s="825">
        <v>0</v>
      </c>
      <c r="EO27" s="825">
        <v>0</v>
      </c>
      <c r="EP27" s="825">
        <v>0</v>
      </c>
      <c r="EQ27" s="825">
        <v>0</v>
      </c>
      <c r="ER27" s="825">
        <v>0</v>
      </c>
      <c r="ES27" s="825">
        <v>0</v>
      </c>
      <c r="ET27" s="825">
        <v>0</v>
      </c>
      <c r="EU27" s="825">
        <v>0</v>
      </c>
      <c r="EV27" s="825">
        <v>0</v>
      </c>
      <c r="EW27" s="825">
        <v>0</v>
      </c>
      <c r="EX27" s="825">
        <v>0</v>
      </c>
      <c r="EY27" s="825">
        <v>0</v>
      </c>
      <c r="EZ27" s="825">
        <v>0</v>
      </c>
      <c r="FA27" s="825">
        <v>0</v>
      </c>
      <c r="FB27" s="825">
        <v>0</v>
      </c>
      <c r="FC27" s="825">
        <v>0</v>
      </c>
      <c r="FD27" s="825">
        <v>0</v>
      </c>
      <c r="FE27" s="825">
        <v>0</v>
      </c>
      <c r="FF27" s="825">
        <v>0</v>
      </c>
      <c r="FG27" s="825">
        <v>0</v>
      </c>
      <c r="FH27" s="825">
        <v>0</v>
      </c>
      <c r="FI27" s="825">
        <v>0</v>
      </c>
      <c r="FJ27" s="825">
        <v>0</v>
      </c>
      <c r="FK27" s="825">
        <v>0</v>
      </c>
      <c r="FL27" s="825">
        <v>0</v>
      </c>
      <c r="FM27" s="825">
        <v>0</v>
      </c>
      <c r="FN27" s="825">
        <v>0</v>
      </c>
      <c r="FO27" s="825">
        <v>0</v>
      </c>
      <c r="FP27" s="825">
        <v>0</v>
      </c>
      <c r="FQ27" s="825">
        <v>0</v>
      </c>
      <c r="FR27" s="825">
        <v>0</v>
      </c>
      <c r="FS27" s="825">
        <v>0</v>
      </c>
      <c r="FT27" s="825">
        <v>0</v>
      </c>
      <c r="FU27" s="825">
        <v>0</v>
      </c>
      <c r="FV27" s="825">
        <v>0</v>
      </c>
      <c r="FW27" s="825">
        <v>0</v>
      </c>
      <c r="FX27" s="825">
        <v>0</v>
      </c>
      <c r="FY27" s="825">
        <v>0</v>
      </c>
      <c r="FZ27" s="825">
        <v>0</v>
      </c>
      <c r="GA27" s="825">
        <v>0</v>
      </c>
      <c r="GB27" s="825">
        <v>0</v>
      </c>
      <c r="GC27" s="825">
        <v>0</v>
      </c>
      <c r="GD27" s="825">
        <v>0</v>
      </c>
      <c r="GE27" s="825">
        <v>0</v>
      </c>
      <c r="GF27" s="825">
        <v>0</v>
      </c>
      <c r="GG27" s="825">
        <v>0</v>
      </c>
      <c r="GH27" s="825">
        <v>0</v>
      </c>
      <c r="GI27" s="825">
        <v>0</v>
      </c>
      <c r="GJ27" s="825">
        <v>0</v>
      </c>
      <c r="GK27" s="825">
        <v>0</v>
      </c>
      <c r="GL27" s="825">
        <v>0</v>
      </c>
      <c r="GM27" s="825">
        <v>0</v>
      </c>
      <c r="GN27" s="825">
        <v>0</v>
      </c>
      <c r="GO27" s="825">
        <v>0</v>
      </c>
      <c r="GP27" s="825">
        <v>0</v>
      </c>
      <c r="GQ27" s="825">
        <v>0</v>
      </c>
      <c r="GR27" s="825">
        <v>0</v>
      </c>
      <c r="GS27" s="825">
        <v>0</v>
      </c>
      <c r="GT27" s="825">
        <v>0</v>
      </c>
      <c r="GU27" s="825">
        <v>0</v>
      </c>
      <c r="GV27" s="825">
        <v>0</v>
      </c>
      <c r="GW27" s="825">
        <v>0</v>
      </c>
      <c r="GX27" s="825">
        <v>0</v>
      </c>
      <c r="GY27" s="825">
        <v>0</v>
      </c>
      <c r="GZ27" s="825">
        <v>0</v>
      </c>
      <c r="HA27" s="825">
        <v>0</v>
      </c>
      <c r="HB27" s="825">
        <v>0</v>
      </c>
      <c r="HC27" s="825">
        <v>0</v>
      </c>
      <c r="HD27" s="825">
        <v>0</v>
      </c>
      <c r="HE27" s="825">
        <v>0</v>
      </c>
      <c r="HF27" s="825">
        <v>0</v>
      </c>
      <c r="HG27" s="825">
        <v>0</v>
      </c>
      <c r="HH27" s="825">
        <v>0</v>
      </c>
      <c r="HI27" s="825">
        <v>0</v>
      </c>
      <c r="HJ27" s="825">
        <v>0</v>
      </c>
      <c r="HK27" s="825">
        <v>0</v>
      </c>
      <c r="HL27" s="825">
        <v>0</v>
      </c>
      <c r="HM27" s="825">
        <v>0</v>
      </c>
      <c r="HN27" s="825">
        <v>0</v>
      </c>
      <c r="HO27" s="825">
        <v>0</v>
      </c>
      <c r="HP27" s="825">
        <v>0</v>
      </c>
      <c r="HQ27" s="825">
        <v>0</v>
      </c>
      <c r="HR27" s="825">
        <v>0</v>
      </c>
      <c r="HS27" s="825">
        <v>0</v>
      </c>
      <c r="HT27" s="825">
        <v>0</v>
      </c>
      <c r="HU27" s="825">
        <v>0</v>
      </c>
    </row>
    <row r="28" spans="1:229" ht="216.75">
      <c r="A28" s="823" t="s">
        <v>515</v>
      </c>
      <c r="B28" s="823" t="s">
        <v>1107</v>
      </c>
      <c r="C28" s="823" t="s">
        <v>1108</v>
      </c>
      <c r="D28" s="824"/>
      <c r="E28" s="826" t="s">
        <v>1109</v>
      </c>
      <c r="F28" s="824"/>
      <c r="G28" s="824" t="s">
        <v>1110</v>
      </c>
      <c r="H28" s="826" t="s">
        <v>1111</v>
      </c>
      <c r="I28" s="824" t="s">
        <v>1112</v>
      </c>
      <c r="J28" s="824"/>
      <c r="K28" s="824"/>
      <c r="L28" s="826"/>
      <c r="M28" s="824"/>
      <c r="N28" s="824"/>
      <c r="O28" s="824"/>
      <c r="P28" s="824"/>
      <c r="Q28" s="824"/>
      <c r="R28" s="824" t="s">
        <v>1113</v>
      </c>
      <c r="S28" s="824"/>
      <c r="T28" s="824" t="s">
        <v>1114</v>
      </c>
      <c r="U28" s="826" t="s">
        <v>1115</v>
      </c>
      <c r="V28" s="824" t="s">
        <v>1116</v>
      </c>
      <c r="W28" s="824"/>
      <c r="X28" s="824"/>
      <c r="Y28" s="824"/>
      <c r="Z28" s="824"/>
      <c r="AA28" s="824"/>
      <c r="AB28" s="824"/>
      <c r="AC28" s="824"/>
      <c r="AD28" s="824"/>
      <c r="AE28" s="824"/>
      <c r="AF28" s="824"/>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c r="BC28" s="824"/>
      <c r="BD28" s="824"/>
      <c r="BE28" s="824"/>
      <c r="BF28" s="824"/>
      <c r="BG28" s="824"/>
      <c r="BH28" s="824"/>
      <c r="BI28" s="824"/>
      <c r="BJ28" s="824"/>
      <c r="BK28" s="824"/>
      <c r="BL28" s="824"/>
      <c r="BM28" s="824"/>
      <c r="BN28" s="824"/>
      <c r="BO28" s="824"/>
      <c r="BP28" s="824"/>
      <c r="BQ28" s="824"/>
      <c r="BR28" s="824"/>
      <c r="BS28" s="824"/>
      <c r="BT28" s="824"/>
      <c r="BU28" s="824"/>
      <c r="BV28" s="824"/>
      <c r="BW28" s="824"/>
      <c r="BX28" s="824"/>
      <c r="BY28" s="824"/>
      <c r="BZ28" s="824"/>
      <c r="CA28" s="824"/>
      <c r="CB28" s="824"/>
      <c r="CC28" s="824"/>
      <c r="CD28" s="824"/>
      <c r="CE28" s="824"/>
      <c r="CF28" s="824"/>
      <c r="CG28" s="824"/>
      <c r="CH28" s="824"/>
      <c r="CI28" s="824"/>
      <c r="CJ28" s="824"/>
      <c r="CK28" s="824"/>
      <c r="CL28" s="824"/>
      <c r="CM28" s="824"/>
      <c r="CN28" s="824"/>
      <c r="CO28" s="824"/>
      <c r="CP28" s="824"/>
      <c r="CQ28" s="824"/>
      <c r="CR28" s="824"/>
      <c r="CS28" s="824"/>
      <c r="CT28" s="824"/>
      <c r="CU28" s="824"/>
      <c r="CV28" s="824"/>
      <c r="CW28" s="824"/>
      <c r="CX28" s="824"/>
      <c r="CY28" s="824"/>
      <c r="CZ28" s="824"/>
      <c r="DA28" s="824"/>
      <c r="DB28" s="824"/>
      <c r="DC28" s="824"/>
      <c r="DD28" s="824"/>
      <c r="DE28" s="824"/>
      <c r="DF28" s="824"/>
      <c r="DG28" s="824"/>
      <c r="DH28" s="824"/>
      <c r="DI28" s="824"/>
      <c r="DJ28" s="824"/>
      <c r="DK28" s="824"/>
      <c r="DL28" s="824"/>
      <c r="DM28" s="825">
        <v>0</v>
      </c>
      <c r="DN28" s="825">
        <v>11.9</v>
      </c>
      <c r="DO28" s="825">
        <v>0</v>
      </c>
      <c r="DP28" s="825">
        <v>10.9</v>
      </c>
      <c r="DQ28" s="825">
        <v>10.5</v>
      </c>
      <c r="DR28" s="825">
        <v>14.1</v>
      </c>
      <c r="DS28" s="825">
        <v>0</v>
      </c>
      <c r="DT28" s="825">
        <v>0</v>
      </c>
      <c r="DU28" s="825">
        <v>0</v>
      </c>
      <c r="DV28" s="825">
        <v>0</v>
      </c>
      <c r="DW28" s="825">
        <v>0</v>
      </c>
      <c r="DX28" s="825">
        <v>0</v>
      </c>
      <c r="DY28" s="825">
        <v>0</v>
      </c>
      <c r="DZ28" s="825">
        <v>0</v>
      </c>
      <c r="EA28" s="825">
        <v>10.199999999999999</v>
      </c>
      <c r="EB28" s="825">
        <v>0</v>
      </c>
      <c r="EC28" s="825">
        <v>0</v>
      </c>
      <c r="ED28" s="825">
        <v>11.1</v>
      </c>
      <c r="EE28" s="825">
        <v>20.7</v>
      </c>
      <c r="EF28" s="825">
        <v>0</v>
      </c>
      <c r="EG28" s="825">
        <v>0</v>
      </c>
      <c r="EH28" s="825">
        <v>0</v>
      </c>
      <c r="EI28" s="825">
        <v>0</v>
      </c>
      <c r="EJ28" s="825">
        <v>0</v>
      </c>
      <c r="EK28" s="825">
        <v>0</v>
      </c>
      <c r="EL28" s="825">
        <v>0</v>
      </c>
      <c r="EM28" s="825">
        <v>0</v>
      </c>
      <c r="EN28" s="825">
        <v>0</v>
      </c>
      <c r="EO28" s="825">
        <v>0</v>
      </c>
      <c r="EP28" s="825">
        <v>0</v>
      </c>
      <c r="EQ28" s="825">
        <v>0</v>
      </c>
      <c r="ER28" s="825">
        <v>0</v>
      </c>
      <c r="ES28" s="825">
        <v>0</v>
      </c>
      <c r="ET28" s="825">
        <v>0</v>
      </c>
      <c r="EU28" s="825">
        <v>0</v>
      </c>
      <c r="EV28" s="825">
        <v>0</v>
      </c>
      <c r="EW28" s="825">
        <v>0</v>
      </c>
      <c r="EX28" s="825">
        <v>0</v>
      </c>
      <c r="EY28" s="825">
        <v>0</v>
      </c>
      <c r="EZ28" s="825">
        <v>0</v>
      </c>
      <c r="FA28" s="825">
        <v>0</v>
      </c>
      <c r="FB28" s="825">
        <v>0</v>
      </c>
      <c r="FC28" s="825">
        <v>0</v>
      </c>
      <c r="FD28" s="825">
        <v>0</v>
      </c>
      <c r="FE28" s="825">
        <v>0</v>
      </c>
      <c r="FF28" s="825">
        <v>0</v>
      </c>
      <c r="FG28" s="825">
        <v>0</v>
      </c>
      <c r="FH28" s="825">
        <v>0</v>
      </c>
      <c r="FI28" s="825">
        <v>0</v>
      </c>
      <c r="FJ28" s="825">
        <v>0</v>
      </c>
      <c r="FK28" s="825">
        <v>0</v>
      </c>
      <c r="FL28" s="825">
        <v>0</v>
      </c>
      <c r="FM28" s="825">
        <v>0</v>
      </c>
      <c r="FN28" s="825">
        <v>0</v>
      </c>
      <c r="FO28" s="825">
        <v>0</v>
      </c>
      <c r="FP28" s="825">
        <v>0</v>
      </c>
      <c r="FQ28" s="825">
        <v>0</v>
      </c>
      <c r="FR28" s="825">
        <v>0</v>
      </c>
      <c r="FS28" s="825">
        <v>0</v>
      </c>
      <c r="FT28" s="825">
        <v>0</v>
      </c>
      <c r="FU28" s="825">
        <v>0</v>
      </c>
      <c r="FV28" s="825">
        <v>0</v>
      </c>
      <c r="FW28" s="825">
        <v>0</v>
      </c>
      <c r="FX28" s="825">
        <v>0</v>
      </c>
      <c r="FY28" s="825">
        <v>0</v>
      </c>
      <c r="FZ28" s="825">
        <v>0</v>
      </c>
      <c r="GA28" s="825">
        <v>0</v>
      </c>
      <c r="GB28" s="825">
        <v>0</v>
      </c>
      <c r="GC28" s="825">
        <v>0</v>
      </c>
      <c r="GD28" s="825">
        <v>0</v>
      </c>
      <c r="GE28" s="825">
        <v>0</v>
      </c>
      <c r="GF28" s="825">
        <v>0</v>
      </c>
      <c r="GG28" s="825">
        <v>0</v>
      </c>
      <c r="GH28" s="825">
        <v>0</v>
      </c>
      <c r="GI28" s="825">
        <v>0</v>
      </c>
      <c r="GJ28" s="825">
        <v>0</v>
      </c>
      <c r="GK28" s="825">
        <v>0</v>
      </c>
      <c r="GL28" s="825">
        <v>0</v>
      </c>
      <c r="GM28" s="825">
        <v>0</v>
      </c>
      <c r="GN28" s="825">
        <v>0</v>
      </c>
      <c r="GO28" s="825">
        <v>0</v>
      </c>
      <c r="GP28" s="825">
        <v>0</v>
      </c>
      <c r="GQ28" s="825">
        <v>0</v>
      </c>
      <c r="GR28" s="825">
        <v>0</v>
      </c>
      <c r="GS28" s="825">
        <v>0</v>
      </c>
      <c r="GT28" s="825">
        <v>0</v>
      </c>
      <c r="GU28" s="825">
        <v>0</v>
      </c>
      <c r="GV28" s="825">
        <v>0</v>
      </c>
      <c r="GW28" s="825">
        <v>0</v>
      </c>
      <c r="GX28" s="825">
        <v>0</v>
      </c>
      <c r="GY28" s="825">
        <v>0</v>
      </c>
      <c r="GZ28" s="825">
        <v>0</v>
      </c>
      <c r="HA28" s="825">
        <v>0</v>
      </c>
      <c r="HB28" s="825">
        <v>0</v>
      </c>
      <c r="HC28" s="825">
        <v>0</v>
      </c>
      <c r="HD28" s="825">
        <v>0</v>
      </c>
      <c r="HE28" s="825">
        <v>0</v>
      </c>
      <c r="HF28" s="825">
        <v>0</v>
      </c>
      <c r="HG28" s="825">
        <v>0</v>
      </c>
      <c r="HH28" s="825">
        <v>0</v>
      </c>
      <c r="HI28" s="825">
        <v>0</v>
      </c>
      <c r="HJ28" s="825">
        <v>0</v>
      </c>
      <c r="HK28" s="825">
        <v>0</v>
      </c>
      <c r="HL28" s="825">
        <v>0</v>
      </c>
      <c r="HM28" s="825">
        <v>0</v>
      </c>
      <c r="HN28" s="825">
        <v>0</v>
      </c>
      <c r="HO28" s="825">
        <v>0</v>
      </c>
      <c r="HP28" s="825">
        <v>0</v>
      </c>
      <c r="HQ28" s="825">
        <v>0</v>
      </c>
      <c r="HR28" s="825">
        <v>0</v>
      </c>
      <c r="HS28" s="825">
        <v>0</v>
      </c>
      <c r="HT28" s="825">
        <v>0</v>
      </c>
      <c r="HU28" s="825">
        <v>0</v>
      </c>
    </row>
    <row r="29" spans="1:229" ht="51">
      <c r="A29" s="823" t="s">
        <v>515</v>
      </c>
      <c r="B29" s="823" t="s">
        <v>1117</v>
      </c>
      <c r="C29" s="823" t="s">
        <v>1118</v>
      </c>
      <c r="D29" s="826" t="s">
        <v>1119</v>
      </c>
      <c r="E29" s="824" t="s">
        <v>1120</v>
      </c>
      <c r="F29" s="824"/>
      <c r="G29" s="824"/>
      <c r="H29" s="824"/>
      <c r="I29" s="824"/>
      <c r="J29" s="824"/>
      <c r="K29" s="824"/>
      <c r="L29" s="824"/>
      <c r="M29" s="824"/>
      <c r="N29" s="824"/>
      <c r="O29" s="824"/>
      <c r="P29" s="824"/>
      <c r="Q29" s="824"/>
      <c r="R29" s="824"/>
      <c r="S29" s="824"/>
      <c r="T29" s="824"/>
      <c r="U29" s="824"/>
      <c r="V29" s="824"/>
      <c r="W29" s="824"/>
      <c r="X29" s="824"/>
      <c r="Y29" s="824"/>
      <c r="Z29" s="824"/>
      <c r="AA29" s="824"/>
      <c r="AB29" s="824"/>
      <c r="AC29" s="824"/>
      <c r="AD29" s="824"/>
      <c r="AE29" s="824"/>
      <c r="AF29" s="824"/>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c r="BC29" s="824"/>
      <c r="BD29" s="824"/>
      <c r="BE29" s="824"/>
      <c r="BF29" s="824"/>
      <c r="BG29" s="824"/>
      <c r="BH29" s="824"/>
      <c r="BI29" s="824"/>
      <c r="BJ29" s="824"/>
      <c r="BK29" s="824"/>
      <c r="BL29" s="824"/>
      <c r="BM29" s="824"/>
      <c r="BN29" s="824"/>
      <c r="BO29" s="824"/>
      <c r="BP29" s="824"/>
      <c r="BQ29" s="824"/>
      <c r="BR29" s="824"/>
      <c r="BS29" s="824"/>
      <c r="BT29" s="824"/>
      <c r="BU29" s="824"/>
      <c r="BV29" s="824"/>
      <c r="BW29" s="824"/>
      <c r="BX29" s="824"/>
      <c r="BY29" s="824"/>
      <c r="BZ29" s="824"/>
      <c r="CA29" s="824"/>
      <c r="CB29" s="824"/>
      <c r="CC29" s="824"/>
      <c r="CD29" s="824"/>
      <c r="CE29" s="824"/>
      <c r="CF29" s="824"/>
      <c r="CG29" s="824"/>
      <c r="CH29" s="824"/>
      <c r="CI29" s="824"/>
      <c r="CJ29" s="824"/>
      <c r="CK29" s="824"/>
      <c r="CL29" s="824"/>
      <c r="CM29" s="824"/>
      <c r="CN29" s="824"/>
      <c r="CO29" s="824"/>
      <c r="CP29" s="824"/>
      <c r="CQ29" s="824"/>
      <c r="CR29" s="824"/>
      <c r="CS29" s="824"/>
      <c r="CT29" s="824"/>
      <c r="CU29" s="824"/>
      <c r="CV29" s="824"/>
      <c r="CW29" s="824"/>
      <c r="CX29" s="824"/>
      <c r="CY29" s="824"/>
      <c r="CZ29" s="824"/>
      <c r="DA29" s="824"/>
      <c r="DB29" s="824"/>
      <c r="DC29" s="824"/>
      <c r="DD29" s="824"/>
      <c r="DE29" s="824"/>
      <c r="DF29" s="824"/>
      <c r="DG29" s="824"/>
      <c r="DH29" s="824"/>
      <c r="DI29" s="824"/>
      <c r="DJ29" s="824"/>
      <c r="DK29" s="824"/>
      <c r="DL29" s="824"/>
      <c r="DM29" s="825">
        <v>12</v>
      </c>
      <c r="DN29" s="825">
        <v>15.7</v>
      </c>
      <c r="DO29" s="825">
        <v>0</v>
      </c>
      <c r="DP29" s="825">
        <v>0</v>
      </c>
      <c r="DQ29" s="825">
        <v>0</v>
      </c>
      <c r="DR29" s="825">
        <v>0</v>
      </c>
      <c r="DS29" s="825">
        <v>0</v>
      </c>
      <c r="DT29" s="825">
        <v>0</v>
      </c>
      <c r="DU29" s="825">
        <v>0</v>
      </c>
      <c r="DV29" s="825">
        <v>0</v>
      </c>
      <c r="DW29" s="825">
        <v>0</v>
      </c>
      <c r="DX29" s="825">
        <v>0</v>
      </c>
      <c r="DY29" s="825">
        <v>0</v>
      </c>
      <c r="DZ29" s="825">
        <v>0</v>
      </c>
      <c r="EA29" s="825">
        <v>0</v>
      </c>
      <c r="EB29" s="825">
        <v>0</v>
      </c>
      <c r="EC29" s="825">
        <v>0</v>
      </c>
      <c r="ED29" s="825">
        <v>0</v>
      </c>
      <c r="EE29" s="825">
        <v>0</v>
      </c>
      <c r="EF29" s="825">
        <v>0</v>
      </c>
      <c r="EG29" s="825">
        <v>0</v>
      </c>
      <c r="EH29" s="825">
        <v>0</v>
      </c>
      <c r="EI29" s="825">
        <v>0</v>
      </c>
      <c r="EJ29" s="825">
        <v>0</v>
      </c>
      <c r="EK29" s="825">
        <v>0</v>
      </c>
      <c r="EL29" s="825">
        <v>0</v>
      </c>
      <c r="EM29" s="825">
        <v>0</v>
      </c>
      <c r="EN29" s="825">
        <v>0</v>
      </c>
      <c r="EO29" s="825">
        <v>0</v>
      </c>
      <c r="EP29" s="825">
        <v>0</v>
      </c>
      <c r="EQ29" s="825">
        <v>0</v>
      </c>
      <c r="ER29" s="825">
        <v>0</v>
      </c>
      <c r="ES29" s="825">
        <v>0</v>
      </c>
      <c r="ET29" s="825">
        <v>0</v>
      </c>
      <c r="EU29" s="825">
        <v>0</v>
      </c>
      <c r="EV29" s="825">
        <v>0</v>
      </c>
      <c r="EW29" s="825">
        <v>0</v>
      </c>
      <c r="EX29" s="825">
        <v>0</v>
      </c>
      <c r="EY29" s="825">
        <v>0</v>
      </c>
      <c r="EZ29" s="825">
        <v>0</v>
      </c>
      <c r="FA29" s="825">
        <v>0</v>
      </c>
      <c r="FB29" s="825">
        <v>0</v>
      </c>
      <c r="FC29" s="825">
        <v>0</v>
      </c>
      <c r="FD29" s="825">
        <v>0</v>
      </c>
      <c r="FE29" s="825">
        <v>0</v>
      </c>
      <c r="FF29" s="825">
        <v>0</v>
      </c>
      <c r="FG29" s="825">
        <v>0</v>
      </c>
      <c r="FH29" s="825">
        <v>0</v>
      </c>
      <c r="FI29" s="825">
        <v>0</v>
      </c>
      <c r="FJ29" s="825">
        <v>0</v>
      </c>
      <c r="FK29" s="825">
        <v>0</v>
      </c>
      <c r="FL29" s="825">
        <v>0</v>
      </c>
      <c r="FM29" s="825">
        <v>0</v>
      </c>
      <c r="FN29" s="825">
        <v>0</v>
      </c>
      <c r="FO29" s="825">
        <v>0</v>
      </c>
      <c r="FP29" s="825">
        <v>0</v>
      </c>
      <c r="FQ29" s="825">
        <v>0</v>
      </c>
      <c r="FR29" s="825">
        <v>0</v>
      </c>
      <c r="FS29" s="825">
        <v>0</v>
      </c>
      <c r="FT29" s="825">
        <v>0</v>
      </c>
      <c r="FU29" s="825">
        <v>0</v>
      </c>
      <c r="FV29" s="825">
        <v>0</v>
      </c>
      <c r="FW29" s="825">
        <v>0</v>
      </c>
      <c r="FX29" s="825">
        <v>0</v>
      </c>
      <c r="FY29" s="825">
        <v>0</v>
      </c>
      <c r="FZ29" s="825">
        <v>0</v>
      </c>
      <c r="GA29" s="825">
        <v>0</v>
      </c>
      <c r="GB29" s="825">
        <v>0</v>
      </c>
      <c r="GC29" s="825">
        <v>0</v>
      </c>
      <c r="GD29" s="825">
        <v>0</v>
      </c>
      <c r="GE29" s="825">
        <v>0</v>
      </c>
      <c r="GF29" s="825">
        <v>0</v>
      </c>
      <c r="GG29" s="825">
        <v>0</v>
      </c>
      <c r="GH29" s="825">
        <v>0</v>
      </c>
      <c r="GI29" s="825">
        <v>0</v>
      </c>
      <c r="GJ29" s="825">
        <v>0</v>
      </c>
      <c r="GK29" s="825">
        <v>0</v>
      </c>
      <c r="GL29" s="825">
        <v>0</v>
      </c>
      <c r="GM29" s="825">
        <v>0</v>
      </c>
      <c r="GN29" s="825">
        <v>0</v>
      </c>
      <c r="GO29" s="825">
        <v>0</v>
      </c>
      <c r="GP29" s="825">
        <v>0</v>
      </c>
      <c r="GQ29" s="825">
        <v>0</v>
      </c>
      <c r="GR29" s="825">
        <v>0</v>
      </c>
      <c r="GS29" s="825">
        <v>0</v>
      </c>
      <c r="GT29" s="825">
        <v>0</v>
      </c>
      <c r="GU29" s="825">
        <v>0</v>
      </c>
      <c r="GV29" s="825">
        <v>0</v>
      </c>
      <c r="GW29" s="825">
        <v>0</v>
      </c>
      <c r="GX29" s="825">
        <v>0</v>
      </c>
      <c r="GY29" s="825">
        <v>0</v>
      </c>
      <c r="GZ29" s="825">
        <v>0</v>
      </c>
      <c r="HA29" s="825">
        <v>0</v>
      </c>
      <c r="HB29" s="825">
        <v>0</v>
      </c>
      <c r="HC29" s="825">
        <v>0</v>
      </c>
      <c r="HD29" s="825">
        <v>0</v>
      </c>
      <c r="HE29" s="825">
        <v>0</v>
      </c>
      <c r="HF29" s="825">
        <v>0</v>
      </c>
      <c r="HG29" s="825">
        <v>0</v>
      </c>
      <c r="HH29" s="825">
        <v>0</v>
      </c>
      <c r="HI29" s="825">
        <v>0</v>
      </c>
      <c r="HJ29" s="825">
        <v>0</v>
      </c>
      <c r="HK29" s="825">
        <v>0</v>
      </c>
      <c r="HL29" s="825">
        <v>0</v>
      </c>
      <c r="HM29" s="825">
        <v>0</v>
      </c>
      <c r="HN29" s="825">
        <v>0</v>
      </c>
      <c r="HO29" s="825">
        <v>0</v>
      </c>
      <c r="HP29" s="825">
        <v>0</v>
      </c>
      <c r="HQ29" s="825">
        <v>0</v>
      </c>
      <c r="HR29" s="825">
        <v>0</v>
      </c>
      <c r="HS29" s="825">
        <v>0</v>
      </c>
      <c r="HT29" s="825">
        <v>0</v>
      </c>
      <c r="HU29" s="825">
        <v>0</v>
      </c>
    </row>
    <row r="30" spans="1:229" ht="216.75">
      <c r="A30" s="823" t="s">
        <v>515</v>
      </c>
      <c r="B30" s="823" t="s">
        <v>1117</v>
      </c>
      <c r="C30" s="823" t="s">
        <v>1121</v>
      </c>
      <c r="D30" s="826"/>
      <c r="E30" s="824" t="s">
        <v>1122</v>
      </c>
      <c r="F30" s="824"/>
      <c r="G30" s="826" t="s">
        <v>1123</v>
      </c>
      <c r="H30" s="824" t="s">
        <v>1124</v>
      </c>
      <c r="I30" s="826" t="s">
        <v>1125</v>
      </c>
      <c r="J30" s="824" t="s">
        <v>1126</v>
      </c>
      <c r="K30" s="824" t="s">
        <v>1127</v>
      </c>
      <c r="L30" s="824" t="s">
        <v>1128</v>
      </c>
      <c r="M30" s="824"/>
      <c r="N30" s="824" t="s">
        <v>1129</v>
      </c>
      <c r="O30" s="824"/>
      <c r="P30" s="824" t="s">
        <v>1130</v>
      </c>
      <c r="Q30" s="824"/>
      <c r="R30" s="824"/>
      <c r="S30" s="824" t="s">
        <v>1131</v>
      </c>
      <c r="T30" s="826" t="s">
        <v>1132</v>
      </c>
      <c r="U30" s="826" t="s">
        <v>1133</v>
      </c>
      <c r="V30" s="824" t="s">
        <v>1134</v>
      </c>
      <c r="W30" s="824" t="s">
        <v>1135</v>
      </c>
      <c r="X30" s="824" t="s">
        <v>1136</v>
      </c>
      <c r="Y30" s="824" t="s">
        <v>1137</v>
      </c>
      <c r="Z30" s="824" t="s">
        <v>1138</v>
      </c>
      <c r="AA30" s="826" t="s">
        <v>1139</v>
      </c>
      <c r="AB30" s="824" t="s">
        <v>1140</v>
      </c>
      <c r="AC30" s="826" t="s">
        <v>1141</v>
      </c>
      <c r="AD30" s="824" t="s">
        <v>1142</v>
      </c>
      <c r="AE30" s="824" t="s">
        <v>1143</v>
      </c>
      <c r="AF30" s="824" t="s">
        <v>1144</v>
      </c>
      <c r="AG30" s="824" t="s">
        <v>1145</v>
      </c>
      <c r="AH30" s="824" t="s">
        <v>1146</v>
      </c>
      <c r="AI30" s="824" t="s">
        <v>1147</v>
      </c>
      <c r="AJ30" s="824" t="s">
        <v>1148</v>
      </c>
      <c r="AK30" s="826" t="s">
        <v>1149</v>
      </c>
      <c r="AL30" s="826" t="s">
        <v>1150</v>
      </c>
      <c r="AM30" s="824" t="s">
        <v>1151</v>
      </c>
      <c r="AN30" s="824" t="s">
        <v>1152</v>
      </c>
      <c r="AO30" s="824"/>
      <c r="AP30" s="824"/>
      <c r="AQ30" s="824"/>
      <c r="AR30" s="824"/>
      <c r="AS30" s="824"/>
      <c r="AT30" s="824"/>
      <c r="AU30" s="824"/>
      <c r="AV30" s="824"/>
      <c r="AW30" s="824"/>
      <c r="AX30" s="824"/>
      <c r="AY30" s="824"/>
      <c r="AZ30" s="824"/>
      <c r="BA30" s="824"/>
      <c r="BB30" s="824"/>
      <c r="BC30" s="824"/>
      <c r="BD30" s="824"/>
      <c r="BE30" s="824"/>
      <c r="BF30" s="824"/>
      <c r="BG30" s="824"/>
      <c r="BH30" s="824"/>
      <c r="BI30" s="824"/>
      <c r="BJ30" s="824"/>
      <c r="BK30" s="824"/>
      <c r="BL30" s="824"/>
      <c r="BM30" s="824"/>
      <c r="BN30" s="824"/>
      <c r="BO30" s="824"/>
      <c r="BP30" s="824"/>
      <c r="BQ30" s="824"/>
      <c r="BR30" s="824"/>
      <c r="BS30" s="824"/>
      <c r="BT30" s="824"/>
      <c r="BU30" s="824"/>
      <c r="BV30" s="824"/>
      <c r="BW30" s="824"/>
      <c r="BX30" s="824"/>
      <c r="BY30" s="824"/>
      <c r="BZ30" s="824"/>
      <c r="CA30" s="824"/>
      <c r="CB30" s="824"/>
      <c r="CC30" s="824"/>
      <c r="CD30" s="824"/>
      <c r="CE30" s="824"/>
      <c r="CF30" s="824"/>
      <c r="CG30" s="824"/>
      <c r="CH30" s="824"/>
      <c r="CI30" s="824"/>
      <c r="CJ30" s="824"/>
      <c r="CK30" s="824"/>
      <c r="CL30" s="824"/>
      <c r="CM30" s="824"/>
      <c r="CN30" s="824"/>
      <c r="CO30" s="824"/>
      <c r="CP30" s="824"/>
      <c r="CQ30" s="824"/>
      <c r="CR30" s="824"/>
      <c r="CS30" s="824"/>
      <c r="CT30" s="824"/>
      <c r="CU30" s="824"/>
      <c r="CV30" s="824"/>
      <c r="CW30" s="824"/>
      <c r="CX30" s="824"/>
      <c r="CY30" s="824"/>
      <c r="CZ30" s="824"/>
      <c r="DA30" s="824"/>
      <c r="DB30" s="824"/>
      <c r="DC30" s="824"/>
      <c r="DD30" s="824"/>
      <c r="DE30" s="824"/>
      <c r="DF30" s="824"/>
      <c r="DG30" s="824"/>
      <c r="DH30" s="824"/>
      <c r="DI30" s="824"/>
      <c r="DJ30" s="824"/>
      <c r="DK30" s="824"/>
      <c r="DL30" s="824"/>
      <c r="DM30" s="825">
        <v>0</v>
      </c>
      <c r="DN30" s="825">
        <v>13.5</v>
      </c>
      <c r="DO30" s="825">
        <v>0</v>
      </c>
      <c r="DP30" s="825">
        <v>11.1</v>
      </c>
      <c r="DQ30" s="825">
        <v>11.2</v>
      </c>
      <c r="DR30" s="825">
        <v>8.1</v>
      </c>
      <c r="DS30" s="825">
        <v>6.4</v>
      </c>
      <c r="DT30" s="825">
        <v>9.1</v>
      </c>
      <c r="DU30" s="825">
        <v>9.1</v>
      </c>
      <c r="DV30" s="825">
        <v>0</v>
      </c>
      <c r="DW30" s="825">
        <v>12.4</v>
      </c>
      <c r="DX30" s="825">
        <v>0</v>
      </c>
      <c r="DY30" s="825">
        <v>3.5</v>
      </c>
      <c r="DZ30" s="825">
        <v>0</v>
      </c>
      <c r="EA30" s="825">
        <v>0</v>
      </c>
      <c r="EB30" s="825">
        <v>5.6</v>
      </c>
      <c r="EC30" s="825">
        <v>7</v>
      </c>
      <c r="ED30" s="825">
        <v>8.4</v>
      </c>
      <c r="EE30" s="825">
        <v>0</v>
      </c>
      <c r="EF30" s="825">
        <v>0</v>
      </c>
      <c r="EG30" s="825">
        <v>0</v>
      </c>
      <c r="EH30" s="825">
        <v>0</v>
      </c>
      <c r="EI30" s="825">
        <v>0</v>
      </c>
      <c r="EJ30" s="825">
        <v>7.4</v>
      </c>
      <c r="EK30" s="825">
        <v>0</v>
      </c>
      <c r="EL30" s="825">
        <v>7.1</v>
      </c>
      <c r="EM30" s="825">
        <v>0</v>
      </c>
      <c r="EN30" s="825">
        <v>7.1</v>
      </c>
      <c r="EO30" s="825">
        <v>0</v>
      </c>
      <c r="EP30" s="825">
        <v>0</v>
      </c>
      <c r="EQ30" s="825">
        <v>0</v>
      </c>
      <c r="ER30" s="825">
        <v>0</v>
      </c>
      <c r="ES30" s="825">
        <v>0</v>
      </c>
      <c r="ET30" s="825">
        <v>7.6</v>
      </c>
      <c r="EU30" s="825">
        <v>11.4</v>
      </c>
      <c r="EV30" s="825">
        <v>0</v>
      </c>
      <c r="EW30" s="825">
        <v>14.9</v>
      </c>
      <c r="EX30" s="825">
        <v>0</v>
      </c>
      <c r="EY30" s="825">
        <v>0</v>
      </c>
      <c r="EZ30" s="825">
        <v>0</v>
      </c>
      <c r="FA30" s="825">
        <v>0</v>
      </c>
      <c r="FB30" s="825">
        <v>0</v>
      </c>
      <c r="FC30" s="825">
        <v>0</v>
      </c>
      <c r="FD30" s="825">
        <v>0</v>
      </c>
      <c r="FE30" s="825">
        <v>0</v>
      </c>
      <c r="FF30" s="825">
        <v>0</v>
      </c>
      <c r="FG30" s="825">
        <v>0</v>
      </c>
      <c r="FH30" s="825">
        <v>0</v>
      </c>
      <c r="FI30" s="825">
        <v>0</v>
      </c>
      <c r="FJ30" s="825">
        <v>0</v>
      </c>
      <c r="FK30" s="825">
        <v>0</v>
      </c>
      <c r="FL30" s="825">
        <v>0</v>
      </c>
      <c r="FM30" s="825">
        <v>0</v>
      </c>
      <c r="FN30" s="825">
        <v>0</v>
      </c>
      <c r="FO30" s="825">
        <v>0</v>
      </c>
      <c r="FP30" s="825">
        <v>0</v>
      </c>
      <c r="FQ30" s="825">
        <v>0</v>
      </c>
      <c r="FR30" s="825">
        <v>0</v>
      </c>
      <c r="FS30" s="825">
        <v>0</v>
      </c>
      <c r="FT30" s="825">
        <v>0</v>
      </c>
      <c r="FU30" s="825">
        <v>0</v>
      </c>
      <c r="FV30" s="825">
        <v>0</v>
      </c>
      <c r="FW30" s="825">
        <v>0</v>
      </c>
      <c r="FX30" s="825">
        <v>0</v>
      </c>
      <c r="FY30" s="825">
        <v>0</v>
      </c>
      <c r="FZ30" s="825">
        <v>0</v>
      </c>
      <c r="GA30" s="825">
        <v>0</v>
      </c>
      <c r="GB30" s="825">
        <v>0</v>
      </c>
      <c r="GC30" s="825">
        <v>0</v>
      </c>
      <c r="GD30" s="825">
        <v>0</v>
      </c>
      <c r="GE30" s="825">
        <v>0</v>
      </c>
      <c r="GF30" s="825">
        <v>0</v>
      </c>
      <c r="GG30" s="825">
        <v>0</v>
      </c>
      <c r="GH30" s="825">
        <v>0</v>
      </c>
      <c r="GI30" s="825">
        <v>0</v>
      </c>
      <c r="GJ30" s="825">
        <v>0</v>
      </c>
      <c r="GK30" s="825">
        <v>0</v>
      </c>
      <c r="GL30" s="825">
        <v>0</v>
      </c>
      <c r="GM30" s="825">
        <v>0</v>
      </c>
      <c r="GN30" s="825">
        <v>0</v>
      </c>
      <c r="GO30" s="825">
        <v>0</v>
      </c>
      <c r="GP30" s="825">
        <v>0</v>
      </c>
      <c r="GQ30" s="825">
        <v>0</v>
      </c>
      <c r="GR30" s="825">
        <v>0</v>
      </c>
      <c r="GS30" s="825">
        <v>0</v>
      </c>
      <c r="GT30" s="825">
        <v>0</v>
      </c>
      <c r="GU30" s="825">
        <v>0</v>
      </c>
      <c r="GV30" s="825">
        <v>0</v>
      </c>
      <c r="GW30" s="825">
        <v>0</v>
      </c>
      <c r="GX30" s="825">
        <v>0</v>
      </c>
      <c r="GY30" s="825">
        <v>0</v>
      </c>
      <c r="GZ30" s="825">
        <v>0</v>
      </c>
      <c r="HA30" s="825">
        <v>0</v>
      </c>
      <c r="HB30" s="825">
        <v>0</v>
      </c>
      <c r="HC30" s="825">
        <v>0</v>
      </c>
      <c r="HD30" s="825">
        <v>0</v>
      </c>
      <c r="HE30" s="825">
        <v>0</v>
      </c>
      <c r="HF30" s="825">
        <v>0</v>
      </c>
      <c r="HG30" s="825">
        <v>0</v>
      </c>
      <c r="HH30" s="825">
        <v>0</v>
      </c>
      <c r="HI30" s="825">
        <v>0</v>
      </c>
      <c r="HJ30" s="825">
        <v>0</v>
      </c>
      <c r="HK30" s="825">
        <v>0</v>
      </c>
      <c r="HL30" s="825">
        <v>0</v>
      </c>
      <c r="HM30" s="825">
        <v>0</v>
      </c>
      <c r="HN30" s="825">
        <v>0</v>
      </c>
      <c r="HO30" s="825">
        <v>0</v>
      </c>
      <c r="HP30" s="825">
        <v>0</v>
      </c>
      <c r="HQ30" s="825">
        <v>0</v>
      </c>
      <c r="HR30" s="825">
        <v>0</v>
      </c>
      <c r="HS30" s="825">
        <v>0</v>
      </c>
      <c r="HT30" s="825">
        <v>0</v>
      </c>
      <c r="HU30" s="825">
        <v>0</v>
      </c>
    </row>
    <row r="31" spans="1:229" ht="76.5">
      <c r="A31" s="823" t="s">
        <v>515</v>
      </c>
      <c r="B31" s="823" t="s">
        <v>1117</v>
      </c>
      <c r="C31" s="823" t="s">
        <v>1153</v>
      </c>
      <c r="D31" s="826" t="s">
        <v>1154</v>
      </c>
      <c r="E31" s="826" t="s">
        <v>1155</v>
      </c>
      <c r="F31" s="824" t="s">
        <v>1156</v>
      </c>
      <c r="G31" s="824"/>
      <c r="H31" s="826" t="s">
        <v>1157</v>
      </c>
      <c r="I31" s="824"/>
      <c r="J31" s="824"/>
      <c r="K31" s="824"/>
      <c r="L31" s="824"/>
      <c r="M31" s="824"/>
      <c r="N31" s="824"/>
      <c r="O31" s="824"/>
      <c r="P31" s="824"/>
      <c r="Q31" s="824"/>
      <c r="R31" s="824"/>
      <c r="S31" s="824"/>
      <c r="T31" s="824"/>
      <c r="U31" s="824"/>
      <c r="V31" s="824"/>
      <c r="W31" s="824"/>
      <c r="X31" s="824"/>
      <c r="Y31" s="824"/>
      <c r="Z31" s="824"/>
      <c r="AA31" s="824"/>
      <c r="AB31" s="824"/>
      <c r="AC31" s="824"/>
      <c r="AD31" s="824"/>
      <c r="AE31" s="824"/>
      <c r="AF31" s="824"/>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c r="BC31" s="824"/>
      <c r="BD31" s="824"/>
      <c r="BE31" s="824"/>
      <c r="BF31" s="824"/>
      <c r="BG31" s="824"/>
      <c r="BH31" s="824"/>
      <c r="BI31" s="824"/>
      <c r="BJ31" s="824"/>
      <c r="BK31" s="824"/>
      <c r="BL31" s="824"/>
      <c r="BM31" s="824"/>
      <c r="BN31" s="824"/>
      <c r="BO31" s="824"/>
      <c r="BP31" s="824"/>
      <c r="BQ31" s="824"/>
      <c r="BR31" s="824"/>
      <c r="BS31" s="824"/>
      <c r="BT31" s="824"/>
      <c r="BU31" s="824"/>
      <c r="BV31" s="824"/>
      <c r="BW31" s="824"/>
      <c r="BX31" s="824"/>
      <c r="BY31" s="824"/>
      <c r="BZ31" s="824"/>
      <c r="CA31" s="824"/>
      <c r="CB31" s="824"/>
      <c r="CC31" s="824"/>
      <c r="CD31" s="824"/>
      <c r="CE31" s="824"/>
      <c r="CF31" s="824"/>
      <c r="CG31" s="824"/>
      <c r="CH31" s="824"/>
      <c r="CI31" s="824"/>
      <c r="CJ31" s="824"/>
      <c r="CK31" s="824"/>
      <c r="CL31" s="824"/>
      <c r="CM31" s="824"/>
      <c r="CN31" s="824"/>
      <c r="CO31" s="824"/>
      <c r="CP31" s="824"/>
      <c r="CQ31" s="824"/>
      <c r="CR31" s="824"/>
      <c r="CS31" s="824"/>
      <c r="CT31" s="824"/>
      <c r="CU31" s="824"/>
      <c r="CV31" s="824"/>
      <c r="CW31" s="824"/>
      <c r="CX31" s="824"/>
      <c r="CY31" s="824"/>
      <c r="CZ31" s="824"/>
      <c r="DA31" s="824"/>
      <c r="DB31" s="824"/>
      <c r="DC31" s="824"/>
      <c r="DD31" s="824"/>
      <c r="DE31" s="824"/>
      <c r="DF31" s="824"/>
      <c r="DG31" s="824"/>
      <c r="DH31" s="824"/>
      <c r="DI31" s="824"/>
      <c r="DJ31" s="824"/>
      <c r="DK31" s="824"/>
      <c r="DL31" s="824"/>
      <c r="DM31" s="825">
        <v>10.7</v>
      </c>
      <c r="DN31" s="825">
        <v>8.1999999999999993</v>
      </c>
      <c r="DO31" s="825">
        <v>12.4</v>
      </c>
      <c r="DP31" s="825">
        <v>0</v>
      </c>
      <c r="DQ31" s="825">
        <v>10.7</v>
      </c>
      <c r="DR31" s="825">
        <v>0</v>
      </c>
      <c r="DS31" s="825">
        <v>0</v>
      </c>
      <c r="DT31" s="825">
        <v>0</v>
      </c>
      <c r="DU31" s="825">
        <v>0</v>
      </c>
      <c r="DV31" s="825">
        <v>0</v>
      </c>
      <c r="DW31" s="825">
        <v>0</v>
      </c>
      <c r="DX31" s="825">
        <v>0</v>
      </c>
      <c r="DY31" s="825">
        <v>0</v>
      </c>
      <c r="DZ31" s="825">
        <v>0</v>
      </c>
      <c r="EA31" s="825">
        <v>0</v>
      </c>
      <c r="EB31" s="825">
        <v>0</v>
      </c>
      <c r="EC31" s="825">
        <v>0</v>
      </c>
      <c r="ED31" s="825">
        <v>0</v>
      </c>
      <c r="EE31" s="825">
        <v>0</v>
      </c>
      <c r="EF31" s="825">
        <v>0</v>
      </c>
      <c r="EG31" s="825">
        <v>0</v>
      </c>
      <c r="EH31" s="825">
        <v>0</v>
      </c>
      <c r="EI31" s="825">
        <v>0</v>
      </c>
      <c r="EJ31" s="825">
        <v>0</v>
      </c>
      <c r="EK31" s="825">
        <v>0</v>
      </c>
      <c r="EL31" s="825">
        <v>0</v>
      </c>
      <c r="EM31" s="825">
        <v>0</v>
      </c>
      <c r="EN31" s="825">
        <v>0</v>
      </c>
      <c r="EO31" s="825">
        <v>0</v>
      </c>
      <c r="EP31" s="825">
        <v>0</v>
      </c>
      <c r="EQ31" s="825">
        <v>0</v>
      </c>
      <c r="ER31" s="825">
        <v>0</v>
      </c>
      <c r="ES31" s="825">
        <v>0</v>
      </c>
      <c r="ET31" s="825">
        <v>0</v>
      </c>
      <c r="EU31" s="825">
        <v>0</v>
      </c>
      <c r="EV31" s="825">
        <v>0</v>
      </c>
      <c r="EW31" s="825">
        <v>0</v>
      </c>
      <c r="EX31" s="825">
        <v>0</v>
      </c>
      <c r="EY31" s="825">
        <v>0</v>
      </c>
      <c r="EZ31" s="825">
        <v>0</v>
      </c>
      <c r="FA31" s="825">
        <v>0</v>
      </c>
      <c r="FB31" s="825">
        <v>0</v>
      </c>
      <c r="FC31" s="825">
        <v>0</v>
      </c>
      <c r="FD31" s="825">
        <v>0</v>
      </c>
      <c r="FE31" s="825">
        <v>0</v>
      </c>
      <c r="FF31" s="825">
        <v>0</v>
      </c>
      <c r="FG31" s="825">
        <v>0</v>
      </c>
      <c r="FH31" s="825">
        <v>0</v>
      </c>
      <c r="FI31" s="825">
        <v>0</v>
      </c>
      <c r="FJ31" s="825">
        <v>0</v>
      </c>
      <c r="FK31" s="825">
        <v>0</v>
      </c>
      <c r="FL31" s="825">
        <v>0</v>
      </c>
      <c r="FM31" s="825">
        <v>0</v>
      </c>
      <c r="FN31" s="825">
        <v>0</v>
      </c>
      <c r="FO31" s="825">
        <v>0</v>
      </c>
      <c r="FP31" s="825">
        <v>0</v>
      </c>
      <c r="FQ31" s="825">
        <v>0</v>
      </c>
      <c r="FR31" s="825">
        <v>0</v>
      </c>
      <c r="FS31" s="825">
        <v>0</v>
      </c>
      <c r="FT31" s="825">
        <v>0</v>
      </c>
      <c r="FU31" s="825">
        <v>0</v>
      </c>
      <c r="FV31" s="825">
        <v>0</v>
      </c>
      <c r="FW31" s="825">
        <v>0</v>
      </c>
      <c r="FX31" s="825">
        <v>0</v>
      </c>
      <c r="FY31" s="825">
        <v>0</v>
      </c>
      <c r="FZ31" s="825">
        <v>0</v>
      </c>
      <c r="GA31" s="825">
        <v>0</v>
      </c>
      <c r="GB31" s="825">
        <v>0</v>
      </c>
      <c r="GC31" s="825">
        <v>0</v>
      </c>
      <c r="GD31" s="825">
        <v>0</v>
      </c>
      <c r="GE31" s="825">
        <v>0</v>
      </c>
      <c r="GF31" s="825">
        <v>0</v>
      </c>
      <c r="GG31" s="825">
        <v>0</v>
      </c>
      <c r="GH31" s="825">
        <v>0</v>
      </c>
      <c r="GI31" s="825">
        <v>0</v>
      </c>
      <c r="GJ31" s="825">
        <v>0</v>
      </c>
      <c r="GK31" s="825">
        <v>0</v>
      </c>
      <c r="GL31" s="825">
        <v>0</v>
      </c>
      <c r="GM31" s="825">
        <v>0</v>
      </c>
      <c r="GN31" s="825">
        <v>0</v>
      </c>
      <c r="GO31" s="825">
        <v>0</v>
      </c>
      <c r="GP31" s="825">
        <v>0</v>
      </c>
      <c r="GQ31" s="825">
        <v>0</v>
      </c>
      <c r="GR31" s="825">
        <v>0</v>
      </c>
      <c r="GS31" s="825">
        <v>0</v>
      </c>
      <c r="GT31" s="825">
        <v>0</v>
      </c>
      <c r="GU31" s="825">
        <v>0</v>
      </c>
      <c r="GV31" s="825">
        <v>0</v>
      </c>
      <c r="GW31" s="825">
        <v>0</v>
      </c>
      <c r="GX31" s="825">
        <v>0</v>
      </c>
      <c r="GY31" s="825">
        <v>0</v>
      </c>
      <c r="GZ31" s="825">
        <v>0</v>
      </c>
      <c r="HA31" s="825">
        <v>0</v>
      </c>
      <c r="HB31" s="825">
        <v>0</v>
      </c>
      <c r="HC31" s="825">
        <v>0</v>
      </c>
      <c r="HD31" s="825">
        <v>0</v>
      </c>
      <c r="HE31" s="825">
        <v>0</v>
      </c>
      <c r="HF31" s="825">
        <v>0</v>
      </c>
      <c r="HG31" s="825">
        <v>0</v>
      </c>
      <c r="HH31" s="825">
        <v>0</v>
      </c>
      <c r="HI31" s="825">
        <v>0</v>
      </c>
      <c r="HJ31" s="825">
        <v>0</v>
      </c>
      <c r="HK31" s="825">
        <v>0</v>
      </c>
      <c r="HL31" s="825">
        <v>0</v>
      </c>
      <c r="HM31" s="825">
        <v>0</v>
      </c>
      <c r="HN31" s="825">
        <v>0</v>
      </c>
      <c r="HO31" s="825">
        <v>0</v>
      </c>
      <c r="HP31" s="825">
        <v>0</v>
      </c>
      <c r="HQ31" s="825">
        <v>0</v>
      </c>
      <c r="HR31" s="825">
        <v>0</v>
      </c>
      <c r="HS31" s="825">
        <v>0</v>
      </c>
      <c r="HT31" s="825">
        <v>0</v>
      </c>
      <c r="HU31" s="825">
        <v>0</v>
      </c>
    </row>
    <row r="32" spans="1:229" ht="153">
      <c r="A32" s="823" t="s">
        <v>515</v>
      </c>
      <c r="B32" s="823" t="s">
        <v>1117</v>
      </c>
      <c r="C32" s="823" t="s">
        <v>1158</v>
      </c>
      <c r="D32" s="826" t="s">
        <v>1159</v>
      </c>
      <c r="E32" s="826" t="s">
        <v>1160</v>
      </c>
      <c r="F32" s="826" t="s">
        <v>1161</v>
      </c>
      <c r="G32" s="824"/>
      <c r="H32" s="824"/>
      <c r="I32" s="826"/>
      <c r="J32" s="826"/>
      <c r="K32" s="824"/>
      <c r="L32" s="824"/>
      <c r="M32" s="824"/>
      <c r="N32" s="824"/>
      <c r="O32" s="824"/>
      <c r="P32" s="824"/>
      <c r="Q32" s="824"/>
      <c r="R32" s="824"/>
      <c r="S32" s="824"/>
      <c r="T32" s="824"/>
      <c r="U32" s="824"/>
      <c r="V32" s="824"/>
      <c r="W32" s="824"/>
      <c r="X32" s="824"/>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c r="BC32" s="824"/>
      <c r="BD32" s="824"/>
      <c r="BE32" s="824"/>
      <c r="BF32" s="824"/>
      <c r="BG32" s="824"/>
      <c r="BH32" s="824"/>
      <c r="BI32" s="824"/>
      <c r="BJ32" s="824"/>
      <c r="BK32" s="824"/>
      <c r="BL32" s="824"/>
      <c r="BM32" s="824"/>
      <c r="BN32" s="824"/>
      <c r="BO32" s="824"/>
      <c r="BP32" s="824"/>
      <c r="BQ32" s="824"/>
      <c r="BR32" s="824"/>
      <c r="BS32" s="824"/>
      <c r="BT32" s="824"/>
      <c r="BU32" s="824"/>
      <c r="BV32" s="824"/>
      <c r="BW32" s="824"/>
      <c r="BX32" s="824"/>
      <c r="BY32" s="824"/>
      <c r="BZ32" s="824"/>
      <c r="CA32" s="824"/>
      <c r="CB32" s="824"/>
      <c r="CC32" s="824"/>
      <c r="CD32" s="824"/>
      <c r="CE32" s="824"/>
      <c r="CF32" s="824"/>
      <c r="CG32" s="824"/>
      <c r="CH32" s="824"/>
      <c r="CI32" s="824"/>
      <c r="CJ32" s="824"/>
      <c r="CK32" s="824"/>
      <c r="CL32" s="824"/>
      <c r="CM32" s="824"/>
      <c r="CN32" s="824"/>
      <c r="CO32" s="824"/>
      <c r="CP32" s="824"/>
      <c r="CQ32" s="824"/>
      <c r="CR32" s="824"/>
      <c r="CS32" s="824"/>
      <c r="CT32" s="824"/>
      <c r="CU32" s="824"/>
      <c r="CV32" s="824"/>
      <c r="CW32" s="824"/>
      <c r="CX32" s="824"/>
      <c r="CY32" s="824"/>
      <c r="CZ32" s="824"/>
      <c r="DA32" s="824"/>
      <c r="DB32" s="824"/>
      <c r="DC32" s="824"/>
      <c r="DD32" s="824"/>
      <c r="DE32" s="824"/>
      <c r="DF32" s="824"/>
      <c r="DG32" s="824"/>
      <c r="DH32" s="824"/>
      <c r="DI32" s="824"/>
      <c r="DJ32" s="824"/>
      <c r="DK32" s="824"/>
      <c r="DL32" s="824"/>
      <c r="DM32" s="825">
        <v>6.4</v>
      </c>
      <c r="DN32" s="825">
        <v>6.6</v>
      </c>
      <c r="DO32" s="825">
        <v>13.3</v>
      </c>
      <c r="DP32" s="825">
        <v>0</v>
      </c>
      <c r="DQ32" s="825">
        <v>0</v>
      </c>
      <c r="DR32" s="825">
        <v>0</v>
      </c>
      <c r="DS32" s="825">
        <v>0</v>
      </c>
      <c r="DT32" s="825">
        <v>0</v>
      </c>
      <c r="DU32" s="825">
        <v>0</v>
      </c>
      <c r="DV32" s="825">
        <v>0</v>
      </c>
      <c r="DW32" s="825">
        <v>0</v>
      </c>
      <c r="DX32" s="825">
        <v>0</v>
      </c>
      <c r="DY32" s="825">
        <v>0</v>
      </c>
      <c r="DZ32" s="825">
        <v>0</v>
      </c>
      <c r="EA32" s="825">
        <v>0</v>
      </c>
      <c r="EB32" s="825">
        <v>0</v>
      </c>
      <c r="EC32" s="825">
        <v>0</v>
      </c>
      <c r="ED32" s="825">
        <v>0</v>
      </c>
      <c r="EE32" s="825">
        <v>0</v>
      </c>
      <c r="EF32" s="825">
        <v>0</v>
      </c>
      <c r="EG32" s="825">
        <v>0</v>
      </c>
      <c r="EH32" s="825">
        <v>0</v>
      </c>
      <c r="EI32" s="825">
        <v>0</v>
      </c>
      <c r="EJ32" s="825">
        <v>0</v>
      </c>
      <c r="EK32" s="825">
        <v>0</v>
      </c>
      <c r="EL32" s="825">
        <v>0</v>
      </c>
      <c r="EM32" s="825">
        <v>0</v>
      </c>
      <c r="EN32" s="825">
        <v>0</v>
      </c>
      <c r="EO32" s="825">
        <v>0</v>
      </c>
      <c r="EP32" s="825">
        <v>0</v>
      </c>
      <c r="EQ32" s="825">
        <v>0</v>
      </c>
      <c r="ER32" s="825">
        <v>0</v>
      </c>
      <c r="ES32" s="825">
        <v>0</v>
      </c>
      <c r="ET32" s="825">
        <v>0</v>
      </c>
      <c r="EU32" s="825">
        <v>0</v>
      </c>
      <c r="EV32" s="825">
        <v>0</v>
      </c>
      <c r="EW32" s="825">
        <v>0</v>
      </c>
      <c r="EX32" s="825">
        <v>0</v>
      </c>
      <c r="EY32" s="825">
        <v>0</v>
      </c>
      <c r="EZ32" s="825">
        <v>0</v>
      </c>
      <c r="FA32" s="825">
        <v>0</v>
      </c>
      <c r="FB32" s="825">
        <v>0</v>
      </c>
      <c r="FC32" s="825">
        <v>0</v>
      </c>
      <c r="FD32" s="825">
        <v>0</v>
      </c>
      <c r="FE32" s="825">
        <v>0</v>
      </c>
      <c r="FF32" s="825">
        <v>0</v>
      </c>
      <c r="FG32" s="825">
        <v>0</v>
      </c>
      <c r="FH32" s="825">
        <v>0</v>
      </c>
      <c r="FI32" s="825">
        <v>0</v>
      </c>
      <c r="FJ32" s="825">
        <v>0</v>
      </c>
      <c r="FK32" s="825">
        <v>0</v>
      </c>
      <c r="FL32" s="825">
        <v>0</v>
      </c>
      <c r="FM32" s="825">
        <v>0</v>
      </c>
      <c r="FN32" s="825">
        <v>0</v>
      </c>
      <c r="FO32" s="825">
        <v>0</v>
      </c>
      <c r="FP32" s="825">
        <v>0</v>
      </c>
      <c r="FQ32" s="825">
        <v>0</v>
      </c>
      <c r="FR32" s="825">
        <v>0</v>
      </c>
      <c r="FS32" s="825">
        <v>0</v>
      </c>
      <c r="FT32" s="825">
        <v>0</v>
      </c>
      <c r="FU32" s="825">
        <v>0</v>
      </c>
      <c r="FV32" s="825">
        <v>0</v>
      </c>
      <c r="FW32" s="825">
        <v>0</v>
      </c>
      <c r="FX32" s="825">
        <v>0</v>
      </c>
      <c r="FY32" s="825">
        <v>0</v>
      </c>
      <c r="FZ32" s="825">
        <v>0</v>
      </c>
      <c r="GA32" s="825">
        <v>0</v>
      </c>
      <c r="GB32" s="825">
        <v>0</v>
      </c>
      <c r="GC32" s="825">
        <v>0</v>
      </c>
      <c r="GD32" s="825">
        <v>0</v>
      </c>
      <c r="GE32" s="825">
        <v>0</v>
      </c>
      <c r="GF32" s="825">
        <v>0</v>
      </c>
      <c r="GG32" s="825">
        <v>0</v>
      </c>
      <c r="GH32" s="825">
        <v>0</v>
      </c>
      <c r="GI32" s="825">
        <v>0</v>
      </c>
      <c r="GJ32" s="825">
        <v>0</v>
      </c>
      <c r="GK32" s="825">
        <v>0</v>
      </c>
      <c r="GL32" s="825">
        <v>0</v>
      </c>
      <c r="GM32" s="825">
        <v>0</v>
      </c>
      <c r="GN32" s="825">
        <v>0</v>
      </c>
      <c r="GO32" s="825">
        <v>0</v>
      </c>
      <c r="GP32" s="825">
        <v>0</v>
      </c>
      <c r="GQ32" s="825">
        <v>0</v>
      </c>
      <c r="GR32" s="825">
        <v>0</v>
      </c>
      <c r="GS32" s="825">
        <v>0</v>
      </c>
      <c r="GT32" s="825">
        <v>0</v>
      </c>
      <c r="GU32" s="825">
        <v>0</v>
      </c>
      <c r="GV32" s="825">
        <v>0</v>
      </c>
      <c r="GW32" s="825">
        <v>0</v>
      </c>
      <c r="GX32" s="825">
        <v>0</v>
      </c>
      <c r="GY32" s="825">
        <v>0</v>
      </c>
      <c r="GZ32" s="825">
        <v>0</v>
      </c>
      <c r="HA32" s="825">
        <v>0</v>
      </c>
      <c r="HB32" s="825">
        <v>0</v>
      </c>
      <c r="HC32" s="825">
        <v>0</v>
      </c>
      <c r="HD32" s="825">
        <v>0</v>
      </c>
      <c r="HE32" s="825">
        <v>0</v>
      </c>
      <c r="HF32" s="825">
        <v>0</v>
      </c>
      <c r="HG32" s="825">
        <v>0</v>
      </c>
      <c r="HH32" s="825">
        <v>0</v>
      </c>
      <c r="HI32" s="825">
        <v>0</v>
      </c>
      <c r="HJ32" s="825">
        <v>0</v>
      </c>
      <c r="HK32" s="825">
        <v>0</v>
      </c>
      <c r="HL32" s="825">
        <v>0</v>
      </c>
      <c r="HM32" s="825">
        <v>0</v>
      </c>
      <c r="HN32" s="825">
        <v>0</v>
      </c>
      <c r="HO32" s="825">
        <v>0</v>
      </c>
      <c r="HP32" s="825">
        <v>0</v>
      </c>
      <c r="HQ32" s="825">
        <v>0</v>
      </c>
      <c r="HR32" s="825">
        <v>0</v>
      </c>
      <c r="HS32" s="825">
        <v>0</v>
      </c>
      <c r="HT32" s="825">
        <v>0</v>
      </c>
      <c r="HU32" s="825">
        <v>0</v>
      </c>
    </row>
    <row r="33" spans="1:229" ht="51">
      <c r="A33" s="823" t="s">
        <v>515</v>
      </c>
      <c r="B33" s="823" t="s">
        <v>1117</v>
      </c>
      <c r="C33" s="823" t="s">
        <v>1162</v>
      </c>
      <c r="D33" s="824"/>
      <c r="E33" s="824" t="s">
        <v>1163</v>
      </c>
      <c r="F33" s="824"/>
      <c r="G33" s="824"/>
      <c r="H33" s="824"/>
      <c r="I33" s="824"/>
      <c r="J33" s="824"/>
      <c r="K33" s="824"/>
      <c r="L33" s="824"/>
      <c r="M33" s="824"/>
      <c r="N33" s="824"/>
      <c r="O33" s="824"/>
      <c r="P33" s="824"/>
      <c r="Q33" s="824"/>
      <c r="R33" s="824"/>
      <c r="S33" s="824"/>
      <c r="T33" s="824"/>
      <c r="U33" s="824"/>
      <c r="V33" s="824"/>
      <c r="W33" s="824"/>
      <c r="X33" s="824"/>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c r="BC33" s="824"/>
      <c r="BD33" s="824"/>
      <c r="BE33" s="824"/>
      <c r="BF33" s="824"/>
      <c r="BG33" s="824"/>
      <c r="BH33" s="824"/>
      <c r="BI33" s="824"/>
      <c r="BJ33" s="824"/>
      <c r="BK33" s="824"/>
      <c r="BL33" s="824"/>
      <c r="BM33" s="824"/>
      <c r="BN33" s="824"/>
      <c r="BO33" s="824"/>
      <c r="BP33" s="824"/>
      <c r="BQ33" s="824"/>
      <c r="BR33" s="824"/>
      <c r="BS33" s="824"/>
      <c r="BT33" s="824"/>
      <c r="BU33" s="824"/>
      <c r="BV33" s="824"/>
      <c r="BW33" s="824"/>
      <c r="BX33" s="824"/>
      <c r="BY33" s="824"/>
      <c r="BZ33" s="824"/>
      <c r="CA33" s="824"/>
      <c r="CB33" s="824"/>
      <c r="CC33" s="824"/>
      <c r="CD33" s="824"/>
      <c r="CE33" s="824"/>
      <c r="CF33" s="824"/>
      <c r="CG33" s="824"/>
      <c r="CH33" s="824"/>
      <c r="CI33" s="824"/>
      <c r="CJ33" s="824"/>
      <c r="CK33" s="824"/>
      <c r="CL33" s="824"/>
      <c r="CM33" s="824"/>
      <c r="CN33" s="824"/>
      <c r="CO33" s="824"/>
      <c r="CP33" s="824"/>
      <c r="CQ33" s="824"/>
      <c r="CR33" s="824"/>
      <c r="CS33" s="824"/>
      <c r="CT33" s="824"/>
      <c r="CU33" s="824"/>
      <c r="CV33" s="824"/>
      <c r="CW33" s="824"/>
      <c r="CX33" s="824"/>
      <c r="CY33" s="824"/>
      <c r="CZ33" s="824"/>
      <c r="DA33" s="824"/>
      <c r="DB33" s="824"/>
      <c r="DC33" s="824"/>
      <c r="DD33" s="824"/>
      <c r="DE33" s="824"/>
      <c r="DF33" s="824"/>
      <c r="DG33" s="824"/>
      <c r="DH33" s="824"/>
      <c r="DI33" s="824"/>
      <c r="DJ33" s="824"/>
      <c r="DK33" s="824"/>
      <c r="DL33" s="824"/>
      <c r="DM33" s="825">
        <v>0</v>
      </c>
      <c r="DN33" s="825">
        <v>13.5</v>
      </c>
      <c r="DO33" s="825">
        <v>0</v>
      </c>
      <c r="DP33" s="825">
        <v>0</v>
      </c>
      <c r="DQ33" s="825">
        <v>0</v>
      </c>
      <c r="DR33" s="825">
        <v>0</v>
      </c>
      <c r="DS33" s="825">
        <v>0</v>
      </c>
      <c r="DT33" s="825">
        <v>0</v>
      </c>
      <c r="DU33" s="825">
        <v>0</v>
      </c>
      <c r="DV33" s="825">
        <v>0</v>
      </c>
      <c r="DW33" s="825">
        <v>0</v>
      </c>
      <c r="DX33" s="825">
        <v>0</v>
      </c>
      <c r="DY33" s="825">
        <v>0</v>
      </c>
      <c r="DZ33" s="825">
        <v>0</v>
      </c>
      <c r="EA33" s="825">
        <v>0</v>
      </c>
      <c r="EB33" s="825">
        <v>0</v>
      </c>
      <c r="EC33" s="825">
        <v>0</v>
      </c>
      <c r="ED33" s="825">
        <v>0</v>
      </c>
      <c r="EE33" s="825">
        <v>0</v>
      </c>
      <c r="EF33" s="825">
        <v>0</v>
      </c>
      <c r="EG33" s="825">
        <v>0</v>
      </c>
      <c r="EH33" s="825">
        <v>0</v>
      </c>
      <c r="EI33" s="825">
        <v>0</v>
      </c>
      <c r="EJ33" s="825">
        <v>0</v>
      </c>
      <c r="EK33" s="825">
        <v>0</v>
      </c>
      <c r="EL33" s="825">
        <v>0</v>
      </c>
      <c r="EM33" s="825">
        <v>0</v>
      </c>
      <c r="EN33" s="825">
        <v>0</v>
      </c>
      <c r="EO33" s="825">
        <v>0</v>
      </c>
      <c r="EP33" s="825">
        <v>0</v>
      </c>
      <c r="EQ33" s="825">
        <v>0</v>
      </c>
      <c r="ER33" s="825">
        <v>0</v>
      </c>
      <c r="ES33" s="825">
        <v>0</v>
      </c>
      <c r="ET33" s="825">
        <v>0</v>
      </c>
      <c r="EU33" s="825">
        <v>0</v>
      </c>
      <c r="EV33" s="825">
        <v>0</v>
      </c>
      <c r="EW33" s="825">
        <v>0</v>
      </c>
      <c r="EX33" s="825">
        <v>0</v>
      </c>
      <c r="EY33" s="825">
        <v>0</v>
      </c>
      <c r="EZ33" s="825">
        <v>0</v>
      </c>
      <c r="FA33" s="825">
        <v>0</v>
      </c>
      <c r="FB33" s="825">
        <v>0</v>
      </c>
      <c r="FC33" s="825">
        <v>0</v>
      </c>
      <c r="FD33" s="825">
        <v>0</v>
      </c>
      <c r="FE33" s="825">
        <v>0</v>
      </c>
      <c r="FF33" s="825">
        <v>0</v>
      </c>
      <c r="FG33" s="825">
        <v>0</v>
      </c>
      <c r="FH33" s="825">
        <v>0</v>
      </c>
      <c r="FI33" s="825">
        <v>0</v>
      </c>
      <c r="FJ33" s="825">
        <v>0</v>
      </c>
      <c r="FK33" s="825">
        <v>0</v>
      </c>
      <c r="FL33" s="825">
        <v>0</v>
      </c>
      <c r="FM33" s="825">
        <v>0</v>
      </c>
      <c r="FN33" s="825">
        <v>0</v>
      </c>
      <c r="FO33" s="825">
        <v>0</v>
      </c>
      <c r="FP33" s="825">
        <v>0</v>
      </c>
      <c r="FQ33" s="825">
        <v>0</v>
      </c>
      <c r="FR33" s="825">
        <v>0</v>
      </c>
      <c r="FS33" s="825">
        <v>0</v>
      </c>
      <c r="FT33" s="825">
        <v>0</v>
      </c>
      <c r="FU33" s="825">
        <v>0</v>
      </c>
      <c r="FV33" s="825">
        <v>0</v>
      </c>
      <c r="FW33" s="825">
        <v>0</v>
      </c>
      <c r="FX33" s="825">
        <v>0</v>
      </c>
      <c r="FY33" s="825">
        <v>0</v>
      </c>
      <c r="FZ33" s="825">
        <v>0</v>
      </c>
      <c r="GA33" s="825">
        <v>0</v>
      </c>
      <c r="GB33" s="825">
        <v>0</v>
      </c>
      <c r="GC33" s="825">
        <v>0</v>
      </c>
      <c r="GD33" s="825">
        <v>0</v>
      </c>
      <c r="GE33" s="825">
        <v>0</v>
      </c>
      <c r="GF33" s="825">
        <v>0</v>
      </c>
      <c r="GG33" s="825">
        <v>0</v>
      </c>
      <c r="GH33" s="825">
        <v>0</v>
      </c>
      <c r="GI33" s="825">
        <v>0</v>
      </c>
      <c r="GJ33" s="825">
        <v>0</v>
      </c>
      <c r="GK33" s="825">
        <v>0</v>
      </c>
      <c r="GL33" s="825">
        <v>0</v>
      </c>
      <c r="GM33" s="825">
        <v>0</v>
      </c>
      <c r="GN33" s="825">
        <v>0</v>
      </c>
      <c r="GO33" s="825">
        <v>0</v>
      </c>
      <c r="GP33" s="825">
        <v>0</v>
      </c>
      <c r="GQ33" s="825">
        <v>0</v>
      </c>
      <c r="GR33" s="825">
        <v>0</v>
      </c>
      <c r="GS33" s="825">
        <v>0</v>
      </c>
      <c r="GT33" s="825">
        <v>0</v>
      </c>
      <c r="GU33" s="825">
        <v>0</v>
      </c>
      <c r="GV33" s="825">
        <v>0</v>
      </c>
      <c r="GW33" s="825">
        <v>0</v>
      </c>
      <c r="GX33" s="825">
        <v>0</v>
      </c>
      <c r="GY33" s="825">
        <v>0</v>
      </c>
      <c r="GZ33" s="825">
        <v>0</v>
      </c>
      <c r="HA33" s="825">
        <v>0</v>
      </c>
      <c r="HB33" s="825">
        <v>0</v>
      </c>
      <c r="HC33" s="825">
        <v>0</v>
      </c>
      <c r="HD33" s="825">
        <v>0</v>
      </c>
      <c r="HE33" s="825">
        <v>0</v>
      </c>
      <c r="HF33" s="825">
        <v>0</v>
      </c>
      <c r="HG33" s="825">
        <v>0</v>
      </c>
      <c r="HH33" s="825">
        <v>0</v>
      </c>
      <c r="HI33" s="825">
        <v>0</v>
      </c>
      <c r="HJ33" s="825">
        <v>0</v>
      </c>
      <c r="HK33" s="825">
        <v>0</v>
      </c>
      <c r="HL33" s="825">
        <v>0</v>
      </c>
      <c r="HM33" s="825">
        <v>0</v>
      </c>
      <c r="HN33" s="825">
        <v>0</v>
      </c>
      <c r="HO33" s="825">
        <v>0</v>
      </c>
      <c r="HP33" s="825">
        <v>0</v>
      </c>
      <c r="HQ33" s="825">
        <v>0</v>
      </c>
      <c r="HR33" s="825">
        <v>0</v>
      </c>
      <c r="HS33" s="825">
        <v>0</v>
      </c>
      <c r="HT33" s="825">
        <v>0</v>
      </c>
      <c r="HU33" s="825">
        <v>0</v>
      </c>
    </row>
    <row r="34" spans="1:229" ht="51">
      <c r="A34" s="823" t="s">
        <v>515</v>
      </c>
      <c r="B34" s="823" t="s">
        <v>1117</v>
      </c>
      <c r="C34" s="823" t="s">
        <v>1164</v>
      </c>
      <c r="D34" s="824" t="s">
        <v>1165</v>
      </c>
      <c r="E34" s="826" t="s">
        <v>1166</v>
      </c>
      <c r="F34" s="824"/>
      <c r="G34" s="824" t="s">
        <v>1167</v>
      </c>
      <c r="H34" s="824"/>
      <c r="I34" s="824"/>
      <c r="J34" s="824"/>
      <c r="K34" s="824"/>
      <c r="L34" s="824"/>
      <c r="M34" s="824"/>
      <c r="N34" s="824"/>
      <c r="O34" s="824"/>
      <c r="P34" s="824"/>
      <c r="Q34" s="824"/>
      <c r="R34" s="824"/>
      <c r="S34" s="824"/>
      <c r="T34" s="824"/>
      <c r="U34" s="824"/>
      <c r="V34" s="824"/>
      <c r="W34" s="824"/>
      <c r="X34" s="824"/>
      <c r="Y34" s="824"/>
      <c r="Z34" s="824"/>
      <c r="AA34" s="824"/>
      <c r="AB34" s="824"/>
      <c r="AC34" s="824"/>
      <c r="AD34" s="824"/>
      <c r="AE34" s="824"/>
      <c r="AF34" s="824"/>
      <c r="AG34" s="824"/>
      <c r="AH34" s="824"/>
      <c r="AI34" s="824"/>
      <c r="AJ34" s="824"/>
      <c r="AK34" s="824"/>
      <c r="AL34" s="824"/>
      <c r="AM34" s="824"/>
      <c r="AN34" s="824"/>
      <c r="AO34" s="824"/>
      <c r="AP34" s="824"/>
      <c r="AQ34" s="824"/>
      <c r="AR34" s="824"/>
      <c r="AS34" s="824"/>
      <c r="AT34" s="824"/>
      <c r="AU34" s="824"/>
      <c r="AV34" s="824"/>
      <c r="AW34" s="824"/>
      <c r="AX34" s="824"/>
      <c r="AY34" s="824"/>
      <c r="AZ34" s="824"/>
      <c r="BA34" s="824"/>
      <c r="BB34" s="824"/>
      <c r="BC34" s="824"/>
      <c r="BD34" s="824"/>
      <c r="BE34" s="824"/>
      <c r="BF34" s="824"/>
      <c r="BG34" s="824"/>
      <c r="BH34" s="824"/>
      <c r="BI34" s="824"/>
      <c r="BJ34" s="824"/>
      <c r="BK34" s="824"/>
      <c r="BL34" s="824"/>
      <c r="BM34" s="824"/>
      <c r="BN34" s="824"/>
      <c r="BO34" s="824"/>
      <c r="BP34" s="824"/>
      <c r="BQ34" s="824"/>
      <c r="BR34" s="824"/>
      <c r="BS34" s="824"/>
      <c r="BT34" s="824"/>
      <c r="BU34" s="824"/>
      <c r="BV34" s="824"/>
      <c r="BW34" s="824"/>
      <c r="BX34" s="824"/>
      <c r="BY34" s="824"/>
      <c r="BZ34" s="824"/>
      <c r="CA34" s="824"/>
      <c r="CB34" s="824"/>
      <c r="CC34" s="824"/>
      <c r="CD34" s="824"/>
      <c r="CE34" s="824"/>
      <c r="CF34" s="824"/>
      <c r="CG34" s="824"/>
      <c r="CH34" s="824"/>
      <c r="CI34" s="824"/>
      <c r="CJ34" s="824"/>
      <c r="CK34" s="824"/>
      <c r="CL34" s="824"/>
      <c r="CM34" s="824"/>
      <c r="CN34" s="824"/>
      <c r="CO34" s="824"/>
      <c r="CP34" s="824"/>
      <c r="CQ34" s="824"/>
      <c r="CR34" s="824"/>
      <c r="CS34" s="824"/>
      <c r="CT34" s="824"/>
      <c r="CU34" s="824"/>
      <c r="CV34" s="824"/>
      <c r="CW34" s="824"/>
      <c r="CX34" s="824"/>
      <c r="CY34" s="824"/>
      <c r="CZ34" s="824"/>
      <c r="DA34" s="824"/>
      <c r="DB34" s="824"/>
      <c r="DC34" s="824"/>
      <c r="DD34" s="824"/>
      <c r="DE34" s="824"/>
      <c r="DF34" s="824"/>
      <c r="DG34" s="824"/>
      <c r="DH34" s="824"/>
      <c r="DI34" s="824"/>
      <c r="DJ34" s="824"/>
      <c r="DK34" s="824"/>
      <c r="DL34" s="824"/>
      <c r="DM34" s="825">
        <v>7.9</v>
      </c>
      <c r="DN34" s="825">
        <v>6.6</v>
      </c>
      <c r="DO34" s="825">
        <v>0</v>
      </c>
      <c r="DP34" s="825">
        <v>5.8</v>
      </c>
      <c r="DQ34" s="825">
        <v>0</v>
      </c>
      <c r="DR34" s="825">
        <v>0</v>
      </c>
      <c r="DS34" s="825">
        <v>0</v>
      </c>
      <c r="DT34" s="825">
        <v>0</v>
      </c>
      <c r="DU34" s="825">
        <v>0</v>
      </c>
      <c r="DV34" s="825">
        <v>0</v>
      </c>
      <c r="DW34" s="825">
        <v>0</v>
      </c>
      <c r="DX34" s="825">
        <v>0</v>
      </c>
      <c r="DY34" s="825">
        <v>0</v>
      </c>
      <c r="DZ34" s="825">
        <v>0</v>
      </c>
      <c r="EA34" s="825">
        <v>0</v>
      </c>
      <c r="EB34" s="825">
        <v>0</v>
      </c>
      <c r="EC34" s="825">
        <v>0</v>
      </c>
      <c r="ED34" s="825">
        <v>0</v>
      </c>
      <c r="EE34" s="825">
        <v>0</v>
      </c>
      <c r="EF34" s="825">
        <v>0</v>
      </c>
      <c r="EG34" s="825">
        <v>0</v>
      </c>
      <c r="EH34" s="825">
        <v>0</v>
      </c>
      <c r="EI34" s="825">
        <v>0</v>
      </c>
      <c r="EJ34" s="825">
        <v>0</v>
      </c>
      <c r="EK34" s="825">
        <v>0</v>
      </c>
      <c r="EL34" s="825">
        <v>0</v>
      </c>
      <c r="EM34" s="825">
        <v>0</v>
      </c>
      <c r="EN34" s="825">
        <v>0</v>
      </c>
      <c r="EO34" s="825">
        <v>0</v>
      </c>
      <c r="EP34" s="825">
        <v>0</v>
      </c>
      <c r="EQ34" s="825">
        <v>0</v>
      </c>
      <c r="ER34" s="825">
        <v>0</v>
      </c>
      <c r="ES34" s="825">
        <v>0</v>
      </c>
      <c r="ET34" s="825">
        <v>0</v>
      </c>
      <c r="EU34" s="825">
        <v>0</v>
      </c>
      <c r="EV34" s="825">
        <v>0</v>
      </c>
      <c r="EW34" s="825">
        <v>0</v>
      </c>
      <c r="EX34" s="825">
        <v>0</v>
      </c>
      <c r="EY34" s="825">
        <v>0</v>
      </c>
      <c r="EZ34" s="825">
        <v>0</v>
      </c>
      <c r="FA34" s="825">
        <v>0</v>
      </c>
      <c r="FB34" s="825">
        <v>0</v>
      </c>
      <c r="FC34" s="825">
        <v>0</v>
      </c>
      <c r="FD34" s="825">
        <v>0</v>
      </c>
      <c r="FE34" s="825">
        <v>0</v>
      </c>
      <c r="FF34" s="825">
        <v>0</v>
      </c>
      <c r="FG34" s="825">
        <v>0</v>
      </c>
      <c r="FH34" s="825">
        <v>0</v>
      </c>
      <c r="FI34" s="825">
        <v>0</v>
      </c>
      <c r="FJ34" s="825">
        <v>0</v>
      </c>
      <c r="FK34" s="825">
        <v>0</v>
      </c>
      <c r="FL34" s="825">
        <v>0</v>
      </c>
      <c r="FM34" s="825">
        <v>0</v>
      </c>
      <c r="FN34" s="825">
        <v>0</v>
      </c>
      <c r="FO34" s="825">
        <v>0</v>
      </c>
      <c r="FP34" s="825">
        <v>0</v>
      </c>
      <c r="FQ34" s="825">
        <v>0</v>
      </c>
      <c r="FR34" s="825">
        <v>0</v>
      </c>
      <c r="FS34" s="825">
        <v>0</v>
      </c>
      <c r="FT34" s="825">
        <v>0</v>
      </c>
      <c r="FU34" s="825">
        <v>0</v>
      </c>
      <c r="FV34" s="825">
        <v>0</v>
      </c>
      <c r="FW34" s="825">
        <v>0</v>
      </c>
      <c r="FX34" s="825">
        <v>0</v>
      </c>
      <c r="FY34" s="825">
        <v>0</v>
      </c>
      <c r="FZ34" s="825">
        <v>0</v>
      </c>
      <c r="GA34" s="825">
        <v>0</v>
      </c>
      <c r="GB34" s="825">
        <v>0</v>
      </c>
      <c r="GC34" s="825">
        <v>0</v>
      </c>
      <c r="GD34" s="825">
        <v>0</v>
      </c>
      <c r="GE34" s="825">
        <v>0</v>
      </c>
      <c r="GF34" s="825">
        <v>0</v>
      </c>
      <c r="GG34" s="825">
        <v>0</v>
      </c>
      <c r="GH34" s="825">
        <v>0</v>
      </c>
      <c r="GI34" s="825">
        <v>0</v>
      </c>
      <c r="GJ34" s="825">
        <v>0</v>
      </c>
      <c r="GK34" s="825">
        <v>0</v>
      </c>
      <c r="GL34" s="825">
        <v>0</v>
      </c>
      <c r="GM34" s="825">
        <v>0</v>
      </c>
      <c r="GN34" s="825">
        <v>0</v>
      </c>
      <c r="GO34" s="825">
        <v>0</v>
      </c>
      <c r="GP34" s="825">
        <v>0</v>
      </c>
      <c r="GQ34" s="825">
        <v>0</v>
      </c>
      <c r="GR34" s="825">
        <v>0</v>
      </c>
      <c r="GS34" s="825">
        <v>0</v>
      </c>
      <c r="GT34" s="825">
        <v>0</v>
      </c>
      <c r="GU34" s="825">
        <v>0</v>
      </c>
      <c r="GV34" s="825">
        <v>0</v>
      </c>
      <c r="GW34" s="825">
        <v>0</v>
      </c>
      <c r="GX34" s="825">
        <v>0</v>
      </c>
      <c r="GY34" s="825">
        <v>0</v>
      </c>
      <c r="GZ34" s="825">
        <v>0</v>
      </c>
      <c r="HA34" s="825">
        <v>0</v>
      </c>
      <c r="HB34" s="825">
        <v>0</v>
      </c>
      <c r="HC34" s="825">
        <v>0</v>
      </c>
      <c r="HD34" s="825">
        <v>0</v>
      </c>
      <c r="HE34" s="825">
        <v>0</v>
      </c>
      <c r="HF34" s="825">
        <v>0</v>
      </c>
      <c r="HG34" s="825">
        <v>0</v>
      </c>
      <c r="HH34" s="825">
        <v>0</v>
      </c>
      <c r="HI34" s="825">
        <v>0</v>
      </c>
      <c r="HJ34" s="825">
        <v>0</v>
      </c>
      <c r="HK34" s="825">
        <v>0</v>
      </c>
      <c r="HL34" s="825">
        <v>0</v>
      </c>
      <c r="HM34" s="825">
        <v>0</v>
      </c>
      <c r="HN34" s="825">
        <v>0</v>
      </c>
      <c r="HO34" s="825">
        <v>0</v>
      </c>
      <c r="HP34" s="825">
        <v>0</v>
      </c>
      <c r="HQ34" s="825">
        <v>0</v>
      </c>
      <c r="HR34" s="825">
        <v>0</v>
      </c>
      <c r="HS34" s="825">
        <v>0</v>
      </c>
      <c r="HT34" s="825">
        <v>0</v>
      </c>
      <c r="HU34" s="825">
        <v>0</v>
      </c>
    </row>
    <row r="35" spans="1:229" ht="51">
      <c r="A35" s="823" t="s">
        <v>515</v>
      </c>
      <c r="B35" s="823" t="s">
        <v>1117</v>
      </c>
      <c r="C35" s="823" t="s">
        <v>1168</v>
      </c>
      <c r="D35" s="824"/>
      <c r="E35" s="826" t="s">
        <v>1169</v>
      </c>
      <c r="F35" s="824" t="s">
        <v>1170</v>
      </c>
      <c r="G35" s="824"/>
      <c r="H35" s="824"/>
      <c r="I35" s="824"/>
      <c r="J35" s="824"/>
      <c r="K35" s="824"/>
      <c r="L35" s="824"/>
      <c r="M35" s="824"/>
      <c r="N35" s="824"/>
      <c r="O35" s="824"/>
      <c r="P35" s="824"/>
      <c r="Q35" s="824"/>
      <c r="R35" s="824"/>
      <c r="S35" s="824"/>
      <c r="T35" s="824"/>
      <c r="U35" s="824"/>
      <c r="V35" s="824"/>
      <c r="W35" s="824"/>
      <c r="X35" s="824"/>
      <c r="Y35" s="824"/>
      <c r="Z35" s="824"/>
      <c r="AA35" s="824"/>
      <c r="AB35" s="824"/>
      <c r="AC35" s="824"/>
      <c r="AD35" s="824"/>
      <c r="AE35" s="824"/>
      <c r="AF35" s="824"/>
      <c r="AG35" s="824"/>
      <c r="AH35" s="824"/>
      <c r="AI35" s="824"/>
      <c r="AJ35" s="824"/>
      <c r="AK35" s="824"/>
      <c r="AL35" s="824"/>
      <c r="AM35" s="824"/>
      <c r="AN35" s="824"/>
      <c r="AO35" s="824"/>
      <c r="AP35" s="824"/>
      <c r="AQ35" s="824"/>
      <c r="AR35" s="824"/>
      <c r="AS35" s="824"/>
      <c r="AT35" s="824"/>
      <c r="AU35" s="824"/>
      <c r="AV35" s="824"/>
      <c r="AW35" s="824"/>
      <c r="AX35" s="824"/>
      <c r="AY35" s="824"/>
      <c r="AZ35" s="824"/>
      <c r="BA35" s="824"/>
      <c r="BB35" s="824"/>
      <c r="BC35" s="824"/>
      <c r="BD35" s="824"/>
      <c r="BE35" s="824"/>
      <c r="BF35" s="824"/>
      <c r="BG35" s="824"/>
      <c r="BH35" s="824"/>
      <c r="BI35" s="824"/>
      <c r="BJ35" s="824"/>
      <c r="BK35" s="824"/>
      <c r="BL35" s="824"/>
      <c r="BM35" s="824"/>
      <c r="BN35" s="824"/>
      <c r="BO35" s="824"/>
      <c r="BP35" s="824"/>
      <c r="BQ35" s="824"/>
      <c r="BR35" s="824"/>
      <c r="BS35" s="824"/>
      <c r="BT35" s="824"/>
      <c r="BU35" s="824"/>
      <c r="BV35" s="824"/>
      <c r="BW35" s="824"/>
      <c r="BX35" s="824"/>
      <c r="BY35" s="824"/>
      <c r="BZ35" s="824"/>
      <c r="CA35" s="824"/>
      <c r="CB35" s="824"/>
      <c r="CC35" s="824"/>
      <c r="CD35" s="824"/>
      <c r="CE35" s="824"/>
      <c r="CF35" s="824"/>
      <c r="CG35" s="824"/>
      <c r="CH35" s="824"/>
      <c r="CI35" s="824"/>
      <c r="CJ35" s="824"/>
      <c r="CK35" s="824"/>
      <c r="CL35" s="824"/>
      <c r="CM35" s="824"/>
      <c r="CN35" s="824"/>
      <c r="CO35" s="824"/>
      <c r="CP35" s="824"/>
      <c r="CQ35" s="824"/>
      <c r="CR35" s="824"/>
      <c r="CS35" s="824"/>
      <c r="CT35" s="824"/>
      <c r="CU35" s="824"/>
      <c r="CV35" s="824"/>
      <c r="CW35" s="824"/>
      <c r="CX35" s="824"/>
      <c r="CY35" s="824"/>
      <c r="CZ35" s="824"/>
      <c r="DA35" s="824"/>
      <c r="DB35" s="824"/>
      <c r="DC35" s="824"/>
      <c r="DD35" s="824"/>
      <c r="DE35" s="824"/>
      <c r="DF35" s="824"/>
      <c r="DG35" s="824"/>
      <c r="DH35" s="824"/>
      <c r="DI35" s="824"/>
      <c r="DJ35" s="824"/>
      <c r="DK35" s="824"/>
      <c r="DL35" s="824"/>
      <c r="DM35" s="825">
        <v>0</v>
      </c>
      <c r="DN35" s="825">
        <v>12</v>
      </c>
      <c r="DO35" s="825">
        <v>11.4</v>
      </c>
      <c r="DP35" s="825">
        <v>0</v>
      </c>
      <c r="DQ35" s="825">
        <v>0</v>
      </c>
      <c r="DR35" s="825">
        <v>0</v>
      </c>
      <c r="DS35" s="825">
        <v>0</v>
      </c>
      <c r="DT35" s="825">
        <v>0</v>
      </c>
      <c r="DU35" s="825">
        <v>0</v>
      </c>
      <c r="DV35" s="825">
        <v>0</v>
      </c>
      <c r="DW35" s="825">
        <v>0</v>
      </c>
      <c r="DX35" s="825">
        <v>0</v>
      </c>
      <c r="DY35" s="825">
        <v>0</v>
      </c>
      <c r="DZ35" s="825">
        <v>0</v>
      </c>
      <c r="EA35" s="825">
        <v>0</v>
      </c>
      <c r="EB35" s="825">
        <v>0</v>
      </c>
      <c r="EC35" s="825">
        <v>0</v>
      </c>
      <c r="ED35" s="825">
        <v>0</v>
      </c>
      <c r="EE35" s="825">
        <v>0</v>
      </c>
      <c r="EF35" s="825">
        <v>0</v>
      </c>
      <c r="EG35" s="825">
        <v>0</v>
      </c>
      <c r="EH35" s="825">
        <v>0</v>
      </c>
      <c r="EI35" s="825">
        <v>0</v>
      </c>
      <c r="EJ35" s="825">
        <v>0</v>
      </c>
      <c r="EK35" s="825">
        <v>0</v>
      </c>
      <c r="EL35" s="825">
        <v>0</v>
      </c>
      <c r="EM35" s="825">
        <v>0</v>
      </c>
      <c r="EN35" s="825">
        <v>0</v>
      </c>
      <c r="EO35" s="825">
        <v>0</v>
      </c>
      <c r="EP35" s="825">
        <v>0</v>
      </c>
      <c r="EQ35" s="825">
        <v>0</v>
      </c>
      <c r="ER35" s="825">
        <v>0</v>
      </c>
      <c r="ES35" s="825">
        <v>0</v>
      </c>
      <c r="ET35" s="825">
        <v>0</v>
      </c>
      <c r="EU35" s="825">
        <v>0</v>
      </c>
      <c r="EV35" s="825">
        <v>0</v>
      </c>
      <c r="EW35" s="825">
        <v>0</v>
      </c>
      <c r="EX35" s="825">
        <v>0</v>
      </c>
      <c r="EY35" s="825">
        <v>0</v>
      </c>
      <c r="EZ35" s="825">
        <v>0</v>
      </c>
      <c r="FA35" s="825">
        <v>0</v>
      </c>
      <c r="FB35" s="825">
        <v>0</v>
      </c>
      <c r="FC35" s="825">
        <v>0</v>
      </c>
      <c r="FD35" s="825">
        <v>0</v>
      </c>
      <c r="FE35" s="825">
        <v>0</v>
      </c>
      <c r="FF35" s="825">
        <v>0</v>
      </c>
      <c r="FG35" s="825">
        <v>0</v>
      </c>
      <c r="FH35" s="825">
        <v>0</v>
      </c>
      <c r="FI35" s="825">
        <v>0</v>
      </c>
      <c r="FJ35" s="825">
        <v>0</v>
      </c>
      <c r="FK35" s="825">
        <v>0</v>
      </c>
      <c r="FL35" s="825">
        <v>0</v>
      </c>
      <c r="FM35" s="825">
        <v>0</v>
      </c>
      <c r="FN35" s="825">
        <v>0</v>
      </c>
      <c r="FO35" s="825">
        <v>0</v>
      </c>
      <c r="FP35" s="825">
        <v>0</v>
      </c>
      <c r="FQ35" s="825">
        <v>0</v>
      </c>
      <c r="FR35" s="825">
        <v>0</v>
      </c>
      <c r="FS35" s="825">
        <v>0</v>
      </c>
      <c r="FT35" s="825">
        <v>0</v>
      </c>
      <c r="FU35" s="825">
        <v>0</v>
      </c>
      <c r="FV35" s="825">
        <v>0</v>
      </c>
      <c r="FW35" s="825">
        <v>0</v>
      </c>
      <c r="FX35" s="825">
        <v>0</v>
      </c>
      <c r="FY35" s="825">
        <v>0</v>
      </c>
      <c r="FZ35" s="825">
        <v>0</v>
      </c>
      <c r="GA35" s="825">
        <v>0</v>
      </c>
      <c r="GB35" s="825">
        <v>0</v>
      </c>
      <c r="GC35" s="825">
        <v>0</v>
      </c>
      <c r="GD35" s="825">
        <v>0</v>
      </c>
      <c r="GE35" s="825">
        <v>0</v>
      </c>
      <c r="GF35" s="825">
        <v>0</v>
      </c>
      <c r="GG35" s="825">
        <v>0</v>
      </c>
      <c r="GH35" s="825">
        <v>0</v>
      </c>
      <c r="GI35" s="825">
        <v>0</v>
      </c>
      <c r="GJ35" s="825">
        <v>0</v>
      </c>
      <c r="GK35" s="825">
        <v>0</v>
      </c>
      <c r="GL35" s="825">
        <v>0</v>
      </c>
      <c r="GM35" s="825">
        <v>0</v>
      </c>
      <c r="GN35" s="825">
        <v>0</v>
      </c>
      <c r="GO35" s="825">
        <v>0</v>
      </c>
      <c r="GP35" s="825">
        <v>0</v>
      </c>
      <c r="GQ35" s="825">
        <v>0</v>
      </c>
      <c r="GR35" s="825">
        <v>0</v>
      </c>
      <c r="GS35" s="825">
        <v>0</v>
      </c>
      <c r="GT35" s="825">
        <v>0</v>
      </c>
      <c r="GU35" s="825">
        <v>0</v>
      </c>
      <c r="GV35" s="825">
        <v>0</v>
      </c>
      <c r="GW35" s="825">
        <v>0</v>
      </c>
      <c r="GX35" s="825">
        <v>0</v>
      </c>
      <c r="GY35" s="825">
        <v>0</v>
      </c>
      <c r="GZ35" s="825">
        <v>0</v>
      </c>
      <c r="HA35" s="825">
        <v>0</v>
      </c>
      <c r="HB35" s="825">
        <v>0</v>
      </c>
      <c r="HC35" s="825">
        <v>0</v>
      </c>
      <c r="HD35" s="825">
        <v>0</v>
      </c>
      <c r="HE35" s="825">
        <v>0</v>
      </c>
      <c r="HF35" s="825">
        <v>0</v>
      </c>
      <c r="HG35" s="825">
        <v>0</v>
      </c>
      <c r="HH35" s="825">
        <v>0</v>
      </c>
      <c r="HI35" s="825">
        <v>0</v>
      </c>
      <c r="HJ35" s="825">
        <v>0</v>
      </c>
      <c r="HK35" s="825">
        <v>0</v>
      </c>
      <c r="HL35" s="825">
        <v>0</v>
      </c>
      <c r="HM35" s="825">
        <v>0</v>
      </c>
      <c r="HN35" s="825">
        <v>0</v>
      </c>
      <c r="HO35" s="825">
        <v>0</v>
      </c>
      <c r="HP35" s="825">
        <v>0</v>
      </c>
      <c r="HQ35" s="825">
        <v>0</v>
      </c>
      <c r="HR35" s="825">
        <v>0</v>
      </c>
      <c r="HS35" s="825">
        <v>0</v>
      </c>
      <c r="HT35" s="825">
        <v>0</v>
      </c>
      <c r="HU35" s="825">
        <v>0</v>
      </c>
    </row>
    <row r="36" spans="1:229" ht="216.75">
      <c r="A36" s="823" t="s">
        <v>515</v>
      </c>
      <c r="B36" s="823" t="s">
        <v>1117</v>
      </c>
      <c r="C36" s="823" t="s">
        <v>1171</v>
      </c>
      <c r="D36" s="826" t="s">
        <v>1172</v>
      </c>
      <c r="E36" s="824"/>
      <c r="F36" s="824"/>
      <c r="G36" s="824"/>
      <c r="H36" s="824"/>
      <c r="I36" s="824"/>
      <c r="J36" s="824"/>
      <c r="K36" s="824"/>
      <c r="L36" s="824"/>
      <c r="M36" s="824"/>
      <c r="N36" s="824"/>
      <c r="O36" s="824"/>
      <c r="P36" s="824"/>
      <c r="Q36" s="824"/>
      <c r="R36" s="824"/>
      <c r="S36" s="824"/>
      <c r="T36" s="824"/>
      <c r="U36" s="824"/>
      <c r="V36" s="824"/>
      <c r="W36" s="824"/>
      <c r="X36" s="824"/>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c r="BC36" s="824"/>
      <c r="BD36" s="824"/>
      <c r="BE36" s="824"/>
      <c r="BF36" s="824"/>
      <c r="BG36" s="824"/>
      <c r="BH36" s="824"/>
      <c r="BI36" s="824"/>
      <c r="BJ36" s="824"/>
      <c r="BK36" s="824"/>
      <c r="BL36" s="824"/>
      <c r="BM36" s="824"/>
      <c r="BN36" s="824"/>
      <c r="BO36" s="824"/>
      <c r="BP36" s="824"/>
      <c r="BQ36" s="824"/>
      <c r="BR36" s="824"/>
      <c r="BS36" s="824"/>
      <c r="BT36" s="824"/>
      <c r="BU36" s="824"/>
      <c r="BV36" s="824"/>
      <c r="BW36" s="824"/>
      <c r="BX36" s="824"/>
      <c r="BY36" s="824"/>
      <c r="BZ36" s="824"/>
      <c r="CA36" s="824"/>
      <c r="CB36" s="824"/>
      <c r="CC36" s="824"/>
      <c r="CD36" s="824"/>
      <c r="CE36" s="824"/>
      <c r="CF36" s="824"/>
      <c r="CG36" s="824"/>
      <c r="CH36" s="824"/>
      <c r="CI36" s="824"/>
      <c r="CJ36" s="824"/>
      <c r="CK36" s="824"/>
      <c r="CL36" s="824"/>
      <c r="CM36" s="824"/>
      <c r="CN36" s="824"/>
      <c r="CO36" s="824"/>
      <c r="CP36" s="824"/>
      <c r="CQ36" s="824"/>
      <c r="CR36" s="824"/>
      <c r="CS36" s="824"/>
      <c r="CT36" s="824"/>
      <c r="CU36" s="824"/>
      <c r="CV36" s="824"/>
      <c r="CW36" s="824"/>
      <c r="CX36" s="824"/>
      <c r="CY36" s="824"/>
      <c r="CZ36" s="824"/>
      <c r="DA36" s="824"/>
      <c r="DB36" s="824"/>
      <c r="DC36" s="824"/>
      <c r="DD36" s="824"/>
      <c r="DE36" s="824"/>
      <c r="DF36" s="824"/>
      <c r="DG36" s="824"/>
      <c r="DH36" s="824"/>
      <c r="DI36" s="824"/>
      <c r="DJ36" s="824"/>
      <c r="DK36" s="824"/>
      <c r="DL36" s="824"/>
      <c r="DM36" s="825">
        <v>11.1</v>
      </c>
      <c r="DN36" s="825">
        <v>0</v>
      </c>
      <c r="DO36" s="825">
        <v>0</v>
      </c>
      <c r="DP36" s="825">
        <v>0</v>
      </c>
      <c r="DQ36" s="825">
        <v>0</v>
      </c>
      <c r="DR36" s="825">
        <v>0</v>
      </c>
      <c r="DS36" s="825">
        <v>0</v>
      </c>
      <c r="DT36" s="825">
        <v>0</v>
      </c>
      <c r="DU36" s="825">
        <v>0</v>
      </c>
      <c r="DV36" s="825">
        <v>0</v>
      </c>
      <c r="DW36" s="825">
        <v>0</v>
      </c>
      <c r="DX36" s="825">
        <v>0</v>
      </c>
      <c r="DY36" s="825">
        <v>0</v>
      </c>
      <c r="DZ36" s="825">
        <v>0</v>
      </c>
      <c r="EA36" s="825">
        <v>0</v>
      </c>
      <c r="EB36" s="825">
        <v>0</v>
      </c>
      <c r="EC36" s="825">
        <v>0</v>
      </c>
      <c r="ED36" s="825">
        <v>0</v>
      </c>
      <c r="EE36" s="825">
        <v>0</v>
      </c>
      <c r="EF36" s="825">
        <v>0</v>
      </c>
      <c r="EG36" s="825">
        <v>0</v>
      </c>
      <c r="EH36" s="825">
        <v>0</v>
      </c>
      <c r="EI36" s="825">
        <v>0</v>
      </c>
      <c r="EJ36" s="825">
        <v>0</v>
      </c>
      <c r="EK36" s="825">
        <v>0</v>
      </c>
      <c r="EL36" s="825">
        <v>0</v>
      </c>
      <c r="EM36" s="825">
        <v>0</v>
      </c>
      <c r="EN36" s="825">
        <v>0</v>
      </c>
      <c r="EO36" s="825">
        <v>0</v>
      </c>
      <c r="EP36" s="825">
        <v>0</v>
      </c>
      <c r="EQ36" s="825">
        <v>0</v>
      </c>
      <c r="ER36" s="825">
        <v>0</v>
      </c>
      <c r="ES36" s="825">
        <v>0</v>
      </c>
      <c r="ET36" s="825">
        <v>0</v>
      </c>
      <c r="EU36" s="825">
        <v>0</v>
      </c>
      <c r="EV36" s="825">
        <v>0</v>
      </c>
      <c r="EW36" s="825">
        <v>0</v>
      </c>
      <c r="EX36" s="825">
        <v>0</v>
      </c>
      <c r="EY36" s="825">
        <v>0</v>
      </c>
      <c r="EZ36" s="825">
        <v>0</v>
      </c>
      <c r="FA36" s="825">
        <v>0</v>
      </c>
      <c r="FB36" s="825">
        <v>0</v>
      </c>
      <c r="FC36" s="825">
        <v>0</v>
      </c>
      <c r="FD36" s="825">
        <v>0</v>
      </c>
      <c r="FE36" s="825">
        <v>0</v>
      </c>
      <c r="FF36" s="825">
        <v>0</v>
      </c>
      <c r="FG36" s="825">
        <v>0</v>
      </c>
      <c r="FH36" s="825">
        <v>0</v>
      </c>
      <c r="FI36" s="825">
        <v>0</v>
      </c>
      <c r="FJ36" s="825">
        <v>0</v>
      </c>
      <c r="FK36" s="825">
        <v>0</v>
      </c>
      <c r="FL36" s="825">
        <v>0</v>
      </c>
      <c r="FM36" s="825">
        <v>0</v>
      </c>
      <c r="FN36" s="825">
        <v>0</v>
      </c>
      <c r="FO36" s="825">
        <v>0</v>
      </c>
      <c r="FP36" s="825">
        <v>0</v>
      </c>
      <c r="FQ36" s="825">
        <v>0</v>
      </c>
      <c r="FR36" s="825">
        <v>0</v>
      </c>
      <c r="FS36" s="825">
        <v>0</v>
      </c>
      <c r="FT36" s="825">
        <v>0</v>
      </c>
      <c r="FU36" s="825">
        <v>0</v>
      </c>
      <c r="FV36" s="825">
        <v>0</v>
      </c>
      <c r="FW36" s="825">
        <v>0</v>
      </c>
      <c r="FX36" s="825">
        <v>0</v>
      </c>
      <c r="FY36" s="825">
        <v>0</v>
      </c>
      <c r="FZ36" s="825">
        <v>0</v>
      </c>
      <c r="GA36" s="825">
        <v>0</v>
      </c>
      <c r="GB36" s="825">
        <v>0</v>
      </c>
      <c r="GC36" s="825">
        <v>0</v>
      </c>
      <c r="GD36" s="825">
        <v>0</v>
      </c>
      <c r="GE36" s="825">
        <v>0</v>
      </c>
      <c r="GF36" s="825">
        <v>0</v>
      </c>
      <c r="GG36" s="825">
        <v>0</v>
      </c>
      <c r="GH36" s="825">
        <v>0</v>
      </c>
      <c r="GI36" s="825">
        <v>0</v>
      </c>
      <c r="GJ36" s="825">
        <v>0</v>
      </c>
      <c r="GK36" s="825">
        <v>0</v>
      </c>
      <c r="GL36" s="825">
        <v>0</v>
      </c>
      <c r="GM36" s="825">
        <v>0</v>
      </c>
      <c r="GN36" s="825">
        <v>0</v>
      </c>
      <c r="GO36" s="825">
        <v>0</v>
      </c>
      <c r="GP36" s="825">
        <v>0</v>
      </c>
      <c r="GQ36" s="825">
        <v>0</v>
      </c>
      <c r="GR36" s="825">
        <v>0</v>
      </c>
      <c r="GS36" s="825">
        <v>0</v>
      </c>
      <c r="GT36" s="825">
        <v>0</v>
      </c>
      <c r="GU36" s="825">
        <v>0</v>
      </c>
      <c r="GV36" s="825">
        <v>0</v>
      </c>
      <c r="GW36" s="825">
        <v>0</v>
      </c>
      <c r="GX36" s="825">
        <v>0</v>
      </c>
      <c r="GY36" s="825">
        <v>0</v>
      </c>
      <c r="GZ36" s="825">
        <v>0</v>
      </c>
      <c r="HA36" s="825">
        <v>0</v>
      </c>
      <c r="HB36" s="825">
        <v>0</v>
      </c>
      <c r="HC36" s="825">
        <v>0</v>
      </c>
      <c r="HD36" s="825">
        <v>0</v>
      </c>
      <c r="HE36" s="825">
        <v>0</v>
      </c>
      <c r="HF36" s="825">
        <v>0</v>
      </c>
      <c r="HG36" s="825">
        <v>0</v>
      </c>
      <c r="HH36" s="825">
        <v>0</v>
      </c>
      <c r="HI36" s="825">
        <v>0</v>
      </c>
      <c r="HJ36" s="825">
        <v>0</v>
      </c>
      <c r="HK36" s="825">
        <v>0</v>
      </c>
      <c r="HL36" s="825">
        <v>0</v>
      </c>
      <c r="HM36" s="825">
        <v>0</v>
      </c>
      <c r="HN36" s="825">
        <v>0</v>
      </c>
      <c r="HO36" s="825">
        <v>0</v>
      </c>
      <c r="HP36" s="825">
        <v>0</v>
      </c>
      <c r="HQ36" s="825">
        <v>0</v>
      </c>
      <c r="HR36" s="825">
        <v>0</v>
      </c>
      <c r="HS36" s="825">
        <v>0</v>
      </c>
      <c r="HT36" s="825">
        <v>0</v>
      </c>
      <c r="HU36" s="825">
        <v>0</v>
      </c>
    </row>
    <row r="37" spans="1:229" ht="63.75">
      <c r="A37" s="823" t="s">
        <v>515</v>
      </c>
      <c r="B37" s="823" t="s">
        <v>1173</v>
      </c>
      <c r="C37" s="823" t="s">
        <v>1174</v>
      </c>
      <c r="D37" s="826" t="s">
        <v>1175</v>
      </c>
      <c r="E37" s="824" t="s">
        <v>1176</v>
      </c>
      <c r="F37" s="824"/>
      <c r="G37" s="824" t="s">
        <v>1177</v>
      </c>
      <c r="H37" s="824"/>
      <c r="I37" s="824"/>
      <c r="J37" s="824"/>
      <c r="K37" s="824"/>
      <c r="L37" s="824"/>
      <c r="M37" s="824"/>
      <c r="N37" s="824"/>
      <c r="O37" s="824"/>
      <c r="P37" s="824"/>
      <c r="Q37" s="824"/>
      <c r="R37" s="824"/>
      <c r="S37" s="824"/>
      <c r="T37" s="824"/>
      <c r="U37" s="824"/>
      <c r="V37" s="824"/>
      <c r="W37" s="824"/>
      <c r="X37" s="824"/>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c r="BC37" s="824"/>
      <c r="BD37" s="824"/>
      <c r="BE37" s="824"/>
      <c r="BF37" s="824"/>
      <c r="BG37" s="824"/>
      <c r="BH37" s="824"/>
      <c r="BI37" s="824"/>
      <c r="BJ37" s="824"/>
      <c r="BK37" s="824"/>
      <c r="BL37" s="824"/>
      <c r="BM37" s="824"/>
      <c r="BN37" s="824"/>
      <c r="BO37" s="824"/>
      <c r="BP37" s="824"/>
      <c r="BQ37" s="824"/>
      <c r="BR37" s="824"/>
      <c r="BS37" s="824"/>
      <c r="BT37" s="824"/>
      <c r="BU37" s="824"/>
      <c r="BV37" s="824"/>
      <c r="BW37" s="824"/>
      <c r="BX37" s="824"/>
      <c r="BY37" s="824"/>
      <c r="BZ37" s="824"/>
      <c r="CA37" s="824"/>
      <c r="CB37" s="824"/>
      <c r="CC37" s="824"/>
      <c r="CD37" s="824"/>
      <c r="CE37" s="824"/>
      <c r="CF37" s="824"/>
      <c r="CG37" s="824"/>
      <c r="CH37" s="824"/>
      <c r="CI37" s="824"/>
      <c r="CJ37" s="824"/>
      <c r="CK37" s="824"/>
      <c r="CL37" s="824"/>
      <c r="CM37" s="824"/>
      <c r="CN37" s="824"/>
      <c r="CO37" s="824"/>
      <c r="CP37" s="824"/>
      <c r="CQ37" s="824"/>
      <c r="CR37" s="824"/>
      <c r="CS37" s="824"/>
      <c r="CT37" s="824"/>
      <c r="CU37" s="824"/>
      <c r="CV37" s="824"/>
      <c r="CW37" s="824"/>
      <c r="CX37" s="824"/>
      <c r="CY37" s="824"/>
      <c r="CZ37" s="824"/>
      <c r="DA37" s="824"/>
      <c r="DB37" s="824"/>
      <c r="DC37" s="824"/>
      <c r="DD37" s="824"/>
      <c r="DE37" s="824"/>
      <c r="DF37" s="824"/>
      <c r="DG37" s="824"/>
      <c r="DH37" s="824"/>
      <c r="DI37" s="824"/>
      <c r="DJ37" s="824"/>
      <c r="DK37" s="824"/>
      <c r="DL37" s="824"/>
      <c r="DM37" s="825">
        <v>6.7</v>
      </c>
      <c r="DN37" s="825">
        <v>13.7</v>
      </c>
      <c r="DO37" s="825">
        <v>0</v>
      </c>
      <c r="DP37" s="825">
        <v>1.2</v>
      </c>
      <c r="DQ37" s="825">
        <v>0</v>
      </c>
      <c r="DR37" s="825">
        <v>0</v>
      </c>
      <c r="DS37" s="825">
        <v>0</v>
      </c>
      <c r="DT37" s="825">
        <v>0</v>
      </c>
      <c r="DU37" s="825">
        <v>0</v>
      </c>
      <c r="DV37" s="825">
        <v>0</v>
      </c>
      <c r="DW37" s="825">
        <v>0</v>
      </c>
      <c r="DX37" s="825">
        <v>0</v>
      </c>
      <c r="DY37" s="825">
        <v>0</v>
      </c>
      <c r="DZ37" s="825">
        <v>0</v>
      </c>
      <c r="EA37" s="825">
        <v>0</v>
      </c>
      <c r="EB37" s="825">
        <v>0</v>
      </c>
      <c r="EC37" s="825">
        <v>0</v>
      </c>
      <c r="ED37" s="825">
        <v>0</v>
      </c>
      <c r="EE37" s="825">
        <v>0</v>
      </c>
      <c r="EF37" s="825">
        <v>0</v>
      </c>
      <c r="EG37" s="825">
        <v>0</v>
      </c>
      <c r="EH37" s="825">
        <v>0</v>
      </c>
      <c r="EI37" s="825">
        <v>0</v>
      </c>
      <c r="EJ37" s="825">
        <v>0</v>
      </c>
      <c r="EK37" s="825">
        <v>0</v>
      </c>
      <c r="EL37" s="825">
        <v>0</v>
      </c>
      <c r="EM37" s="825">
        <v>0</v>
      </c>
      <c r="EN37" s="825">
        <v>0</v>
      </c>
      <c r="EO37" s="825">
        <v>0</v>
      </c>
      <c r="EP37" s="825">
        <v>0</v>
      </c>
      <c r="EQ37" s="825">
        <v>0</v>
      </c>
      <c r="ER37" s="825">
        <v>0</v>
      </c>
      <c r="ES37" s="825">
        <v>0</v>
      </c>
      <c r="ET37" s="825">
        <v>0</v>
      </c>
      <c r="EU37" s="825">
        <v>0</v>
      </c>
      <c r="EV37" s="825">
        <v>0</v>
      </c>
      <c r="EW37" s="825">
        <v>0</v>
      </c>
      <c r="EX37" s="825">
        <v>0</v>
      </c>
      <c r="EY37" s="825">
        <v>0</v>
      </c>
      <c r="EZ37" s="825">
        <v>0</v>
      </c>
      <c r="FA37" s="825">
        <v>0</v>
      </c>
      <c r="FB37" s="825">
        <v>0</v>
      </c>
      <c r="FC37" s="825">
        <v>0</v>
      </c>
      <c r="FD37" s="825">
        <v>0</v>
      </c>
      <c r="FE37" s="825">
        <v>0</v>
      </c>
      <c r="FF37" s="825">
        <v>0</v>
      </c>
      <c r="FG37" s="825">
        <v>0</v>
      </c>
      <c r="FH37" s="825">
        <v>0</v>
      </c>
      <c r="FI37" s="825">
        <v>0</v>
      </c>
      <c r="FJ37" s="825">
        <v>0</v>
      </c>
      <c r="FK37" s="825">
        <v>0</v>
      </c>
      <c r="FL37" s="825">
        <v>0</v>
      </c>
      <c r="FM37" s="825">
        <v>0</v>
      </c>
      <c r="FN37" s="825">
        <v>0</v>
      </c>
      <c r="FO37" s="825">
        <v>0</v>
      </c>
      <c r="FP37" s="825">
        <v>0</v>
      </c>
      <c r="FQ37" s="825">
        <v>0</v>
      </c>
      <c r="FR37" s="825">
        <v>0</v>
      </c>
      <c r="FS37" s="825">
        <v>0</v>
      </c>
      <c r="FT37" s="825">
        <v>0</v>
      </c>
      <c r="FU37" s="825">
        <v>0</v>
      </c>
      <c r="FV37" s="825">
        <v>0</v>
      </c>
      <c r="FW37" s="825">
        <v>0</v>
      </c>
      <c r="FX37" s="825">
        <v>0</v>
      </c>
      <c r="FY37" s="825">
        <v>0</v>
      </c>
      <c r="FZ37" s="825">
        <v>0</v>
      </c>
      <c r="GA37" s="825">
        <v>0</v>
      </c>
      <c r="GB37" s="825">
        <v>0</v>
      </c>
      <c r="GC37" s="825">
        <v>0</v>
      </c>
      <c r="GD37" s="825">
        <v>0</v>
      </c>
      <c r="GE37" s="825">
        <v>0</v>
      </c>
      <c r="GF37" s="825">
        <v>0</v>
      </c>
      <c r="GG37" s="825">
        <v>0</v>
      </c>
      <c r="GH37" s="825">
        <v>0</v>
      </c>
      <c r="GI37" s="825">
        <v>0</v>
      </c>
      <c r="GJ37" s="825">
        <v>0</v>
      </c>
      <c r="GK37" s="825">
        <v>0</v>
      </c>
      <c r="GL37" s="825">
        <v>0</v>
      </c>
      <c r="GM37" s="825">
        <v>0</v>
      </c>
      <c r="GN37" s="825">
        <v>0</v>
      </c>
      <c r="GO37" s="825">
        <v>0</v>
      </c>
      <c r="GP37" s="825">
        <v>0</v>
      </c>
      <c r="GQ37" s="825">
        <v>0</v>
      </c>
      <c r="GR37" s="825">
        <v>0</v>
      </c>
      <c r="GS37" s="825">
        <v>0</v>
      </c>
      <c r="GT37" s="825">
        <v>0</v>
      </c>
      <c r="GU37" s="825">
        <v>0</v>
      </c>
      <c r="GV37" s="825">
        <v>0</v>
      </c>
      <c r="GW37" s="825">
        <v>0</v>
      </c>
      <c r="GX37" s="825">
        <v>0</v>
      </c>
      <c r="GY37" s="825">
        <v>0</v>
      </c>
      <c r="GZ37" s="825">
        <v>0</v>
      </c>
      <c r="HA37" s="825">
        <v>0</v>
      </c>
      <c r="HB37" s="825">
        <v>0</v>
      </c>
      <c r="HC37" s="825">
        <v>0</v>
      </c>
      <c r="HD37" s="825">
        <v>0</v>
      </c>
      <c r="HE37" s="825">
        <v>0</v>
      </c>
      <c r="HF37" s="825">
        <v>0</v>
      </c>
      <c r="HG37" s="825">
        <v>0</v>
      </c>
      <c r="HH37" s="825">
        <v>0</v>
      </c>
      <c r="HI37" s="825">
        <v>0</v>
      </c>
      <c r="HJ37" s="825">
        <v>0</v>
      </c>
      <c r="HK37" s="825">
        <v>0</v>
      </c>
      <c r="HL37" s="825">
        <v>0</v>
      </c>
      <c r="HM37" s="825">
        <v>0</v>
      </c>
      <c r="HN37" s="825">
        <v>0</v>
      </c>
      <c r="HO37" s="825">
        <v>0</v>
      </c>
      <c r="HP37" s="825">
        <v>0</v>
      </c>
      <c r="HQ37" s="825">
        <v>0</v>
      </c>
      <c r="HR37" s="825">
        <v>0</v>
      </c>
      <c r="HS37" s="825">
        <v>0</v>
      </c>
      <c r="HT37" s="825">
        <v>0</v>
      </c>
      <c r="HU37" s="825">
        <v>0</v>
      </c>
    </row>
    <row r="38" spans="1:229" ht="102">
      <c r="A38" s="823" t="s">
        <v>515</v>
      </c>
      <c r="B38" s="823" t="s">
        <v>1178</v>
      </c>
      <c r="C38" s="823" t="s">
        <v>1179</v>
      </c>
      <c r="D38" s="826" t="s">
        <v>1180</v>
      </c>
      <c r="E38" s="824" t="s">
        <v>1181</v>
      </c>
      <c r="F38" s="826" t="s">
        <v>1182</v>
      </c>
      <c r="G38" s="824"/>
      <c r="H38" s="824"/>
      <c r="I38" s="824"/>
      <c r="J38" s="824"/>
      <c r="K38" s="824"/>
      <c r="L38" s="824"/>
      <c r="M38" s="824"/>
      <c r="N38" s="824"/>
      <c r="O38" s="824"/>
      <c r="P38" s="824"/>
      <c r="Q38" s="824"/>
      <c r="R38" s="824"/>
      <c r="S38" s="824"/>
      <c r="T38" s="824"/>
      <c r="U38" s="824"/>
      <c r="V38" s="824"/>
      <c r="W38" s="824"/>
      <c r="X38" s="824"/>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c r="BC38" s="824"/>
      <c r="BD38" s="824"/>
      <c r="BE38" s="824"/>
      <c r="BF38" s="824"/>
      <c r="BG38" s="824"/>
      <c r="BH38" s="824"/>
      <c r="BI38" s="824"/>
      <c r="BJ38" s="824"/>
      <c r="BK38" s="824"/>
      <c r="BL38" s="824"/>
      <c r="BM38" s="824"/>
      <c r="BN38" s="824"/>
      <c r="BO38" s="824"/>
      <c r="BP38" s="824"/>
      <c r="BQ38" s="824"/>
      <c r="BR38" s="824"/>
      <c r="BS38" s="824"/>
      <c r="BT38" s="824"/>
      <c r="BU38" s="824"/>
      <c r="BV38" s="824"/>
      <c r="BW38" s="824"/>
      <c r="BX38" s="824"/>
      <c r="BY38" s="824"/>
      <c r="BZ38" s="824"/>
      <c r="CA38" s="824"/>
      <c r="CB38" s="824"/>
      <c r="CC38" s="824"/>
      <c r="CD38" s="824"/>
      <c r="CE38" s="824"/>
      <c r="CF38" s="824"/>
      <c r="CG38" s="824"/>
      <c r="CH38" s="824"/>
      <c r="CI38" s="824"/>
      <c r="CJ38" s="824"/>
      <c r="CK38" s="824"/>
      <c r="CL38" s="824"/>
      <c r="CM38" s="824"/>
      <c r="CN38" s="824"/>
      <c r="CO38" s="824"/>
      <c r="CP38" s="824"/>
      <c r="CQ38" s="824"/>
      <c r="CR38" s="824"/>
      <c r="CS38" s="824"/>
      <c r="CT38" s="824"/>
      <c r="CU38" s="824"/>
      <c r="CV38" s="824"/>
      <c r="CW38" s="824"/>
      <c r="CX38" s="824"/>
      <c r="CY38" s="824"/>
      <c r="CZ38" s="824"/>
      <c r="DA38" s="824"/>
      <c r="DB38" s="824"/>
      <c r="DC38" s="824"/>
      <c r="DD38" s="824"/>
      <c r="DE38" s="824"/>
      <c r="DF38" s="824"/>
      <c r="DG38" s="824"/>
      <c r="DH38" s="824"/>
      <c r="DI38" s="824"/>
      <c r="DJ38" s="824"/>
      <c r="DK38" s="824"/>
      <c r="DL38" s="824"/>
      <c r="DM38" s="825">
        <v>8.3000000000000007</v>
      </c>
      <c r="DN38" s="825">
        <v>7.9</v>
      </c>
      <c r="DO38" s="825">
        <v>9</v>
      </c>
      <c r="DP38" s="825">
        <v>0</v>
      </c>
      <c r="DQ38" s="825">
        <v>0</v>
      </c>
      <c r="DR38" s="825">
        <v>0</v>
      </c>
      <c r="DS38" s="825">
        <v>0</v>
      </c>
      <c r="DT38" s="825">
        <v>0</v>
      </c>
      <c r="DU38" s="825">
        <v>0</v>
      </c>
      <c r="DV38" s="825">
        <v>0</v>
      </c>
      <c r="DW38" s="825">
        <v>0</v>
      </c>
      <c r="DX38" s="825">
        <v>0</v>
      </c>
      <c r="DY38" s="825">
        <v>0</v>
      </c>
      <c r="DZ38" s="825">
        <v>0</v>
      </c>
      <c r="EA38" s="825">
        <v>0</v>
      </c>
      <c r="EB38" s="825">
        <v>0</v>
      </c>
      <c r="EC38" s="825">
        <v>0</v>
      </c>
      <c r="ED38" s="825">
        <v>0</v>
      </c>
      <c r="EE38" s="825">
        <v>0</v>
      </c>
      <c r="EF38" s="825">
        <v>0</v>
      </c>
      <c r="EG38" s="825">
        <v>0</v>
      </c>
      <c r="EH38" s="825">
        <v>0</v>
      </c>
      <c r="EI38" s="825">
        <v>0</v>
      </c>
      <c r="EJ38" s="825">
        <v>0</v>
      </c>
      <c r="EK38" s="825">
        <v>0</v>
      </c>
      <c r="EL38" s="825">
        <v>0</v>
      </c>
      <c r="EM38" s="825">
        <v>0</v>
      </c>
      <c r="EN38" s="825">
        <v>0</v>
      </c>
      <c r="EO38" s="825">
        <v>0</v>
      </c>
      <c r="EP38" s="825">
        <v>0</v>
      </c>
      <c r="EQ38" s="825">
        <v>0</v>
      </c>
      <c r="ER38" s="825">
        <v>0</v>
      </c>
      <c r="ES38" s="825">
        <v>0</v>
      </c>
      <c r="ET38" s="825">
        <v>0</v>
      </c>
      <c r="EU38" s="825">
        <v>0</v>
      </c>
      <c r="EV38" s="825">
        <v>0</v>
      </c>
      <c r="EW38" s="825">
        <v>0</v>
      </c>
      <c r="EX38" s="825">
        <v>0</v>
      </c>
      <c r="EY38" s="825">
        <v>0</v>
      </c>
      <c r="EZ38" s="825">
        <v>0</v>
      </c>
      <c r="FA38" s="825">
        <v>0</v>
      </c>
      <c r="FB38" s="825">
        <v>0</v>
      </c>
      <c r="FC38" s="825">
        <v>0</v>
      </c>
      <c r="FD38" s="825">
        <v>0</v>
      </c>
      <c r="FE38" s="825">
        <v>0</v>
      </c>
      <c r="FF38" s="825">
        <v>0</v>
      </c>
      <c r="FG38" s="825">
        <v>0</v>
      </c>
      <c r="FH38" s="825">
        <v>0</v>
      </c>
      <c r="FI38" s="825">
        <v>0</v>
      </c>
      <c r="FJ38" s="825">
        <v>0</v>
      </c>
      <c r="FK38" s="825">
        <v>0</v>
      </c>
      <c r="FL38" s="825">
        <v>0</v>
      </c>
      <c r="FM38" s="825">
        <v>0</v>
      </c>
      <c r="FN38" s="825">
        <v>0</v>
      </c>
      <c r="FO38" s="825">
        <v>0</v>
      </c>
      <c r="FP38" s="825">
        <v>0</v>
      </c>
      <c r="FQ38" s="825">
        <v>0</v>
      </c>
      <c r="FR38" s="825">
        <v>0</v>
      </c>
      <c r="FS38" s="825">
        <v>0</v>
      </c>
      <c r="FT38" s="825">
        <v>0</v>
      </c>
      <c r="FU38" s="825">
        <v>0</v>
      </c>
      <c r="FV38" s="825">
        <v>0</v>
      </c>
      <c r="FW38" s="825">
        <v>0</v>
      </c>
      <c r="FX38" s="825">
        <v>0</v>
      </c>
      <c r="FY38" s="825">
        <v>0</v>
      </c>
      <c r="FZ38" s="825">
        <v>0</v>
      </c>
      <c r="GA38" s="825">
        <v>0</v>
      </c>
      <c r="GB38" s="825">
        <v>0</v>
      </c>
      <c r="GC38" s="825">
        <v>0</v>
      </c>
      <c r="GD38" s="825">
        <v>0</v>
      </c>
      <c r="GE38" s="825">
        <v>0</v>
      </c>
      <c r="GF38" s="825">
        <v>0</v>
      </c>
      <c r="GG38" s="825">
        <v>0</v>
      </c>
      <c r="GH38" s="825">
        <v>0</v>
      </c>
      <c r="GI38" s="825">
        <v>0</v>
      </c>
      <c r="GJ38" s="825">
        <v>0</v>
      </c>
      <c r="GK38" s="825">
        <v>0</v>
      </c>
      <c r="GL38" s="825">
        <v>0</v>
      </c>
      <c r="GM38" s="825">
        <v>0</v>
      </c>
      <c r="GN38" s="825">
        <v>0</v>
      </c>
      <c r="GO38" s="825">
        <v>0</v>
      </c>
      <c r="GP38" s="825">
        <v>0</v>
      </c>
      <c r="GQ38" s="825">
        <v>0</v>
      </c>
      <c r="GR38" s="825">
        <v>0</v>
      </c>
      <c r="GS38" s="825">
        <v>0</v>
      </c>
      <c r="GT38" s="825">
        <v>0</v>
      </c>
      <c r="GU38" s="825">
        <v>0</v>
      </c>
      <c r="GV38" s="825">
        <v>0</v>
      </c>
      <c r="GW38" s="825">
        <v>0</v>
      </c>
      <c r="GX38" s="825">
        <v>0</v>
      </c>
      <c r="GY38" s="825">
        <v>0</v>
      </c>
      <c r="GZ38" s="825">
        <v>0</v>
      </c>
      <c r="HA38" s="825">
        <v>0</v>
      </c>
      <c r="HB38" s="825">
        <v>0</v>
      </c>
      <c r="HC38" s="825">
        <v>0</v>
      </c>
      <c r="HD38" s="825">
        <v>0</v>
      </c>
      <c r="HE38" s="825">
        <v>0</v>
      </c>
      <c r="HF38" s="825">
        <v>0</v>
      </c>
      <c r="HG38" s="825">
        <v>0</v>
      </c>
      <c r="HH38" s="825">
        <v>0</v>
      </c>
      <c r="HI38" s="825">
        <v>0</v>
      </c>
      <c r="HJ38" s="825">
        <v>0</v>
      </c>
      <c r="HK38" s="825">
        <v>0</v>
      </c>
      <c r="HL38" s="825">
        <v>0</v>
      </c>
      <c r="HM38" s="825">
        <v>0</v>
      </c>
      <c r="HN38" s="825">
        <v>0</v>
      </c>
      <c r="HO38" s="825">
        <v>0</v>
      </c>
      <c r="HP38" s="825">
        <v>0</v>
      </c>
      <c r="HQ38" s="825">
        <v>0</v>
      </c>
      <c r="HR38" s="825">
        <v>0</v>
      </c>
      <c r="HS38" s="825">
        <v>0</v>
      </c>
      <c r="HT38" s="825">
        <v>0</v>
      </c>
      <c r="HU38" s="825">
        <v>0</v>
      </c>
    </row>
    <row r="39" spans="1:229" ht="89.25">
      <c r="A39" s="823" t="s">
        <v>515</v>
      </c>
      <c r="B39" s="823" t="s">
        <v>1183</v>
      </c>
      <c r="C39" s="823" t="s">
        <v>1184</v>
      </c>
      <c r="D39" s="826" t="s">
        <v>1185</v>
      </c>
      <c r="E39" s="824"/>
      <c r="F39" s="824"/>
      <c r="G39" s="826" t="s">
        <v>1186</v>
      </c>
      <c r="H39" s="824"/>
      <c r="I39" s="824"/>
      <c r="J39" s="824"/>
      <c r="K39" s="824"/>
      <c r="L39" s="824"/>
      <c r="M39" s="824"/>
      <c r="N39" s="824"/>
      <c r="O39" s="824"/>
      <c r="P39" s="824"/>
      <c r="Q39" s="824"/>
      <c r="R39" s="824"/>
      <c r="S39" s="824"/>
      <c r="T39" s="824"/>
      <c r="U39" s="824"/>
      <c r="V39" s="824"/>
      <c r="W39" s="824"/>
      <c r="X39" s="824"/>
      <c r="Y39" s="824"/>
      <c r="Z39" s="824"/>
      <c r="AA39" s="824"/>
      <c r="AB39" s="824"/>
      <c r="AC39" s="824"/>
      <c r="AD39" s="824"/>
      <c r="AE39" s="824"/>
      <c r="AF39" s="824"/>
      <c r="AG39" s="824"/>
      <c r="AH39" s="824"/>
      <c r="AI39" s="824"/>
      <c r="AJ39" s="824"/>
      <c r="AK39" s="824"/>
      <c r="AL39" s="824"/>
      <c r="AM39" s="824"/>
      <c r="AN39" s="824"/>
      <c r="AO39" s="824"/>
      <c r="AP39" s="824"/>
      <c r="AQ39" s="824"/>
      <c r="AR39" s="824"/>
      <c r="AS39" s="824"/>
      <c r="AT39" s="824"/>
      <c r="AU39" s="824"/>
      <c r="AV39" s="824"/>
      <c r="AW39" s="824"/>
      <c r="AX39" s="824"/>
      <c r="AY39" s="824"/>
      <c r="AZ39" s="824"/>
      <c r="BA39" s="824"/>
      <c r="BB39" s="824"/>
      <c r="BC39" s="824"/>
      <c r="BD39" s="824"/>
      <c r="BE39" s="824"/>
      <c r="BF39" s="824"/>
      <c r="BG39" s="824"/>
      <c r="BH39" s="824"/>
      <c r="BI39" s="824"/>
      <c r="BJ39" s="824"/>
      <c r="BK39" s="824"/>
      <c r="BL39" s="824"/>
      <c r="BM39" s="824"/>
      <c r="BN39" s="824"/>
      <c r="BO39" s="824"/>
      <c r="BP39" s="824"/>
      <c r="BQ39" s="824"/>
      <c r="BR39" s="824"/>
      <c r="BS39" s="824"/>
      <c r="BT39" s="824"/>
      <c r="BU39" s="824"/>
      <c r="BV39" s="824"/>
      <c r="BW39" s="824"/>
      <c r="BX39" s="824"/>
      <c r="BY39" s="824"/>
      <c r="BZ39" s="824"/>
      <c r="CA39" s="824"/>
      <c r="CB39" s="824"/>
      <c r="CC39" s="824"/>
      <c r="CD39" s="824"/>
      <c r="CE39" s="824"/>
      <c r="CF39" s="824"/>
      <c r="CG39" s="824"/>
      <c r="CH39" s="824"/>
      <c r="CI39" s="824"/>
      <c r="CJ39" s="824"/>
      <c r="CK39" s="824"/>
      <c r="CL39" s="824"/>
      <c r="CM39" s="824"/>
      <c r="CN39" s="824"/>
      <c r="CO39" s="824"/>
      <c r="CP39" s="824"/>
      <c r="CQ39" s="824"/>
      <c r="CR39" s="824"/>
      <c r="CS39" s="824"/>
      <c r="CT39" s="824"/>
      <c r="CU39" s="824"/>
      <c r="CV39" s="824"/>
      <c r="CW39" s="824"/>
      <c r="CX39" s="824"/>
      <c r="CY39" s="824"/>
      <c r="CZ39" s="824"/>
      <c r="DA39" s="824"/>
      <c r="DB39" s="824"/>
      <c r="DC39" s="824"/>
      <c r="DD39" s="824"/>
      <c r="DE39" s="824"/>
      <c r="DF39" s="824"/>
      <c r="DG39" s="824"/>
      <c r="DH39" s="824"/>
      <c r="DI39" s="824"/>
      <c r="DJ39" s="824"/>
      <c r="DK39" s="824"/>
      <c r="DL39" s="824"/>
      <c r="DM39" s="825">
        <v>54.8</v>
      </c>
      <c r="DN39" s="825">
        <v>0</v>
      </c>
      <c r="DO39" s="825">
        <v>0</v>
      </c>
      <c r="DP39" s="825">
        <v>6.1</v>
      </c>
      <c r="DQ39" s="825">
        <v>0</v>
      </c>
      <c r="DR39" s="825">
        <v>0</v>
      </c>
      <c r="DS39" s="825">
        <v>0</v>
      </c>
      <c r="DT39" s="825">
        <v>0</v>
      </c>
      <c r="DU39" s="825">
        <v>0</v>
      </c>
      <c r="DV39" s="825">
        <v>0</v>
      </c>
      <c r="DW39" s="825">
        <v>0</v>
      </c>
      <c r="DX39" s="825">
        <v>0</v>
      </c>
      <c r="DY39" s="825">
        <v>0</v>
      </c>
      <c r="DZ39" s="825">
        <v>0</v>
      </c>
      <c r="EA39" s="825">
        <v>0</v>
      </c>
      <c r="EB39" s="825">
        <v>0</v>
      </c>
      <c r="EC39" s="825">
        <v>0</v>
      </c>
      <c r="ED39" s="825">
        <v>0</v>
      </c>
      <c r="EE39" s="825">
        <v>0</v>
      </c>
      <c r="EF39" s="825">
        <v>0</v>
      </c>
      <c r="EG39" s="825">
        <v>0</v>
      </c>
      <c r="EH39" s="825">
        <v>0</v>
      </c>
      <c r="EI39" s="825">
        <v>0</v>
      </c>
      <c r="EJ39" s="825">
        <v>0</v>
      </c>
      <c r="EK39" s="825">
        <v>0</v>
      </c>
      <c r="EL39" s="825">
        <v>0</v>
      </c>
      <c r="EM39" s="825">
        <v>0</v>
      </c>
      <c r="EN39" s="825">
        <v>0</v>
      </c>
      <c r="EO39" s="825">
        <v>0</v>
      </c>
      <c r="EP39" s="825">
        <v>0</v>
      </c>
      <c r="EQ39" s="825">
        <v>0</v>
      </c>
      <c r="ER39" s="825">
        <v>0</v>
      </c>
      <c r="ES39" s="825">
        <v>0</v>
      </c>
      <c r="ET39" s="825">
        <v>0</v>
      </c>
      <c r="EU39" s="825">
        <v>0</v>
      </c>
      <c r="EV39" s="825">
        <v>0</v>
      </c>
      <c r="EW39" s="825">
        <v>0</v>
      </c>
      <c r="EX39" s="825">
        <v>0</v>
      </c>
      <c r="EY39" s="825">
        <v>0</v>
      </c>
      <c r="EZ39" s="825">
        <v>0</v>
      </c>
      <c r="FA39" s="825">
        <v>0</v>
      </c>
      <c r="FB39" s="825">
        <v>0</v>
      </c>
      <c r="FC39" s="825">
        <v>0</v>
      </c>
      <c r="FD39" s="825">
        <v>0</v>
      </c>
      <c r="FE39" s="825">
        <v>0</v>
      </c>
      <c r="FF39" s="825">
        <v>0</v>
      </c>
      <c r="FG39" s="825">
        <v>0</v>
      </c>
      <c r="FH39" s="825">
        <v>0</v>
      </c>
      <c r="FI39" s="825">
        <v>0</v>
      </c>
      <c r="FJ39" s="825">
        <v>0</v>
      </c>
      <c r="FK39" s="825">
        <v>0</v>
      </c>
      <c r="FL39" s="825">
        <v>0</v>
      </c>
      <c r="FM39" s="825">
        <v>0</v>
      </c>
      <c r="FN39" s="825">
        <v>0</v>
      </c>
      <c r="FO39" s="825">
        <v>0</v>
      </c>
      <c r="FP39" s="825">
        <v>0</v>
      </c>
      <c r="FQ39" s="825">
        <v>0</v>
      </c>
      <c r="FR39" s="825">
        <v>0</v>
      </c>
      <c r="FS39" s="825">
        <v>0</v>
      </c>
      <c r="FT39" s="825">
        <v>0</v>
      </c>
      <c r="FU39" s="825">
        <v>0</v>
      </c>
      <c r="FV39" s="825">
        <v>0</v>
      </c>
      <c r="FW39" s="825">
        <v>0</v>
      </c>
      <c r="FX39" s="825">
        <v>0</v>
      </c>
      <c r="FY39" s="825">
        <v>0</v>
      </c>
      <c r="FZ39" s="825">
        <v>0</v>
      </c>
      <c r="GA39" s="825">
        <v>0</v>
      </c>
      <c r="GB39" s="825">
        <v>0</v>
      </c>
      <c r="GC39" s="825">
        <v>0</v>
      </c>
      <c r="GD39" s="825">
        <v>0</v>
      </c>
      <c r="GE39" s="825">
        <v>0</v>
      </c>
      <c r="GF39" s="825">
        <v>0</v>
      </c>
      <c r="GG39" s="825">
        <v>0</v>
      </c>
      <c r="GH39" s="825">
        <v>0</v>
      </c>
      <c r="GI39" s="825">
        <v>0</v>
      </c>
      <c r="GJ39" s="825">
        <v>0</v>
      </c>
      <c r="GK39" s="825">
        <v>0</v>
      </c>
      <c r="GL39" s="825">
        <v>0</v>
      </c>
      <c r="GM39" s="825">
        <v>0</v>
      </c>
      <c r="GN39" s="825">
        <v>0</v>
      </c>
      <c r="GO39" s="825">
        <v>0</v>
      </c>
      <c r="GP39" s="825">
        <v>0</v>
      </c>
      <c r="GQ39" s="825">
        <v>0</v>
      </c>
      <c r="GR39" s="825">
        <v>0</v>
      </c>
      <c r="GS39" s="825">
        <v>0</v>
      </c>
      <c r="GT39" s="825">
        <v>0</v>
      </c>
      <c r="GU39" s="825">
        <v>0</v>
      </c>
      <c r="GV39" s="825">
        <v>0</v>
      </c>
      <c r="GW39" s="825">
        <v>0</v>
      </c>
      <c r="GX39" s="825">
        <v>0</v>
      </c>
      <c r="GY39" s="825">
        <v>0</v>
      </c>
      <c r="GZ39" s="825">
        <v>0</v>
      </c>
      <c r="HA39" s="825">
        <v>0</v>
      </c>
      <c r="HB39" s="825">
        <v>0</v>
      </c>
      <c r="HC39" s="825">
        <v>0</v>
      </c>
      <c r="HD39" s="825">
        <v>0</v>
      </c>
      <c r="HE39" s="825">
        <v>0</v>
      </c>
      <c r="HF39" s="825">
        <v>0</v>
      </c>
      <c r="HG39" s="825">
        <v>0</v>
      </c>
      <c r="HH39" s="825">
        <v>0</v>
      </c>
      <c r="HI39" s="825">
        <v>0</v>
      </c>
      <c r="HJ39" s="825">
        <v>0</v>
      </c>
      <c r="HK39" s="825">
        <v>0</v>
      </c>
      <c r="HL39" s="825">
        <v>0</v>
      </c>
      <c r="HM39" s="825">
        <v>0</v>
      </c>
      <c r="HN39" s="825">
        <v>0</v>
      </c>
      <c r="HO39" s="825">
        <v>0</v>
      </c>
      <c r="HP39" s="825">
        <v>0</v>
      </c>
      <c r="HQ39" s="825">
        <v>0</v>
      </c>
      <c r="HR39" s="825">
        <v>0</v>
      </c>
      <c r="HS39" s="825">
        <v>0</v>
      </c>
      <c r="HT39" s="825">
        <v>0</v>
      </c>
      <c r="HU39" s="825">
        <v>0</v>
      </c>
    </row>
    <row r="40" spans="1:229" ht="63.75">
      <c r="A40" s="823" t="s">
        <v>515</v>
      </c>
      <c r="B40" s="823" t="s">
        <v>1187</v>
      </c>
      <c r="C40" s="823" t="s">
        <v>1188</v>
      </c>
      <c r="D40" s="826" t="s">
        <v>1189</v>
      </c>
      <c r="E40" s="824"/>
      <c r="F40" s="824"/>
      <c r="G40" s="824"/>
      <c r="H40" s="824"/>
      <c r="I40" s="824"/>
      <c r="J40" s="824"/>
      <c r="K40" s="824"/>
      <c r="L40" s="824"/>
      <c r="M40" s="824"/>
      <c r="N40" s="824"/>
      <c r="O40" s="824"/>
      <c r="P40" s="824"/>
      <c r="Q40" s="824"/>
      <c r="R40" s="824"/>
      <c r="S40" s="824"/>
      <c r="T40" s="824"/>
      <c r="U40" s="824"/>
      <c r="V40" s="824"/>
      <c r="W40" s="824"/>
      <c r="X40" s="824"/>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c r="BC40" s="824"/>
      <c r="BD40" s="824"/>
      <c r="BE40" s="824"/>
      <c r="BF40" s="824"/>
      <c r="BG40" s="824"/>
      <c r="BH40" s="824"/>
      <c r="BI40" s="824"/>
      <c r="BJ40" s="824"/>
      <c r="BK40" s="824"/>
      <c r="BL40" s="824"/>
      <c r="BM40" s="824"/>
      <c r="BN40" s="824"/>
      <c r="BO40" s="824"/>
      <c r="BP40" s="824"/>
      <c r="BQ40" s="824"/>
      <c r="BR40" s="824"/>
      <c r="BS40" s="824"/>
      <c r="BT40" s="824"/>
      <c r="BU40" s="824"/>
      <c r="BV40" s="824"/>
      <c r="BW40" s="824"/>
      <c r="BX40" s="824"/>
      <c r="BY40" s="824"/>
      <c r="BZ40" s="824"/>
      <c r="CA40" s="824"/>
      <c r="CB40" s="824"/>
      <c r="CC40" s="824"/>
      <c r="CD40" s="824"/>
      <c r="CE40" s="824"/>
      <c r="CF40" s="824"/>
      <c r="CG40" s="824"/>
      <c r="CH40" s="824"/>
      <c r="CI40" s="824"/>
      <c r="CJ40" s="824"/>
      <c r="CK40" s="824"/>
      <c r="CL40" s="824"/>
      <c r="CM40" s="824"/>
      <c r="CN40" s="824"/>
      <c r="CO40" s="824"/>
      <c r="CP40" s="824"/>
      <c r="CQ40" s="824"/>
      <c r="CR40" s="824"/>
      <c r="CS40" s="824"/>
      <c r="CT40" s="824"/>
      <c r="CU40" s="824"/>
      <c r="CV40" s="824"/>
      <c r="CW40" s="824"/>
      <c r="CX40" s="824"/>
      <c r="CY40" s="824"/>
      <c r="CZ40" s="824"/>
      <c r="DA40" s="824"/>
      <c r="DB40" s="824"/>
      <c r="DC40" s="824"/>
      <c r="DD40" s="824"/>
      <c r="DE40" s="824"/>
      <c r="DF40" s="824"/>
      <c r="DG40" s="824"/>
      <c r="DH40" s="824"/>
      <c r="DI40" s="824"/>
      <c r="DJ40" s="824"/>
      <c r="DK40" s="824"/>
      <c r="DL40" s="824"/>
      <c r="DM40" s="825">
        <v>7</v>
      </c>
      <c r="DN40" s="825">
        <v>0</v>
      </c>
      <c r="DO40" s="825">
        <v>0</v>
      </c>
      <c r="DP40" s="825">
        <v>0</v>
      </c>
      <c r="DQ40" s="825">
        <v>0</v>
      </c>
      <c r="DR40" s="825">
        <v>0</v>
      </c>
      <c r="DS40" s="825">
        <v>0</v>
      </c>
      <c r="DT40" s="825">
        <v>0</v>
      </c>
      <c r="DU40" s="825">
        <v>0</v>
      </c>
      <c r="DV40" s="825">
        <v>0</v>
      </c>
      <c r="DW40" s="825">
        <v>0</v>
      </c>
      <c r="DX40" s="825">
        <v>0</v>
      </c>
      <c r="DY40" s="825">
        <v>0</v>
      </c>
      <c r="DZ40" s="825">
        <v>0</v>
      </c>
      <c r="EA40" s="825">
        <v>0</v>
      </c>
      <c r="EB40" s="825">
        <v>0</v>
      </c>
      <c r="EC40" s="825">
        <v>0</v>
      </c>
      <c r="ED40" s="825">
        <v>0</v>
      </c>
      <c r="EE40" s="825">
        <v>0</v>
      </c>
      <c r="EF40" s="825">
        <v>0</v>
      </c>
      <c r="EG40" s="825">
        <v>0</v>
      </c>
      <c r="EH40" s="825">
        <v>0</v>
      </c>
      <c r="EI40" s="825">
        <v>0</v>
      </c>
      <c r="EJ40" s="825">
        <v>0</v>
      </c>
      <c r="EK40" s="825">
        <v>0</v>
      </c>
      <c r="EL40" s="825">
        <v>0</v>
      </c>
      <c r="EM40" s="825">
        <v>0</v>
      </c>
      <c r="EN40" s="825">
        <v>0</v>
      </c>
      <c r="EO40" s="825">
        <v>0</v>
      </c>
      <c r="EP40" s="825">
        <v>0</v>
      </c>
      <c r="EQ40" s="825">
        <v>0</v>
      </c>
      <c r="ER40" s="825">
        <v>0</v>
      </c>
      <c r="ES40" s="825">
        <v>0</v>
      </c>
      <c r="ET40" s="825">
        <v>0</v>
      </c>
      <c r="EU40" s="825">
        <v>0</v>
      </c>
      <c r="EV40" s="825">
        <v>0</v>
      </c>
      <c r="EW40" s="825">
        <v>0</v>
      </c>
      <c r="EX40" s="825">
        <v>0</v>
      </c>
      <c r="EY40" s="825">
        <v>0</v>
      </c>
      <c r="EZ40" s="825">
        <v>0</v>
      </c>
      <c r="FA40" s="825">
        <v>0</v>
      </c>
      <c r="FB40" s="825">
        <v>0</v>
      </c>
      <c r="FC40" s="825">
        <v>0</v>
      </c>
      <c r="FD40" s="825">
        <v>0</v>
      </c>
      <c r="FE40" s="825">
        <v>0</v>
      </c>
      <c r="FF40" s="825">
        <v>0</v>
      </c>
      <c r="FG40" s="825">
        <v>0</v>
      </c>
      <c r="FH40" s="825">
        <v>0</v>
      </c>
      <c r="FI40" s="825">
        <v>0</v>
      </c>
      <c r="FJ40" s="825">
        <v>0</v>
      </c>
      <c r="FK40" s="825">
        <v>0</v>
      </c>
      <c r="FL40" s="825">
        <v>0</v>
      </c>
      <c r="FM40" s="825">
        <v>0</v>
      </c>
      <c r="FN40" s="825">
        <v>0</v>
      </c>
      <c r="FO40" s="825">
        <v>0</v>
      </c>
      <c r="FP40" s="825">
        <v>0</v>
      </c>
      <c r="FQ40" s="825">
        <v>0</v>
      </c>
      <c r="FR40" s="825">
        <v>0</v>
      </c>
      <c r="FS40" s="825">
        <v>0</v>
      </c>
      <c r="FT40" s="825">
        <v>0</v>
      </c>
      <c r="FU40" s="825">
        <v>0</v>
      </c>
      <c r="FV40" s="825">
        <v>0</v>
      </c>
      <c r="FW40" s="825">
        <v>0</v>
      </c>
      <c r="FX40" s="825">
        <v>0</v>
      </c>
      <c r="FY40" s="825">
        <v>0</v>
      </c>
      <c r="FZ40" s="825">
        <v>0</v>
      </c>
      <c r="GA40" s="825">
        <v>0</v>
      </c>
      <c r="GB40" s="825">
        <v>0</v>
      </c>
      <c r="GC40" s="825">
        <v>0</v>
      </c>
      <c r="GD40" s="825">
        <v>0</v>
      </c>
      <c r="GE40" s="825">
        <v>0</v>
      </c>
      <c r="GF40" s="825">
        <v>0</v>
      </c>
      <c r="GG40" s="825">
        <v>0</v>
      </c>
      <c r="GH40" s="825">
        <v>0</v>
      </c>
      <c r="GI40" s="825">
        <v>0</v>
      </c>
      <c r="GJ40" s="825">
        <v>0</v>
      </c>
      <c r="GK40" s="825">
        <v>0</v>
      </c>
      <c r="GL40" s="825">
        <v>0</v>
      </c>
      <c r="GM40" s="825">
        <v>0</v>
      </c>
      <c r="GN40" s="825">
        <v>0</v>
      </c>
      <c r="GO40" s="825">
        <v>0</v>
      </c>
      <c r="GP40" s="825">
        <v>0</v>
      </c>
      <c r="GQ40" s="825">
        <v>0</v>
      </c>
      <c r="GR40" s="825">
        <v>0</v>
      </c>
      <c r="GS40" s="825">
        <v>0</v>
      </c>
      <c r="GT40" s="825">
        <v>0</v>
      </c>
      <c r="GU40" s="825">
        <v>0</v>
      </c>
      <c r="GV40" s="825">
        <v>0</v>
      </c>
      <c r="GW40" s="825">
        <v>0</v>
      </c>
      <c r="GX40" s="825">
        <v>0</v>
      </c>
      <c r="GY40" s="825">
        <v>0</v>
      </c>
      <c r="GZ40" s="825">
        <v>0</v>
      </c>
      <c r="HA40" s="825">
        <v>0</v>
      </c>
      <c r="HB40" s="825">
        <v>0</v>
      </c>
      <c r="HC40" s="825">
        <v>0</v>
      </c>
      <c r="HD40" s="825">
        <v>0</v>
      </c>
      <c r="HE40" s="825">
        <v>0</v>
      </c>
      <c r="HF40" s="825">
        <v>0</v>
      </c>
      <c r="HG40" s="825">
        <v>0</v>
      </c>
      <c r="HH40" s="825">
        <v>0</v>
      </c>
      <c r="HI40" s="825">
        <v>0</v>
      </c>
      <c r="HJ40" s="825">
        <v>0</v>
      </c>
      <c r="HK40" s="825">
        <v>0</v>
      </c>
      <c r="HL40" s="825">
        <v>0</v>
      </c>
      <c r="HM40" s="825">
        <v>0</v>
      </c>
      <c r="HN40" s="825">
        <v>0</v>
      </c>
      <c r="HO40" s="825">
        <v>0</v>
      </c>
      <c r="HP40" s="825">
        <v>0</v>
      </c>
      <c r="HQ40" s="825">
        <v>0</v>
      </c>
      <c r="HR40" s="825">
        <v>0</v>
      </c>
      <c r="HS40" s="825">
        <v>0</v>
      </c>
      <c r="HT40" s="825">
        <v>0</v>
      </c>
      <c r="HU40" s="825">
        <v>0</v>
      </c>
    </row>
    <row r="41" spans="1:229" ht="102">
      <c r="A41" s="823" t="s">
        <v>515</v>
      </c>
      <c r="B41" s="823" t="s">
        <v>1190</v>
      </c>
      <c r="C41" s="823" t="s">
        <v>1191</v>
      </c>
      <c r="D41" s="824" t="s">
        <v>1192</v>
      </c>
      <c r="E41" s="824" t="s">
        <v>1193</v>
      </c>
      <c r="F41" s="826" t="s">
        <v>1194</v>
      </c>
      <c r="G41" s="826" t="s">
        <v>1195</v>
      </c>
      <c r="H41" s="824" t="s">
        <v>1196</v>
      </c>
      <c r="I41" s="824" t="s">
        <v>1197</v>
      </c>
      <c r="J41" s="824" t="s">
        <v>1198</v>
      </c>
      <c r="K41" s="824" t="s">
        <v>1199</v>
      </c>
      <c r="L41" s="824"/>
      <c r="M41" s="824" t="s">
        <v>1200</v>
      </c>
      <c r="N41" s="824"/>
      <c r="O41" s="824" t="s">
        <v>1201</v>
      </c>
      <c r="P41" s="826" t="s">
        <v>1202</v>
      </c>
      <c r="Q41" s="824" t="s">
        <v>1203</v>
      </c>
      <c r="R41" s="824"/>
      <c r="S41" s="824"/>
      <c r="T41" s="824"/>
      <c r="U41" s="824"/>
      <c r="V41" s="824"/>
      <c r="W41" s="824"/>
      <c r="X41" s="824"/>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c r="BC41" s="824"/>
      <c r="BD41" s="824"/>
      <c r="BE41" s="824"/>
      <c r="BF41" s="824"/>
      <c r="BG41" s="824"/>
      <c r="BH41" s="824"/>
      <c r="BI41" s="824"/>
      <c r="BJ41" s="824"/>
      <c r="BK41" s="824"/>
      <c r="BL41" s="824"/>
      <c r="BM41" s="824"/>
      <c r="BN41" s="824"/>
      <c r="BO41" s="824"/>
      <c r="BP41" s="824"/>
      <c r="BQ41" s="824"/>
      <c r="BR41" s="824"/>
      <c r="BS41" s="824"/>
      <c r="BT41" s="824"/>
      <c r="BU41" s="824"/>
      <c r="BV41" s="824"/>
      <c r="BW41" s="824"/>
      <c r="BX41" s="824"/>
      <c r="BY41" s="824"/>
      <c r="BZ41" s="824"/>
      <c r="CA41" s="824"/>
      <c r="CB41" s="824"/>
      <c r="CC41" s="824"/>
      <c r="CD41" s="824"/>
      <c r="CE41" s="824"/>
      <c r="CF41" s="824"/>
      <c r="CG41" s="824"/>
      <c r="CH41" s="824"/>
      <c r="CI41" s="824"/>
      <c r="CJ41" s="824"/>
      <c r="CK41" s="824"/>
      <c r="CL41" s="824"/>
      <c r="CM41" s="824"/>
      <c r="CN41" s="824"/>
      <c r="CO41" s="824"/>
      <c r="CP41" s="824"/>
      <c r="CQ41" s="824"/>
      <c r="CR41" s="824"/>
      <c r="CS41" s="824"/>
      <c r="CT41" s="824"/>
      <c r="CU41" s="824"/>
      <c r="CV41" s="824"/>
      <c r="CW41" s="824"/>
      <c r="CX41" s="824"/>
      <c r="CY41" s="824"/>
      <c r="CZ41" s="824"/>
      <c r="DA41" s="824"/>
      <c r="DB41" s="824"/>
      <c r="DC41" s="824"/>
      <c r="DD41" s="824"/>
      <c r="DE41" s="824"/>
      <c r="DF41" s="824"/>
      <c r="DG41" s="824"/>
      <c r="DH41" s="824"/>
      <c r="DI41" s="824"/>
      <c r="DJ41" s="824"/>
      <c r="DK41" s="824"/>
      <c r="DL41" s="824"/>
      <c r="DM41" s="825">
        <v>10.4</v>
      </c>
      <c r="DN41" s="825">
        <v>8.1</v>
      </c>
      <c r="DO41" s="825">
        <v>13.3</v>
      </c>
      <c r="DP41" s="825">
        <v>6.2</v>
      </c>
      <c r="DQ41" s="825">
        <v>6.9</v>
      </c>
      <c r="DR41" s="825">
        <v>5.4</v>
      </c>
      <c r="DS41" s="825">
        <v>2.2999999999999998</v>
      </c>
      <c r="DT41" s="825">
        <v>5.6</v>
      </c>
      <c r="DU41" s="825">
        <v>0</v>
      </c>
      <c r="DV41" s="825">
        <v>10.7</v>
      </c>
      <c r="DW41" s="825">
        <v>0</v>
      </c>
      <c r="DX41" s="825">
        <v>5.8</v>
      </c>
      <c r="DY41" s="825">
        <v>6.2</v>
      </c>
      <c r="DZ41" s="825">
        <v>6.6</v>
      </c>
      <c r="EA41" s="825">
        <v>0</v>
      </c>
      <c r="EB41" s="825">
        <v>0</v>
      </c>
      <c r="EC41" s="825">
        <v>0</v>
      </c>
      <c r="ED41" s="825">
        <v>0</v>
      </c>
      <c r="EE41" s="825">
        <v>0</v>
      </c>
      <c r="EF41" s="825">
        <v>0</v>
      </c>
      <c r="EG41" s="825">
        <v>0</v>
      </c>
      <c r="EH41" s="825">
        <v>0</v>
      </c>
      <c r="EI41" s="825">
        <v>0</v>
      </c>
      <c r="EJ41" s="825">
        <v>0</v>
      </c>
      <c r="EK41" s="825">
        <v>0</v>
      </c>
      <c r="EL41" s="825">
        <v>0</v>
      </c>
      <c r="EM41" s="825">
        <v>0</v>
      </c>
      <c r="EN41" s="825">
        <v>0</v>
      </c>
      <c r="EO41" s="825">
        <v>0</v>
      </c>
      <c r="EP41" s="825">
        <v>0</v>
      </c>
      <c r="EQ41" s="825">
        <v>0</v>
      </c>
      <c r="ER41" s="825">
        <v>0</v>
      </c>
      <c r="ES41" s="825">
        <v>0</v>
      </c>
      <c r="ET41" s="825">
        <v>0</v>
      </c>
      <c r="EU41" s="825">
        <v>0</v>
      </c>
      <c r="EV41" s="825">
        <v>0</v>
      </c>
      <c r="EW41" s="825">
        <v>0</v>
      </c>
      <c r="EX41" s="825">
        <v>0</v>
      </c>
      <c r="EY41" s="825">
        <v>0</v>
      </c>
      <c r="EZ41" s="825">
        <v>0</v>
      </c>
      <c r="FA41" s="825">
        <v>0</v>
      </c>
      <c r="FB41" s="825">
        <v>0</v>
      </c>
      <c r="FC41" s="825">
        <v>0</v>
      </c>
      <c r="FD41" s="825">
        <v>0</v>
      </c>
      <c r="FE41" s="825">
        <v>0</v>
      </c>
      <c r="FF41" s="825">
        <v>0</v>
      </c>
      <c r="FG41" s="825">
        <v>0</v>
      </c>
      <c r="FH41" s="825">
        <v>0</v>
      </c>
      <c r="FI41" s="825">
        <v>0</v>
      </c>
      <c r="FJ41" s="825">
        <v>0</v>
      </c>
      <c r="FK41" s="825">
        <v>0</v>
      </c>
      <c r="FL41" s="825">
        <v>0</v>
      </c>
      <c r="FM41" s="825">
        <v>0</v>
      </c>
      <c r="FN41" s="825">
        <v>0</v>
      </c>
      <c r="FO41" s="825">
        <v>0</v>
      </c>
      <c r="FP41" s="825">
        <v>0</v>
      </c>
      <c r="FQ41" s="825">
        <v>0</v>
      </c>
      <c r="FR41" s="825">
        <v>0</v>
      </c>
      <c r="FS41" s="825">
        <v>0</v>
      </c>
      <c r="FT41" s="825">
        <v>0</v>
      </c>
      <c r="FU41" s="825">
        <v>0</v>
      </c>
      <c r="FV41" s="825">
        <v>0</v>
      </c>
      <c r="FW41" s="825">
        <v>0</v>
      </c>
      <c r="FX41" s="825">
        <v>0</v>
      </c>
      <c r="FY41" s="825">
        <v>0</v>
      </c>
      <c r="FZ41" s="825">
        <v>0</v>
      </c>
      <c r="GA41" s="825">
        <v>0</v>
      </c>
      <c r="GB41" s="825">
        <v>0</v>
      </c>
      <c r="GC41" s="825">
        <v>0</v>
      </c>
      <c r="GD41" s="825">
        <v>0</v>
      </c>
      <c r="GE41" s="825">
        <v>0</v>
      </c>
      <c r="GF41" s="825">
        <v>0</v>
      </c>
      <c r="GG41" s="825">
        <v>0</v>
      </c>
      <c r="GH41" s="825">
        <v>0</v>
      </c>
      <c r="GI41" s="825">
        <v>0</v>
      </c>
      <c r="GJ41" s="825">
        <v>0</v>
      </c>
      <c r="GK41" s="825">
        <v>0</v>
      </c>
      <c r="GL41" s="825">
        <v>0</v>
      </c>
      <c r="GM41" s="825">
        <v>0</v>
      </c>
      <c r="GN41" s="825">
        <v>0</v>
      </c>
      <c r="GO41" s="825">
        <v>0</v>
      </c>
      <c r="GP41" s="825">
        <v>0</v>
      </c>
      <c r="GQ41" s="825">
        <v>0</v>
      </c>
      <c r="GR41" s="825">
        <v>0</v>
      </c>
      <c r="GS41" s="825">
        <v>0</v>
      </c>
      <c r="GT41" s="825">
        <v>0</v>
      </c>
      <c r="GU41" s="825">
        <v>0</v>
      </c>
      <c r="GV41" s="825">
        <v>0</v>
      </c>
      <c r="GW41" s="825">
        <v>0</v>
      </c>
      <c r="GX41" s="825">
        <v>0</v>
      </c>
      <c r="GY41" s="825">
        <v>0</v>
      </c>
      <c r="GZ41" s="825">
        <v>0</v>
      </c>
      <c r="HA41" s="825">
        <v>0</v>
      </c>
      <c r="HB41" s="825">
        <v>0</v>
      </c>
      <c r="HC41" s="825">
        <v>0</v>
      </c>
      <c r="HD41" s="825">
        <v>0</v>
      </c>
      <c r="HE41" s="825">
        <v>0</v>
      </c>
      <c r="HF41" s="825">
        <v>0</v>
      </c>
      <c r="HG41" s="825">
        <v>0</v>
      </c>
      <c r="HH41" s="825">
        <v>0</v>
      </c>
      <c r="HI41" s="825">
        <v>0</v>
      </c>
      <c r="HJ41" s="825">
        <v>0</v>
      </c>
      <c r="HK41" s="825">
        <v>0</v>
      </c>
      <c r="HL41" s="825">
        <v>0</v>
      </c>
      <c r="HM41" s="825">
        <v>0</v>
      </c>
      <c r="HN41" s="825">
        <v>0</v>
      </c>
      <c r="HO41" s="825">
        <v>0</v>
      </c>
      <c r="HP41" s="825">
        <v>0</v>
      </c>
      <c r="HQ41" s="825">
        <v>0</v>
      </c>
      <c r="HR41" s="825">
        <v>0</v>
      </c>
      <c r="HS41" s="825">
        <v>0</v>
      </c>
      <c r="HT41" s="825">
        <v>0</v>
      </c>
      <c r="HU41" s="825">
        <v>0</v>
      </c>
    </row>
    <row r="42" spans="1:229" ht="102">
      <c r="A42" s="823" t="s">
        <v>515</v>
      </c>
      <c r="B42" s="823" t="s">
        <v>1204</v>
      </c>
      <c r="C42" s="823" t="s">
        <v>1205</v>
      </c>
      <c r="D42" s="824"/>
      <c r="E42" s="824"/>
      <c r="F42" s="826" t="s">
        <v>1206</v>
      </c>
      <c r="G42" s="824" t="s">
        <v>1207</v>
      </c>
      <c r="H42" s="824"/>
      <c r="I42" s="826" t="s">
        <v>1208</v>
      </c>
      <c r="J42" s="824"/>
      <c r="K42" s="824" t="s">
        <v>1209</v>
      </c>
      <c r="L42" s="824"/>
      <c r="M42" s="824"/>
      <c r="N42" s="824"/>
      <c r="O42" s="824"/>
      <c r="P42" s="824"/>
      <c r="Q42" s="824"/>
      <c r="R42" s="824"/>
      <c r="S42" s="824"/>
      <c r="T42" s="824"/>
      <c r="U42" s="824"/>
      <c r="V42" s="824"/>
      <c r="W42" s="824"/>
      <c r="X42" s="824"/>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c r="BC42" s="824"/>
      <c r="BD42" s="824"/>
      <c r="BE42" s="824"/>
      <c r="BF42" s="824"/>
      <c r="BG42" s="824"/>
      <c r="BH42" s="824"/>
      <c r="BI42" s="824"/>
      <c r="BJ42" s="824"/>
      <c r="BK42" s="824"/>
      <c r="BL42" s="824"/>
      <c r="BM42" s="824"/>
      <c r="BN42" s="824"/>
      <c r="BO42" s="824"/>
      <c r="BP42" s="824"/>
      <c r="BQ42" s="824"/>
      <c r="BR42" s="824"/>
      <c r="BS42" s="824"/>
      <c r="BT42" s="824"/>
      <c r="BU42" s="824"/>
      <c r="BV42" s="824"/>
      <c r="BW42" s="824"/>
      <c r="BX42" s="824"/>
      <c r="BY42" s="824"/>
      <c r="BZ42" s="824"/>
      <c r="CA42" s="824"/>
      <c r="CB42" s="824"/>
      <c r="CC42" s="824"/>
      <c r="CD42" s="824"/>
      <c r="CE42" s="824"/>
      <c r="CF42" s="824"/>
      <c r="CG42" s="824"/>
      <c r="CH42" s="824"/>
      <c r="CI42" s="824"/>
      <c r="CJ42" s="824"/>
      <c r="CK42" s="824"/>
      <c r="CL42" s="824"/>
      <c r="CM42" s="824"/>
      <c r="CN42" s="824"/>
      <c r="CO42" s="824"/>
      <c r="CP42" s="824"/>
      <c r="CQ42" s="824"/>
      <c r="CR42" s="824"/>
      <c r="CS42" s="824"/>
      <c r="CT42" s="824"/>
      <c r="CU42" s="824"/>
      <c r="CV42" s="824"/>
      <c r="CW42" s="824"/>
      <c r="CX42" s="824"/>
      <c r="CY42" s="824"/>
      <c r="CZ42" s="824"/>
      <c r="DA42" s="824"/>
      <c r="DB42" s="824"/>
      <c r="DC42" s="824"/>
      <c r="DD42" s="824"/>
      <c r="DE42" s="824"/>
      <c r="DF42" s="824"/>
      <c r="DG42" s="824"/>
      <c r="DH42" s="824"/>
      <c r="DI42" s="824"/>
      <c r="DJ42" s="824"/>
      <c r="DK42" s="824"/>
      <c r="DL42" s="824"/>
      <c r="DM42" s="825">
        <v>0</v>
      </c>
      <c r="DN42" s="825">
        <v>0</v>
      </c>
      <c r="DO42" s="825">
        <v>4.2</v>
      </c>
      <c r="DP42" s="825">
        <v>4.2</v>
      </c>
      <c r="DQ42" s="825">
        <v>0</v>
      </c>
      <c r="DR42" s="825">
        <v>6.2</v>
      </c>
      <c r="DS42" s="825">
        <v>0</v>
      </c>
      <c r="DT42" s="825">
        <v>6.2</v>
      </c>
      <c r="DU42" s="825">
        <v>0</v>
      </c>
      <c r="DV42" s="825">
        <v>0</v>
      </c>
      <c r="DW42" s="825">
        <v>0</v>
      </c>
      <c r="DX42" s="825">
        <v>0</v>
      </c>
      <c r="DY42" s="825">
        <v>0</v>
      </c>
      <c r="DZ42" s="825">
        <v>0</v>
      </c>
      <c r="EA42" s="825">
        <v>0</v>
      </c>
      <c r="EB42" s="825">
        <v>0</v>
      </c>
      <c r="EC42" s="825">
        <v>0</v>
      </c>
      <c r="ED42" s="825">
        <v>0</v>
      </c>
      <c r="EE42" s="825">
        <v>0</v>
      </c>
      <c r="EF42" s="825">
        <v>0</v>
      </c>
      <c r="EG42" s="825">
        <v>0</v>
      </c>
      <c r="EH42" s="825">
        <v>0</v>
      </c>
      <c r="EI42" s="825">
        <v>0</v>
      </c>
      <c r="EJ42" s="825">
        <v>0</v>
      </c>
      <c r="EK42" s="825">
        <v>0</v>
      </c>
      <c r="EL42" s="825">
        <v>0</v>
      </c>
      <c r="EM42" s="825">
        <v>0</v>
      </c>
      <c r="EN42" s="825">
        <v>0</v>
      </c>
      <c r="EO42" s="825">
        <v>0</v>
      </c>
      <c r="EP42" s="825">
        <v>0</v>
      </c>
      <c r="EQ42" s="825">
        <v>0</v>
      </c>
      <c r="ER42" s="825">
        <v>0</v>
      </c>
      <c r="ES42" s="825">
        <v>0</v>
      </c>
      <c r="ET42" s="825">
        <v>0</v>
      </c>
      <c r="EU42" s="825">
        <v>0</v>
      </c>
      <c r="EV42" s="825">
        <v>0</v>
      </c>
      <c r="EW42" s="825">
        <v>0</v>
      </c>
      <c r="EX42" s="825">
        <v>0</v>
      </c>
      <c r="EY42" s="825">
        <v>0</v>
      </c>
      <c r="EZ42" s="825">
        <v>0</v>
      </c>
      <c r="FA42" s="825">
        <v>0</v>
      </c>
      <c r="FB42" s="825">
        <v>0</v>
      </c>
      <c r="FC42" s="825">
        <v>0</v>
      </c>
      <c r="FD42" s="825">
        <v>0</v>
      </c>
      <c r="FE42" s="825">
        <v>0</v>
      </c>
      <c r="FF42" s="825">
        <v>0</v>
      </c>
      <c r="FG42" s="825">
        <v>0</v>
      </c>
      <c r="FH42" s="825">
        <v>0</v>
      </c>
      <c r="FI42" s="825">
        <v>0</v>
      </c>
      <c r="FJ42" s="825">
        <v>0</v>
      </c>
      <c r="FK42" s="825">
        <v>0</v>
      </c>
      <c r="FL42" s="825">
        <v>0</v>
      </c>
      <c r="FM42" s="825">
        <v>0</v>
      </c>
      <c r="FN42" s="825">
        <v>0</v>
      </c>
      <c r="FO42" s="825">
        <v>0</v>
      </c>
      <c r="FP42" s="825">
        <v>0</v>
      </c>
      <c r="FQ42" s="825">
        <v>0</v>
      </c>
      <c r="FR42" s="825">
        <v>0</v>
      </c>
      <c r="FS42" s="825">
        <v>0</v>
      </c>
      <c r="FT42" s="825">
        <v>0</v>
      </c>
      <c r="FU42" s="825">
        <v>0</v>
      </c>
      <c r="FV42" s="825">
        <v>0</v>
      </c>
      <c r="FW42" s="825">
        <v>0</v>
      </c>
      <c r="FX42" s="825">
        <v>0</v>
      </c>
      <c r="FY42" s="825">
        <v>0</v>
      </c>
      <c r="FZ42" s="825">
        <v>0</v>
      </c>
      <c r="GA42" s="825">
        <v>0</v>
      </c>
      <c r="GB42" s="825">
        <v>0</v>
      </c>
      <c r="GC42" s="825">
        <v>0</v>
      </c>
      <c r="GD42" s="825">
        <v>0</v>
      </c>
      <c r="GE42" s="825">
        <v>0</v>
      </c>
      <c r="GF42" s="825">
        <v>0</v>
      </c>
      <c r="GG42" s="825">
        <v>0</v>
      </c>
      <c r="GH42" s="825">
        <v>0</v>
      </c>
      <c r="GI42" s="825">
        <v>0</v>
      </c>
      <c r="GJ42" s="825">
        <v>0</v>
      </c>
      <c r="GK42" s="825">
        <v>0</v>
      </c>
      <c r="GL42" s="825">
        <v>0</v>
      </c>
      <c r="GM42" s="825">
        <v>0</v>
      </c>
      <c r="GN42" s="825">
        <v>0</v>
      </c>
      <c r="GO42" s="825">
        <v>0</v>
      </c>
      <c r="GP42" s="825">
        <v>0</v>
      </c>
      <c r="GQ42" s="825">
        <v>0</v>
      </c>
      <c r="GR42" s="825">
        <v>0</v>
      </c>
      <c r="GS42" s="825">
        <v>0</v>
      </c>
      <c r="GT42" s="825">
        <v>0</v>
      </c>
      <c r="GU42" s="825">
        <v>0</v>
      </c>
      <c r="GV42" s="825">
        <v>0</v>
      </c>
      <c r="GW42" s="825">
        <v>0</v>
      </c>
      <c r="GX42" s="825">
        <v>0</v>
      </c>
      <c r="GY42" s="825">
        <v>0</v>
      </c>
      <c r="GZ42" s="825">
        <v>0</v>
      </c>
      <c r="HA42" s="825">
        <v>0</v>
      </c>
      <c r="HB42" s="825">
        <v>0</v>
      </c>
      <c r="HC42" s="825">
        <v>0</v>
      </c>
      <c r="HD42" s="825">
        <v>0</v>
      </c>
      <c r="HE42" s="825">
        <v>0</v>
      </c>
      <c r="HF42" s="825">
        <v>0</v>
      </c>
      <c r="HG42" s="825">
        <v>0</v>
      </c>
      <c r="HH42" s="825">
        <v>0</v>
      </c>
      <c r="HI42" s="825">
        <v>0</v>
      </c>
      <c r="HJ42" s="825">
        <v>0</v>
      </c>
      <c r="HK42" s="825">
        <v>0</v>
      </c>
      <c r="HL42" s="825">
        <v>0</v>
      </c>
      <c r="HM42" s="825">
        <v>0</v>
      </c>
      <c r="HN42" s="825">
        <v>0</v>
      </c>
      <c r="HO42" s="825">
        <v>0</v>
      </c>
      <c r="HP42" s="825">
        <v>0</v>
      </c>
      <c r="HQ42" s="825">
        <v>0</v>
      </c>
      <c r="HR42" s="825">
        <v>0</v>
      </c>
      <c r="HS42" s="825">
        <v>0</v>
      </c>
      <c r="HT42" s="825">
        <v>0</v>
      </c>
      <c r="HU42" s="825">
        <v>0</v>
      </c>
    </row>
    <row r="43" spans="1:229" ht="102">
      <c r="A43" s="823" t="s">
        <v>515</v>
      </c>
      <c r="B43" s="823" t="s">
        <v>1210</v>
      </c>
      <c r="C43" s="823" t="s">
        <v>1211</v>
      </c>
      <c r="D43" s="826" t="s">
        <v>1212</v>
      </c>
      <c r="E43" s="826"/>
      <c r="F43" s="824"/>
      <c r="G43" s="826" t="s">
        <v>1213</v>
      </c>
      <c r="H43" s="824" t="s">
        <v>1214</v>
      </c>
      <c r="I43" s="826" t="s">
        <v>1215</v>
      </c>
      <c r="J43" s="826" t="s">
        <v>1216</v>
      </c>
      <c r="K43" s="826" t="s">
        <v>1217</v>
      </c>
      <c r="L43" s="824"/>
      <c r="M43" s="826" t="s">
        <v>1218</v>
      </c>
      <c r="N43" s="824" t="s">
        <v>1219</v>
      </c>
      <c r="O43" s="824" t="s">
        <v>1220</v>
      </c>
      <c r="P43" s="824" t="s">
        <v>1221</v>
      </c>
      <c r="Q43" s="826" t="s">
        <v>1222</v>
      </c>
      <c r="R43" s="824" t="s">
        <v>1223</v>
      </c>
      <c r="S43" s="824" t="s">
        <v>1224</v>
      </c>
      <c r="T43" s="824" t="s">
        <v>1225</v>
      </c>
      <c r="U43" s="824" t="s">
        <v>1226</v>
      </c>
      <c r="V43" s="826" t="s">
        <v>1227</v>
      </c>
      <c r="W43" s="824" t="s">
        <v>1228</v>
      </c>
      <c r="X43" s="824" t="s">
        <v>1229</v>
      </c>
      <c r="Y43" s="824" t="s">
        <v>1230</v>
      </c>
      <c r="Z43" s="824" t="s">
        <v>1231</v>
      </c>
      <c r="AA43" s="826" t="s">
        <v>1232</v>
      </c>
      <c r="AB43" s="826" t="s">
        <v>1233</v>
      </c>
      <c r="AC43" s="826" t="s">
        <v>1234</v>
      </c>
      <c r="AD43" s="826" t="s">
        <v>1235</v>
      </c>
      <c r="AE43" s="824" t="s">
        <v>1236</v>
      </c>
      <c r="AF43" s="824" t="s">
        <v>1237</v>
      </c>
      <c r="AG43" s="826" t="s">
        <v>1238</v>
      </c>
      <c r="AH43" s="824" t="s">
        <v>1239</v>
      </c>
      <c r="AI43" s="824" t="s">
        <v>1240</v>
      </c>
      <c r="AJ43" s="826" t="s">
        <v>1241</v>
      </c>
      <c r="AK43" s="824" t="s">
        <v>1242</v>
      </c>
      <c r="AL43" s="824" t="s">
        <v>1243</v>
      </c>
      <c r="AM43" s="824" t="s">
        <v>1244</v>
      </c>
      <c r="AN43" s="824" t="s">
        <v>1245</v>
      </c>
      <c r="AO43" s="824" t="s">
        <v>1246</v>
      </c>
      <c r="AP43" s="824" t="s">
        <v>1247</v>
      </c>
      <c r="AQ43" s="826" t="s">
        <v>1248</v>
      </c>
      <c r="AR43" s="824" t="s">
        <v>1249</v>
      </c>
      <c r="AS43" s="824"/>
      <c r="AT43" s="824"/>
      <c r="AU43" s="824"/>
      <c r="AV43" s="824"/>
      <c r="AW43" s="824"/>
      <c r="AX43" s="824"/>
      <c r="AY43" s="824"/>
      <c r="AZ43" s="824"/>
      <c r="BA43" s="824"/>
      <c r="BB43" s="824"/>
      <c r="BC43" s="824"/>
      <c r="BD43" s="824"/>
      <c r="BE43" s="824"/>
      <c r="BF43" s="824"/>
      <c r="BG43" s="824"/>
      <c r="BH43" s="824"/>
      <c r="BI43" s="824"/>
      <c r="BJ43" s="824"/>
      <c r="BK43" s="824"/>
      <c r="BL43" s="824"/>
      <c r="BM43" s="824"/>
      <c r="BN43" s="824"/>
      <c r="BO43" s="824"/>
      <c r="BP43" s="824"/>
      <c r="BQ43" s="824"/>
      <c r="BR43" s="824"/>
      <c r="BS43" s="824"/>
      <c r="BT43" s="824"/>
      <c r="BU43" s="824"/>
      <c r="BV43" s="824"/>
      <c r="BW43" s="824"/>
      <c r="BX43" s="824"/>
      <c r="BY43" s="824"/>
      <c r="BZ43" s="824"/>
      <c r="CA43" s="824"/>
      <c r="CB43" s="824"/>
      <c r="CC43" s="824"/>
      <c r="CD43" s="824"/>
      <c r="CE43" s="824"/>
      <c r="CF43" s="824"/>
      <c r="CG43" s="824"/>
      <c r="CH43" s="824"/>
      <c r="CI43" s="824"/>
      <c r="CJ43" s="824"/>
      <c r="CK43" s="824"/>
      <c r="CL43" s="824"/>
      <c r="CM43" s="824"/>
      <c r="CN43" s="824"/>
      <c r="CO43" s="824"/>
      <c r="CP43" s="824"/>
      <c r="CQ43" s="824"/>
      <c r="CR43" s="824"/>
      <c r="CS43" s="824"/>
      <c r="CT43" s="824"/>
      <c r="CU43" s="824"/>
      <c r="CV43" s="824"/>
      <c r="CW43" s="824"/>
      <c r="CX43" s="824"/>
      <c r="CY43" s="824"/>
      <c r="CZ43" s="824"/>
      <c r="DA43" s="824"/>
      <c r="DB43" s="824"/>
      <c r="DC43" s="824"/>
      <c r="DD43" s="824"/>
      <c r="DE43" s="824"/>
      <c r="DF43" s="824"/>
      <c r="DG43" s="824"/>
      <c r="DH43" s="824"/>
      <c r="DI43" s="824"/>
      <c r="DJ43" s="824"/>
      <c r="DK43" s="824"/>
      <c r="DL43" s="824"/>
      <c r="DM43" s="825">
        <v>11.6</v>
      </c>
      <c r="DN43" s="825">
        <v>0</v>
      </c>
      <c r="DO43" s="825">
        <v>0</v>
      </c>
      <c r="DP43" s="825">
        <v>3.1</v>
      </c>
      <c r="DQ43" s="825">
        <v>2.9</v>
      </c>
      <c r="DR43" s="825">
        <v>5.9</v>
      </c>
      <c r="DS43" s="825">
        <v>7.7</v>
      </c>
      <c r="DT43" s="825">
        <v>5.6</v>
      </c>
      <c r="DU43" s="825">
        <v>0</v>
      </c>
      <c r="DV43" s="825">
        <v>10.3</v>
      </c>
      <c r="DW43" s="825">
        <v>10.3</v>
      </c>
      <c r="DX43" s="825">
        <v>10.5</v>
      </c>
      <c r="DY43" s="825">
        <v>5.4</v>
      </c>
      <c r="DZ43" s="825">
        <v>4</v>
      </c>
      <c r="EA43" s="825">
        <v>2.8</v>
      </c>
      <c r="EB43" s="825">
        <v>3</v>
      </c>
      <c r="EC43" s="825">
        <v>0</v>
      </c>
      <c r="ED43" s="825">
        <v>3.6</v>
      </c>
      <c r="EE43" s="825">
        <v>4.7</v>
      </c>
      <c r="EF43" s="825">
        <v>0</v>
      </c>
      <c r="EG43" s="825">
        <v>4.8</v>
      </c>
      <c r="EH43" s="825">
        <v>4.7</v>
      </c>
      <c r="EI43" s="825">
        <v>5.8</v>
      </c>
      <c r="EJ43" s="825">
        <v>5.9</v>
      </c>
      <c r="EK43" s="825">
        <v>5.8</v>
      </c>
      <c r="EL43" s="825">
        <v>4.7</v>
      </c>
      <c r="EM43" s="825">
        <v>7.7</v>
      </c>
      <c r="EN43" s="825">
        <v>6.6</v>
      </c>
      <c r="EO43" s="825">
        <v>4.9000000000000004</v>
      </c>
      <c r="EP43" s="825">
        <v>5.6</v>
      </c>
      <c r="EQ43" s="825">
        <v>0</v>
      </c>
      <c r="ER43" s="825">
        <v>4.9000000000000004</v>
      </c>
      <c r="ES43" s="825">
        <v>10.3</v>
      </c>
      <c r="ET43" s="825">
        <v>10.1</v>
      </c>
      <c r="EU43" s="825">
        <v>10.199999999999999</v>
      </c>
      <c r="EV43" s="825">
        <v>5.5</v>
      </c>
      <c r="EW43" s="825">
        <v>10.1</v>
      </c>
      <c r="EX43" s="825">
        <v>4.9000000000000004</v>
      </c>
      <c r="EY43" s="825">
        <v>0</v>
      </c>
      <c r="EZ43" s="825">
        <v>6.2</v>
      </c>
      <c r="FA43" s="825">
        <v>5.6</v>
      </c>
      <c r="FB43" s="825">
        <v>0</v>
      </c>
      <c r="FC43" s="825">
        <v>0</v>
      </c>
      <c r="FD43" s="825">
        <v>0</v>
      </c>
      <c r="FE43" s="825">
        <v>0</v>
      </c>
      <c r="FF43" s="825">
        <v>0</v>
      </c>
      <c r="FG43" s="825">
        <v>0</v>
      </c>
      <c r="FH43" s="825">
        <v>0</v>
      </c>
      <c r="FI43" s="825">
        <v>0</v>
      </c>
      <c r="FJ43" s="825">
        <v>0</v>
      </c>
      <c r="FK43" s="825">
        <v>0</v>
      </c>
      <c r="FL43" s="825">
        <v>0</v>
      </c>
      <c r="FM43" s="825">
        <v>0</v>
      </c>
      <c r="FN43" s="825">
        <v>0</v>
      </c>
      <c r="FO43" s="825">
        <v>0</v>
      </c>
      <c r="FP43" s="825">
        <v>0</v>
      </c>
      <c r="FQ43" s="825">
        <v>0</v>
      </c>
      <c r="FR43" s="825">
        <v>0</v>
      </c>
      <c r="FS43" s="825">
        <v>0</v>
      </c>
      <c r="FT43" s="825">
        <v>0</v>
      </c>
      <c r="FU43" s="825">
        <v>0</v>
      </c>
      <c r="FV43" s="825">
        <v>0</v>
      </c>
      <c r="FW43" s="825">
        <v>0</v>
      </c>
      <c r="FX43" s="825">
        <v>0</v>
      </c>
      <c r="FY43" s="825">
        <v>0</v>
      </c>
      <c r="FZ43" s="825">
        <v>0</v>
      </c>
      <c r="GA43" s="825">
        <v>0</v>
      </c>
      <c r="GB43" s="825">
        <v>0</v>
      </c>
      <c r="GC43" s="825">
        <v>0</v>
      </c>
      <c r="GD43" s="825">
        <v>0</v>
      </c>
      <c r="GE43" s="825">
        <v>0</v>
      </c>
      <c r="GF43" s="825">
        <v>0</v>
      </c>
      <c r="GG43" s="825">
        <v>0</v>
      </c>
      <c r="GH43" s="825">
        <v>0</v>
      </c>
      <c r="GI43" s="825">
        <v>0</v>
      </c>
      <c r="GJ43" s="825">
        <v>0</v>
      </c>
      <c r="GK43" s="825">
        <v>0</v>
      </c>
      <c r="GL43" s="825">
        <v>0</v>
      </c>
      <c r="GM43" s="825">
        <v>0</v>
      </c>
      <c r="GN43" s="825">
        <v>0</v>
      </c>
      <c r="GO43" s="825">
        <v>0</v>
      </c>
      <c r="GP43" s="825">
        <v>0</v>
      </c>
      <c r="GQ43" s="825">
        <v>0</v>
      </c>
      <c r="GR43" s="825">
        <v>0</v>
      </c>
      <c r="GS43" s="825">
        <v>0</v>
      </c>
      <c r="GT43" s="825">
        <v>0</v>
      </c>
      <c r="GU43" s="825">
        <v>0</v>
      </c>
      <c r="GV43" s="825">
        <v>0</v>
      </c>
      <c r="GW43" s="825">
        <v>0</v>
      </c>
      <c r="GX43" s="825">
        <v>0</v>
      </c>
      <c r="GY43" s="825">
        <v>0</v>
      </c>
      <c r="GZ43" s="825">
        <v>0</v>
      </c>
      <c r="HA43" s="825">
        <v>0</v>
      </c>
      <c r="HB43" s="825">
        <v>0</v>
      </c>
      <c r="HC43" s="825">
        <v>0</v>
      </c>
      <c r="HD43" s="825">
        <v>0</v>
      </c>
      <c r="HE43" s="825">
        <v>0</v>
      </c>
      <c r="HF43" s="825">
        <v>0</v>
      </c>
      <c r="HG43" s="825">
        <v>0</v>
      </c>
      <c r="HH43" s="825">
        <v>0</v>
      </c>
      <c r="HI43" s="825">
        <v>0</v>
      </c>
      <c r="HJ43" s="825">
        <v>0</v>
      </c>
      <c r="HK43" s="825">
        <v>0</v>
      </c>
      <c r="HL43" s="825">
        <v>0</v>
      </c>
      <c r="HM43" s="825">
        <v>0</v>
      </c>
      <c r="HN43" s="825">
        <v>0</v>
      </c>
      <c r="HO43" s="825">
        <v>0</v>
      </c>
      <c r="HP43" s="825">
        <v>0</v>
      </c>
      <c r="HQ43" s="825">
        <v>0</v>
      </c>
      <c r="HR43" s="825">
        <v>0</v>
      </c>
      <c r="HS43" s="825">
        <v>0</v>
      </c>
      <c r="HT43" s="825">
        <v>0</v>
      </c>
      <c r="HU43" s="825">
        <v>0</v>
      </c>
    </row>
    <row r="44" spans="1:229" ht="153">
      <c r="A44" s="823" t="s">
        <v>515</v>
      </c>
      <c r="B44" s="823" t="s">
        <v>1250</v>
      </c>
      <c r="C44" s="823" t="s">
        <v>1251</v>
      </c>
      <c r="D44" s="824"/>
      <c r="E44" s="824"/>
      <c r="F44" s="826" t="s">
        <v>1252</v>
      </c>
      <c r="G44" s="826" t="s">
        <v>1253</v>
      </c>
      <c r="H44" s="826" t="s">
        <v>1254</v>
      </c>
      <c r="I44" s="824"/>
      <c r="J44" s="826" t="s">
        <v>1255</v>
      </c>
      <c r="K44" s="826" t="s">
        <v>1256</v>
      </c>
      <c r="L44" s="824" t="s">
        <v>1257</v>
      </c>
      <c r="M44" s="826" t="s">
        <v>1258</v>
      </c>
      <c r="N44" s="824"/>
      <c r="O44" s="824" t="s">
        <v>1259</v>
      </c>
      <c r="P44" s="824" t="s">
        <v>1260</v>
      </c>
      <c r="Q44" s="824"/>
      <c r="R44" s="826" t="s">
        <v>1261</v>
      </c>
      <c r="S44" s="826" t="s">
        <v>1262</v>
      </c>
      <c r="T44" s="824" t="s">
        <v>1263</v>
      </c>
      <c r="U44" s="824" t="s">
        <v>1264</v>
      </c>
      <c r="V44" s="824" t="s">
        <v>1265</v>
      </c>
      <c r="W44" s="824" t="s">
        <v>1266</v>
      </c>
      <c r="X44" s="826" t="s">
        <v>1267</v>
      </c>
      <c r="Y44" s="826" t="s">
        <v>1268</v>
      </c>
      <c r="Z44" s="824" t="s">
        <v>1269</v>
      </c>
      <c r="AA44" s="824" t="s">
        <v>1270</v>
      </c>
      <c r="AB44" s="826" t="s">
        <v>1271</v>
      </c>
      <c r="AC44" s="824" t="s">
        <v>1272</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c r="BC44" s="824"/>
      <c r="BD44" s="824"/>
      <c r="BE44" s="824"/>
      <c r="BF44" s="824"/>
      <c r="BG44" s="824"/>
      <c r="BH44" s="824"/>
      <c r="BI44" s="824"/>
      <c r="BJ44" s="824"/>
      <c r="BK44" s="824"/>
      <c r="BL44" s="824"/>
      <c r="BM44" s="824"/>
      <c r="BN44" s="824"/>
      <c r="BO44" s="824"/>
      <c r="BP44" s="824"/>
      <c r="BQ44" s="824"/>
      <c r="BR44" s="824"/>
      <c r="BS44" s="824"/>
      <c r="BT44" s="824"/>
      <c r="BU44" s="824"/>
      <c r="BV44" s="824"/>
      <c r="BW44" s="824"/>
      <c r="BX44" s="824"/>
      <c r="BY44" s="824"/>
      <c r="BZ44" s="824"/>
      <c r="CA44" s="824"/>
      <c r="CB44" s="824"/>
      <c r="CC44" s="824"/>
      <c r="CD44" s="824"/>
      <c r="CE44" s="824"/>
      <c r="CF44" s="824"/>
      <c r="CG44" s="824"/>
      <c r="CH44" s="824"/>
      <c r="CI44" s="824"/>
      <c r="CJ44" s="824"/>
      <c r="CK44" s="824"/>
      <c r="CL44" s="824"/>
      <c r="CM44" s="824"/>
      <c r="CN44" s="824"/>
      <c r="CO44" s="824"/>
      <c r="CP44" s="824"/>
      <c r="CQ44" s="824"/>
      <c r="CR44" s="824"/>
      <c r="CS44" s="824"/>
      <c r="CT44" s="824"/>
      <c r="CU44" s="824"/>
      <c r="CV44" s="824"/>
      <c r="CW44" s="824"/>
      <c r="CX44" s="824"/>
      <c r="CY44" s="824"/>
      <c r="CZ44" s="824"/>
      <c r="DA44" s="824"/>
      <c r="DB44" s="824"/>
      <c r="DC44" s="824"/>
      <c r="DD44" s="824"/>
      <c r="DE44" s="824"/>
      <c r="DF44" s="824"/>
      <c r="DG44" s="824"/>
      <c r="DH44" s="824"/>
      <c r="DI44" s="824"/>
      <c r="DJ44" s="824"/>
      <c r="DK44" s="824"/>
      <c r="DL44" s="824"/>
      <c r="DM44" s="825">
        <v>0</v>
      </c>
      <c r="DN44" s="825">
        <v>0</v>
      </c>
      <c r="DO44" s="825">
        <v>6.2</v>
      </c>
      <c r="DP44" s="825">
        <v>9.6</v>
      </c>
      <c r="DQ44" s="825">
        <v>6.8</v>
      </c>
      <c r="DR44" s="825">
        <v>0</v>
      </c>
      <c r="DS44" s="825">
        <v>8.5</v>
      </c>
      <c r="DT44" s="825">
        <v>7</v>
      </c>
      <c r="DU44" s="825">
        <v>9.6999999999999993</v>
      </c>
      <c r="DV44" s="825">
        <v>9.1999999999999993</v>
      </c>
      <c r="DW44" s="825">
        <v>0</v>
      </c>
      <c r="DX44" s="825">
        <v>8.3000000000000007</v>
      </c>
      <c r="DY44" s="825">
        <v>7</v>
      </c>
      <c r="DZ44" s="825">
        <v>0</v>
      </c>
      <c r="EA44" s="825">
        <v>16.2</v>
      </c>
      <c r="EB44" s="825">
        <v>8.5</v>
      </c>
      <c r="EC44" s="825">
        <v>0</v>
      </c>
      <c r="ED44" s="825">
        <v>10.3</v>
      </c>
      <c r="EE44" s="825">
        <v>0</v>
      </c>
      <c r="EF44" s="825">
        <v>4.5999999999999996</v>
      </c>
      <c r="EG44" s="825">
        <v>5.5</v>
      </c>
      <c r="EH44" s="825">
        <v>6.8</v>
      </c>
      <c r="EI44" s="825">
        <v>0</v>
      </c>
      <c r="EJ44" s="825">
        <v>0</v>
      </c>
      <c r="EK44" s="825">
        <v>9.6999999999999993</v>
      </c>
      <c r="EL44" s="825">
        <v>10.4</v>
      </c>
      <c r="EM44" s="825">
        <v>0</v>
      </c>
      <c r="EN44" s="825">
        <v>0</v>
      </c>
      <c r="EO44" s="825">
        <v>0</v>
      </c>
      <c r="EP44" s="825">
        <v>0</v>
      </c>
      <c r="EQ44" s="825">
        <v>0</v>
      </c>
      <c r="ER44" s="825">
        <v>0</v>
      </c>
      <c r="ES44" s="825">
        <v>0</v>
      </c>
      <c r="ET44" s="825">
        <v>0</v>
      </c>
      <c r="EU44" s="825">
        <v>0</v>
      </c>
      <c r="EV44" s="825">
        <v>0</v>
      </c>
      <c r="EW44" s="825">
        <v>0</v>
      </c>
      <c r="EX44" s="825">
        <v>0</v>
      </c>
      <c r="EY44" s="825">
        <v>0</v>
      </c>
      <c r="EZ44" s="825">
        <v>0</v>
      </c>
      <c r="FA44" s="825">
        <v>0</v>
      </c>
      <c r="FB44" s="825">
        <v>0</v>
      </c>
      <c r="FC44" s="825">
        <v>0</v>
      </c>
      <c r="FD44" s="825">
        <v>0</v>
      </c>
      <c r="FE44" s="825">
        <v>0</v>
      </c>
      <c r="FF44" s="825">
        <v>0</v>
      </c>
      <c r="FG44" s="825">
        <v>0</v>
      </c>
      <c r="FH44" s="825">
        <v>0</v>
      </c>
      <c r="FI44" s="825">
        <v>0</v>
      </c>
      <c r="FJ44" s="825">
        <v>0</v>
      </c>
      <c r="FK44" s="825">
        <v>0</v>
      </c>
      <c r="FL44" s="825">
        <v>0</v>
      </c>
      <c r="FM44" s="825">
        <v>0</v>
      </c>
      <c r="FN44" s="825">
        <v>0</v>
      </c>
      <c r="FO44" s="825">
        <v>0</v>
      </c>
      <c r="FP44" s="825">
        <v>0</v>
      </c>
      <c r="FQ44" s="825">
        <v>0</v>
      </c>
      <c r="FR44" s="825">
        <v>0</v>
      </c>
      <c r="FS44" s="825">
        <v>0</v>
      </c>
      <c r="FT44" s="825">
        <v>0</v>
      </c>
      <c r="FU44" s="825">
        <v>0</v>
      </c>
      <c r="FV44" s="825">
        <v>0</v>
      </c>
      <c r="FW44" s="825">
        <v>0</v>
      </c>
      <c r="FX44" s="825">
        <v>0</v>
      </c>
      <c r="FY44" s="825">
        <v>0</v>
      </c>
      <c r="FZ44" s="825">
        <v>0</v>
      </c>
      <c r="GA44" s="825">
        <v>0</v>
      </c>
      <c r="GB44" s="825">
        <v>0</v>
      </c>
      <c r="GC44" s="825">
        <v>0</v>
      </c>
      <c r="GD44" s="825">
        <v>0</v>
      </c>
      <c r="GE44" s="825">
        <v>0</v>
      </c>
      <c r="GF44" s="825">
        <v>0</v>
      </c>
      <c r="GG44" s="825">
        <v>0</v>
      </c>
      <c r="GH44" s="825">
        <v>0</v>
      </c>
      <c r="GI44" s="825">
        <v>0</v>
      </c>
      <c r="GJ44" s="825">
        <v>0</v>
      </c>
      <c r="GK44" s="825">
        <v>0</v>
      </c>
      <c r="GL44" s="825">
        <v>0</v>
      </c>
      <c r="GM44" s="825">
        <v>0</v>
      </c>
      <c r="GN44" s="825">
        <v>0</v>
      </c>
      <c r="GO44" s="825">
        <v>0</v>
      </c>
      <c r="GP44" s="825">
        <v>0</v>
      </c>
      <c r="GQ44" s="825">
        <v>0</v>
      </c>
      <c r="GR44" s="825">
        <v>0</v>
      </c>
      <c r="GS44" s="825">
        <v>0</v>
      </c>
      <c r="GT44" s="825">
        <v>0</v>
      </c>
      <c r="GU44" s="825">
        <v>0</v>
      </c>
      <c r="GV44" s="825">
        <v>0</v>
      </c>
      <c r="GW44" s="825">
        <v>0</v>
      </c>
      <c r="GX44" s="825">
        <v>0</v>
      </c>
      <c r="GY44" s="825">
        <v>0</v>
      </c>
      <c r="GZ44" s="825">
        <v>0</v>
      </c>
      <c r="HA44" s="825">
        <v>0</v>
      </c>
      <c r="HB44" s="825">
        <v>0</v>
      </c>
      <c r="HC44" s="825">
        <v>0</v>
      </c>
      <c r="HD44" s="825">
        <v>0</v>
      </c>
      <c r="HE44" s="825">
        <v>0</v>
      </c>
      <c r="HF44" s="825">
        <v>0</v>
      </c>
      <c r="HG44" s="825">
        <v>0</v>
      </c>
      <c r="HH44" s="825">
        <v>0</v>
      </c>
      <c r="HI44" s="825">
        <v>0</v>
      </c>
      <c r="HJ44" s="825">
        <v>0</v>
      </c>
      <c r="HK44" s="825">
        <v>0</v>
      </c>
      <c r="HL44" s="825">
        <v>0</v>
      </c>
      <c r="HM44" s="825">
        <v>0</v>
      </c>
      <c r="HN44" s="825">
        <v>0</v>
      </c>
      <c r="HO44" s="825">
        <v>0</v>
      </c>
      <c r="HP44" s="825">
        <v>0</v>
      </c>
      <c r="HQ44" s="825">
        <v>0</v>
      </c>
      <c r="HR44" s="825">
        <v>0</v>
      </c>
      <c r="HS44" s="825">
        <v>0</v>
      </c>
      <c r="HT44" s="825">
        <v>0</v>
      </c>
      <c r="HU44" s="825">
        <v>0</v>
      </c>
    </row>
    <row r="45" spans="1:229" ht="51">
      <c r="A45" s="823" t="s">
        <v>515</v>
      </c>
      <c r="B45" s="823" t="s">
        <v>1273</v>
      </c>
      <c r="C45" s="823" t="s">
        <v>1274</v>
      </c>
      <c r="D45" s="824"/>
      <c r="E45" s="824"/>
      <c r="F45" s="824"/>
      <c r="G45" s="826" t="s">
        <v>1275</v>
      </c>
      <c r="H45" s="824"/>
      <c r="I45" s="824" t="s">
        <v>1276</v>
      </c>
      <c r="J45" s="824"/>
      <c r="K45" s="824"/>
      <c r="L45" s="824"/>
      <c r="M45" s="824"/>
      <c r="N45" s="824"/>
      <c r="O45" s="824"/>
      <c r="P45" s="824"/>
      <c r="Q45" s="824"/>
      <c r="R45" s="824"/>
      <c r="S45" s="824"/>
      <c r="T45" s="824"/>
      <c r="U45" s="824"/>
      <c r="V45" s="824"/>
      <c r="W45" s="824"/>
      <c r="X45" s="824"/>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c r="BC45" s="824"/>
      <c r="BD45" s="824"/>
      <c r="BE45" s="824"/>
      <c r="BF45" s="824"/>
      <c r="BG45" s="824"/>
      <c r="BH45" s="824"/>
      <c r="BI45" s="824"/>
      <c r="BJ45" s="824"/>
      <c r="BK45" s="824"/>
      <c r="BL45" s="824"/>
      <c r="BM45" s="824"/>
      <c r="BN45" s="824"/>
      <c r="BO45" s="824"/>
      <c r="BP45" s="824"/>
      <c r="BQ45" s="824"/>
      <c r="BR45" s="824"/>
      <c r="BS45" s="824"/>
      <c r="BT45" s="824"/>
      <c r="BU45" s="824"/>
      <c r="BV45" s="824"/>
      <c r="BW45" s="824"/>
      <c r="BX45" s="824"/>
      <c r="BY45" s="824"/>
      <c r="BZ45" s="824"/>
      <c r="CA45" s="824"/>
      <c r="CB45" s="824"/>
      <c r="CC45" s="824"/>
      <c r="CD45" s="824"/>
      <c r="CE45" s="824"/>
      <c r="CF45" s="824"/>
      <c r="CG45" s="824"/>
      <c r="CH45" s="824"/>
      <c r="CI45" s="824"/>
      <c r="CJ45" s="824"/>
      <c r="CK45" s="824"/>
      <c r="CL45" s="824"/>
      <c r="CM45" s="824"/>
      <c r="CN45" s="824"/>
      <c r="CO45" s="824"/>
      <c r="CP45" s="824"/>
      <c r="CQ45" s="824"/>
      <c r="CR45" s="824"/>
      <c r="CS45" s="824"/>
      <c r="CT45" s="824"/>
      <c r="CU45" s="824"/>
      <c r="CV45" s="824"/>
      <c r="CW45" s="824"/>
      <c r="CX45" s="824"/>
      <c r="CY45" s="824"/>
      <c r="CZ45" s="824"/>
      <c r="DA45" s="824"/>
      <c r="DB45" s="824"/>
      <c r="DC45" s="824"/>
      <c r="DD45" s="824"/>
      <c r="DE45" s="824"/>
      <c r="DF45" s="824"/>
      <c r="DG45" s="824"/>
      <c r="DH45" s="824"/>
      <c r="DI45" s="824"/>
      <c r="DJ45" s="824"/>
      <c r="DK45" s="824"/>
      <c r="DL45" s="824"/>
      <c r="DM45" s="825">
        <v>0</v>
      </c>
      <c r="DN45" s="825">
        <v>0</v>
      </c>
      <c r="DO45" s="825">
        <v>0</v>
      </c>
      <c r="DP45" s="825">
        <v>3.7</v>
      </c>
      <c r="DQ45" s="825">
        <v>0</v>
      </c>
      <c r="DR45" s="825">
        <v>7.5</v>
      </c>
      <c r="DS45" s="825">
        <v>0</v>
      </c>
      <c r="DT45" s="825">
        <v>0</v>
      </c>
      <c r="DU45" s="825">
        <v>0</v>
      </c>
      <c r="DV45" s="825">
        <v>0</v>
      </c>
      <c r="DW45" s="825">
        <v>0</v>
      </c>
      <c r="DX45" s="825">
        <v>0</v>
      </c>
      <c r="DY45" s="825">
        <v>0</v>
      </c>
      <c r="DZ45" s="825">
        <v>0</v>
      </c>
      <c r="EA45" s="825">
        <v>0</v>
      </c>
      <c r="EB45" s="825">
        <v>0</v>
      </c>
      <c r="EC45" s="825">
        <v>0</v>
      </c>
      <c r="ED45" s="825">
        <v>0</v>
      </c>
      <c r="EE45" s="825">
        <v>0</v>
      </c>
      <c r="EF45" s="825">
        <v>0</v>
      </c>
      <c r="EG45" s="825">
        <v>0</v>
      </c>
      <c r="EH45" s="825">
        <v>0</v>
      </c>
      <c r="EI45" s="825">
        <v>0</v>
      </c>
      <c r="EJ45" s="825">
        <v>0</v>
      </c>
      <c r="EK45" s="825">
        <v>0</v>
      </c>
      <c r="EL45" s="825">
        <v>0</v>
      </c>
      <c r="EM45" s="825">
        <v>0</v>
      </c>
      <c r="EN45" s="825">
        <v>0</v>
      </c>
      <c r="EO45" s="825">
        <v>0</v>
      </c>
      <c r="EP45" s="825">
        <v>0</v>
      </c>
      <c r="EQ45" s="825">
        <v>0</v>
      </c>
      <c r="ER45" s="825">
        <v>0</v>
      </c>
      <c r="ES45" s="825">
        <v>0</v>
      </c>
      <c r="ET45" s="825">
        <v>0</v>
      </c>
      <c r="EU45" s="825">
        <v>0</v>
      </c>
      <c r="EV45" s="825">
        <v>0</v>
      </c>
      <c r="EW45" s="825">
        <v>0</v>
      </c>
      <c r="EX45" s="825">
        <v>0</v>
      </c>
      <c r="EY45" s="825">
        <v>0</v>
      </c>
      <c r="EZ45" s="825">
        <v>0</v>
      </c>
      <c r="FA45" s="825">
        <v>0</v>
      </c>
      <c r="FB45" s="825">
        <v>0</v>
      </c>
      <c r="FC45" s="825">
        <v>0</v>
      </c>
      <c r="FD45" s="825">
        <v>0</v>
      </c>
      <c r="FE45" s="825">
        <v>0</v>
      </c>
      <c r="FF45" s="825">
        <v>0</v>
      </c>
      <c r="FG45" s="825">
        <v>0</v>
      </c>
      <c r="FH45" s="825">
        <v>0</v>
      </c>
      <c r="FI45" s="825">
        <v>0</v>
      </c>
      <c r="FJ45" s="825">
        <v>0</v>
      </c>
      <c r="FK45" s="825">
        <v>0</v>
      </c>
      <c r="FL45" s="825">
        <v>0</v>
      </c>
      <c r="FM45" s="825">
        <v>0</v>
      </c>
      <c r="FN45" s="825">
        <v>0</v>
      </c>
      <c r="FO45" s="825">
        <v>0</v>
      </c>
      <c r="FP45" s="825">
        <v>0</v>
      </c>
      <c r="FQ45" s="825">
        <v>0</v>
      </c>
      <c r="FR45" s="825">
        <v>0</v>
      </c>
      <c r="FS45" s="825">
        <v>0</v>
      </c>
      <c r="FT45" s="825">
        <v>0</v>
      </c>
      <c r="FU45" s="825">
        <v>0</v>
      </c>
      <c r="FV45" s="825">
        <v>0</v>
      </c>
      <c r="FW45" s="825">
        <v>0</v>
      </c>
      <c r="FX45" s="825">
        <v>0</v>
      </c>
      <c r="FY45" s="825">
        <v>0</v>
      </c>
      <c r="FZ45" s="825">
        <v>0</v>
      </c>
      <c r="GA45" s="825">
        <v>0</v>
      </c>
      <c r="GB45" s="825">
        <v>0</v>
      </c>
      <c r="GC45" s="825">
        <v>0</v>
      </c>
      <c r="GD45" s="825">
        <v>0</v>
      </c>
      <c r="GE45" s="825">
        <v>0</v>
      </c>
      <c r="GF45" s="825">
        <v>0</v>
      </c>
      <c r="GG45" s="825">
        <v>0</v>
      </c>
      <c r="GH45" s="825">
        <v>0</v>
      </c>
      <c r="GI45" s="825">
        <v>0</v>
      </c>
      <c r="GJ45" s="825">
        <v>0</v>
      </c>
      <c r="GK45" s="825">
        <v>0</v>
      </c>
      <c r="GL45" s="825">
        <v>0</v>
      </c>
      <c r="GM45" s="825">
        <v>0</v>
      </c>
      <c r="GN45" s="825">
        <v>0</v>
      </c>
      <c r="GO45" s="825">
        <v>0</v>
      </c>
      <c r="GP45" s="825">
        <v>0</v>
      </c>
      <c r="GQ45" s="825">
        <v>0</v>
      </c>
      <c r="GR45" s="825">
        <v>0</v>
      </c>
      <c r="GS45" s="825">
        <v>0</v>
      </c>
      <c r="GT45" s="825">
        <v>0</v>
      </c>
      <c r="GU45" s="825">
        <v>0</v>
      </c>
      <c r="GV45" s="825">
        <v>0</v>
      </c>
      <c r="GW45" s="825">
        <v>0</v>
      </c>
      <c r="GX45" s="825">
        <v>0</v>
      </c>
      <c r="GY45" s="825">
        <v>0</v>
      </c>
      <c r="GZ45" s="825">
        <v>0</v>
      </c>
      <c r="HA45" s="825">
        <v>0</v>
      </c>
      <c r="HB45" s="825">
        <v>0</v>
      </c>
      <c r="HC45" s="825">
        <v>0</v>
      </c>
      <c r="HD45" s="825">
        <v>0</v>
      </c>
      <c r="HE45" s="825">
        <v>0</v>
      </c>
      <c r="HF45" s="825">
        <v>0</v>
      </c>
      <c r="HG45" s="825">
        <v>0</v>
      </c>
      <c r="HH45" s="825">
        <v>0</v>
      </c>
      <c r="HI45" s="825">
        <v>0</v>
      </c>
      <c r="HJ45" s="825">
        <v>0</v>
      </c>
      <c r="HK45" s="825">
        <v>0</v>
      </c>
      <c r="HL45" s="825">
        <v>0</v>
      </c>
      <c r="HM45" s="825">
        <v>0</v>
      </c>
      <c r="HN45" s="825">
        <v>0</v>
      </c>
      <c r="HO45" s="825">
        <v>0</v>
      </c>
      <c r="HP45" s="825">
        <v>0</v>
      </c>
      <c r="HQ45" s="825">
        <v>0</v>
      </c>
      <c r="HR45" s="825">
        <v>0</v>
      </c>
      <c r="HS45" s="825">
        <v>0</v>
      </c>
      <c r="HT45" s="825">
        <v>0</v>
      </c>
      <c r="HU45" s="825">
        <v>0</v>
      </c>
    </row>
    <row r="46" spans="1:229" ht="204">
      <c r="A46" s="823" t="s">
        <v>515</v>
      </c>
      <c r="B46" s="823" t="s">
        <v>1277</v>
      </c>
      <c r="C46" s="823" t="s">
        <v>1278</v>
      </c>
      <c r="D46" s="824" t="s">
        <v>1279</v>
      </c>
      <c r="E46" s="824"/>
      <c r="F46" s="824" t="s">
        <v>1280</v>
      </c>
      <c r="G46" s="824"/>
      <c r="H46" s="824"/>
      <c r="I46" s="824"/>
      <c r="J46" s="824"/>
      <c r="K46" s="824"/>
      <c r="L46" s="826" t="s">
        <v>1281</v>
      </c>
      <c r="M46" s="824"/>
      <c r="N46" s="824"/>
      <c r="O46" s="824"/>
      <c r="P46" s="824"/>
      <c r="Q46" s="824"/>
      <c r="R46" s="824" t="s">
        <v>1282</v>
      </c>
      <c r="S46" s="826" t="s">
        <v>1283</v>
      </c>
      <c r="T46" s="824" t="s">
        <v>1284</v>
      </c>
      <c r="U46" s="824" t="s">
        <v>1285</v>
      </c>
      <c r="V46" s="824" t="s">
        <v>1286</v>
      </c>
      <c r="W46" s="824" t="s">
        <v>1287</v>
      </c>
      <c r="X46" s="824" t="s">
        <v>1288</v>
      </c>
      <c r="Y46" s="824" t="s">
        <v>1289</v>
      </c>
      <c r="Z46" s="826" t="s">
        <v>1290</v>
      </c>
      <c r="AA46" s="824" t="s">
        <v>1291</v>
      </c>
      <c r="AB46" s="824" t="s">
        <v>1292</v>
      </c>
      <c r="AC46" s="824" t="s">
        <v>1293</v>
      </c>
      <c r="AD46" s="824" t="s">
        <v>1294</v>
      </c>
      <c r="AE46" s="824" t="s">
        <v>1295</v>
      </c>
      <c r="AF46" s="824" t="s">
        <v>1296</v>
      </c>
      <c r="AG46" s="824" t="s">
        <v>1297</v>
      </c>
      <c r="AH46" s="824" t="s">
        <v>1298</v>
      </c>
      <c r="AI46" s="824" t="s">
        <v>1299</v>
      </c>
      <c r="AJ46" s="824" t="s">
        <v>1300</v>
      </c>
      <c r="AK46" s="824" t="s">
        <v>1301</v>
      </c>
      <c r="AL46" s="824" t="s">
        <v>1302</v>
      </c>
      <c r="AM46" s="824" t="s">
        <v>1303</v>
      </c>
      <c r="AN46" s="826" t="s">
        <v>1304</v>
      </c>
      <c r="AO46" s="824" t="s">
        <v>1305</v>
      </c>
      <c r="AP46" s="824" t="s">
        <v>1306</v>
      </c>
      <c r="AQ46" s="824" t="s">
        <v>1307</v>
      </c>
      <c r="AR46" s="824" t="s">
        <v>1308</v>
      </c>
      <c r="AS46" s="824" t="s">
        <v>1309</v>
      </c>
      <c r="AT46" s="824" t="s">
        <v>1310</v>
      </c>
      <c r="AU46" s="824" t="s">
        <v>1311</v>
      </c>
      <c r="AV46" s="824" t="s">
        <v>1312</v>
      </c>
      <c r="AW46" s="824" t="s">
        <v>1313</v>
      </c>
      <c r="AX46" s="824" t="s">
        <v>1314</v>
      </c>
      <c r="AY46" s="824" t="s">
        <v>1315</v>
      </c>
      <c r="AZ46" s="824" t="s">
        <v>1316</v>
      </c>
      <c r="BA46" s="824" t="s">
        <v>1317</v>
      </c>
      <c r="BB46" s="824" t="s">
        <v>1318</v>
      </c>
      <c r="BC46" s="824" t="s">
        <v>1319</v>
      </c>
      <c r="BD46" s="824" t="s">
        <v>1320</v>
      </c>
      <c r="BE46" s="824" t="s">
        <v>1321</v>
      </c>
      <c r="BF46" s="824" t="s">
        <v>1322</v>
      </c>
      <c r="BG46" s="824" t="s">
        <v>1323</v>
      </c>
      <c r="BH46" s="824" t="s">
        <v>1324</v>
      </c>
      <c r="BI46" s="824" t="s">
        <v>1325</v>
      </c>
      <c r="BJ46" s="824" t="s">
        <v>1326</v>
      </c>
      <c r="BK46" s="824" t="s">
        <v>1327</v>
      </c>
      <c r="BL46" s="824" t="s">
        <v>1328</v>
      </c>
      <c r="BM46" s="824" t="s">
        <v>1329</v>
      </c>
      <c r="BN46" s="824" t="s">
        <v>1330</v>
      </c>
      <c r="BO46" s="824" t="s">
        <v>1331</v>
      </c>
      <c r="BP46" s="824" t="s">
        <v>1332</v>
      </c>
      <c r="BQ46" s="824" t="s">
        <v>1333</v>
      </c>
      <c r="BR46" s="824" t="s">
        <v>1334</v>
      </c>
      <c r="BS46" s="824" t="s">
        <v>1335</v>
      </c>
      <c r="BT46" s="824" t="s">
        <v>1336</v>
      </c>
      <c r="BU46" s="824" t="s">
        <v>1337</v>
      </c>
      <c r="BV46" s="824" t="s">
        <v>1338</v>
      </c>
      <c r="BW46" s="824" t="s">
        <v>1339</v>
      </c>
      <c r="BX46" s="824" t="s">
        <v>1340</v>
      </c>
      <c r="BY46" s="824" t="s">
        <v>1341</v>
      </c>
      <c r="BZ46" s="824" t="s">
        <v>1342</v>
      </c>
      <c r="CA46" s="824" t="s">
        <v>1343</v>
      </c>
      <c r="CB46" s="824" t="s">
        <v>1344</v>
      </c>
      <c r="CC46" s="824" t="s">
        <v>1345</v>
      </c>
      <c r="CD46" s="824" t="s">
        <v>1346</v>
      </c>
      <c r="CE46" s="824" t="s">
        <v>1347</v>
      </c>
      <c r="CF46" s="824" t="s">
        <v>1348</v>
      </c>
      <c r="CG46" s="824" t="s">
        <v>1349</v>
      </c>
      <c r="CH46" s="824" t="s">
        <v>1350</v>
      </c>
      <c r="CI46" s="824" t="s">
        <v>1351</v>
      </c>
      <c r="CJ46" s="824" t="s">
        <v>1352</v>
      </c>
      <c r="CK46" s="824" t="s">
        <v>1353</v>
      </c>
      <c r="CL46" s="824" t="s">
        <v>1354</v>
      </c>
      <c r="CM46" s="824" t="s">
        <v>1355</v>
      </c>
      <c r="CN46" s="824" t="s">
        <v>1356</v>
      </c>
      <c r="CO46" s="824" t="s">
        <v>1357</v>
      </c>
      <c r="CP46" s="824" t="s">
        <v>1358</v>
      </c>
      <c r="CQ46" s="824" t="s">
        <v>1359</v>
      </c>
      <c r="CR46" s="824" t="s">
        <v>1360</v>
      </c>
      <c r="CS46" s="824" t="s">
        <v>1361</v>
      </c>
      <c r="CT46" s="824" t="s">
        <v>1362</v>
      </c>
      <c r="CU46" s="824" t="s">
        <v>1363</v>
      </c>
      <c r="CV46" s="824" t="s">
        <v>1364</v>
      </c>
      <c r="CW46" s="824" t="s">
        <v>1365</v>
      </c>
      <c r="CX46" s="824" t="s">
        <v>1366</v>
      </c>
      <c r="CY46" s="824" t="s">
        <v>1367</v>
      </c>
      <c r="CZ46" s="824" t="s">
        <v>1368</v>
      </c>
      <c r="DA46" s="824" t="s">
        <v>1369</v>
      </c>
      <c r="DB46" s="824" t="s">
        <v>1370</v>
      </c>
      <c r="DC46" s="824" t="s">
        <v>1371</v>
      </c>
      <c r="DD46" s="824" t="s">
        <v>1372</v>
      </c>
      <c r="DE46" s="824" t="s">
        <v>1373</v>
      </c>
      <c r="DF46" s="824" t="s">
        <v>1374</v>
      </c>
      <c r="DG46" s="824" t="s">
        <v>1375</v>
      </c>
      <c r="DH46" s="824" t="s">
        <v>1376</v>
      </c>
      <c r="DI46" s="824" t="s">
        <v>1377</v>
      </c>
      <c r="DJ46" s="824" t="s">
        <v>1378</v>
      </c>
      <c r="DK46" s="824" t="s">
        <v>1379</v>
      </c>
      <c r="DL46" s="824" t="s">
        <v>1380</v>
      </c>
      <c r="DM46" s="825">
        <v>9.1</v>
      </c>
      <c r="DN46" s="825">
        <v>0</v>
      </c>
      <c r="DO46" s="825">
        <v>11.4</v>
      </c>
      <c r="DP46" s="825">
        <v>0</v>
      </c>
      <c r="DQ46" s="825">
        <v>0</v>
      </c>
      <c r="DR46" s="825">
        <v>0</v>
      </c>
      <c r="DS46" s="825">
        <v>0</v>
      </c>
      <c r="DT46" s="825">
        <v>0</v>
      </c>
      <c r="DU46" s="825">
        <v>11.6</v>
      </c>
      <c r="DV46" s="825">
        <v>0</v>
      </c>
      <c r="DW46" s="825">
        <v>0</v>
      </c>
      <c r="DX46" s="825">
        <v>0</v>
      </c>
      <c r="DY46" s="825">
        <v>0</v>
      </c>
      <c r="DZ46" s="825">
        <v>0</v>
      </c>
      <c r="EA46" s="825">
        <v>10.4</v>
      </c>
      <c r="EB46" s="825">
        <v>34.6</v>
      </c>
      <c r="EC46" s="825">
        <v>0</v>
      </c>
      <c r="ED46" s="825">
        <v>0</v>
      </c>
      <c r="EE46" s="825">
        <v>0</v>
      </c>
      <c r="EF46" s="825">
        <v>0</v>
      </c>
      <c r="EG46" s="825">
        <v>0</v>
      </c>
      <c r="EH46" s="825">
        <v>0</v>
      </c>
      <c r="EI46" s="825">
        <v>0</v>
      </c>
      <c r="EJ46" s="825">
        <v>0</v>
      </c>
      <c r="EK46" s="825">
        <v>0</v>
      </c>
      <c r="EL46" s="825">
        <v>0</v>
      </c>
      <c r="EM46" s="825">
        <v>0</v>
      </c>
      <c r="EN46" s="825">
        <v>0</v>
      </c>
      <c r="EO46" s="825">
        <v>0</v>
      </c>
      <c r="EP46" s="825">
        <v>0</v>
      </c>
      <c r="EQ46" s="825">
        <v>0</v>
      </c>
      <c r="ER46" s="825">
        <v>0</v>
      </c>
      <c r="ES46" s="825">
        <v>0</v>
      </c>
      <c r="ET46" s="825">
        <v>0</v>
      </c>
      <c r="EU46" s="825">
        <v>0</v>
      </c>
      <c r="EV46" s="825">
        <v>0</v>
      </c>
      <c r="EW46" s="825">
        <v>0</v>
      </c>
      <c r="EX46" s="825">
        <v>0</v>
      </c>
      <c r="EY46" s="825">
        <v>0</v>
      </c>
      <c r="EZ46" s="825">
        <v>0</v>
      </c>
      <c r="FA46" s="825">
        <v>0</v>
      </c>
      <c r="FB46" s="825">
        <v>0</v>
      </c>
      <c r="FC46" s="825">
        <v>0</v>
      </c>
      <c r="FD46" s="825">
        <v>0</v>
      </c>
      <c r="FE46" s="825">
        <v>0</v>
      </c>
      <c r="FF46" s="825">
        <v>0</v>
      </c>
      <c r="FG46" s="825">
        <v>0</v>
      </c>
      <c r="FH46" s="825">
        <v>0</v>
      </c>
      <c r="FI46" s="825">
        <v>0</v>
      </c>
      <c r="FJ46" s="825">
        <v>0</v>
      </c>
      <c r="FK46" s="825">
        <v>0</v>
      </c>
      <c r="FL46" s="825">
        <v>0</v>
      </c>
      <c r="FM46" s="825">
        <v>0</v>
      </c>
      <c r="FN46" s="825">
        <v>0</v>
      </c>
      <c r="FO46" s="825">
        <v>0</v>
      </c>
      <c r="FP46" s="825">
        <v>0</v>
      </c>
      <c r="FQ46" s="825">
        <v>0</v>
      </c>
      <c r="FR46" s="825">
        <v>0</v>
      </c>
      <c r="FS46" s="825">
        <v>0</v>
      </c>
      <c r="FT46" s="825">
        <v>0</v>
      </c>
      <c r="FU46" s="825">
        <v>0</v>
      </c>
      <c r="FV46" s="825">
        <v>0</v>
      </c>
      <c r="FW46" s="825">
        <v>0</v>
      </c>
      <c r="FX46" s="825">
        <v>0</v>
      </c>
      <c r="FY46" s="825">
        <v>0</v>
      </c>
      <c r="FZ46" s="825">
        <v>0</v>
      </c>
      <c r="GA46" s="825">
        <v>0</v>
      </c>
      <c r="GB46" s="825">
        <v>0</v>
      </c>
      <c r="GC46" s="825">
        <v>0</v>
      </c>
      <c r="GD46" s="825">
        <v>0</v>
      </c>
      <c r="GE46" s="825">
        <v>0</v>
      </c>
      <c r="GF46" s="825">
        <v>0</v>
      </c>
      <c r="GG46" s="825">
        <v>0</v>
      </c>
      <c r="GH46" s="825">
        <v>0</v>
      </c>
      <c r="GI46" s="825">
        <v>0</v>
      </c>
      <c r="GJ46" s="825">
        <v>8.8000000000000007</v>
      </c>
      <c r="GK46" s="825">
        <v>0</v>
      </c>
      <c r="GL46" s="825">
        <v>0</v>
      </c>
      <c r="GM46" s="825">
        <v>0</v>
      </c>
      <c r="GN46" s="825">
        <v>0</v>
      </c>
      <c r="GO46" s="825">
        <v>0</v>
      </c>
      <c r="GP46" s="825">
        <v>0</v>
      </c>
      <c r="GQ46" s="825">
        <v>0</v>
      </c>
      <c r="GR46" s="825">
        <v>0</v>
      </c>
      <c r="GS46" s="825">
        <v>0</v>
      </c>
      <c r="GT46" s="825">
        <v>0</v>
      </c>
      <c r="GU46" s="825">
        <v>0</v>
      </c>
      <c r="GV46" s="825">
        <v>0</v>
      </c>
      <c r="GW46" s="825">
        <v>0</v>
      </c>
      <c r="GX46" s="825">
        <v>0</v>
      </c>
      <c r="GY46" s="825">
        <v>0</v>
      </c>
      <c r="GZ46" s="825">
        <v>0</v>
      </c>
      <c r="HA46" s="825">
        <v>0</v>
      </c>
      <c r="HB46" s="825">
        <v>0</v>
      </c>
      <c r="HC46" s="825">
        <v>0</v>
      </c>
      <c r="HD46" s="825">
        <v>0</v>
      </c>
      <c r="HE46" s="825">
        <v>0</v>
      </c>
      <c r="HF46" s="825">
        <v>0</v>
      </c>
      <c r="HG46" s="825">
        <v>13.2</v>
      </c>
      <c r="HH46" s="825">
        <v>0</v>
      </c>
      <c r="HI46" s="825">
        <v>15.6</v>
      </c>
      <c r="HJ46" s="825">
        <v>0</v>
      </c>
      <c r="HK46" s="825">
        <v>0</v>
      </c>
      <c r="HL46" s="825">
        <v>0</v>
      </c>
      <c r="HM46" s="825">
        <v>0</v>
      </c>
      <c r="HN46" s="825">
        <v>0</v>
      </c>
      <c r="HO46" s="825">
        <v>0</v>
      </c>
      <c r="HP46" s="825">
        <v>0</v>
      </c>
      <c r="HQ46" s="825">
        <v>0</v>
      </c>
      <c r="HR46" s="825">
        <v>0</v>
      </c>
      <c r="HS46" s="825">
        <v>0</v>
      </c>
      <c r="HT46" s="825">
        <v>0</v>
      </c>
      <c r="HU46" s="825">
        <v>0</v>
      </c>
    </row>
    <row r="47" spans="1:229" ht="38.25">
      <c r="A47" s="823" t="s">
        <v>515</v>
      </c>
      <c r="B47" s="823" t="s">
        <v>1381</v>
      </c>
      <c r="C47" s="823" t="s">
        <v>1382</v>
      </c>
      <c r="D47" s="824" t="s">
        <v>1383</v>
      </c>
      <c r="E47" s="824"/>
      <c r="F47" s="824"/>
      <c r="G47" s="824"/>
      <c r="H47" s="824"/>
      <c r="I47" s="824"/>
      <c r="J47" s="824"/>
      <c r="K47" s="824"/>
      <c r="L47" s="824"/>
      <c r="M47" s="824"/>
      <c r="N47" s="824"/>
      <c r="O47" s="824"/>
      <c r="P47" s="824"/>
      <c r="Q47" s="824"/>
      <c r="R47" s="824"/>
      <c r="S47" s="824"/>
      <c r="T47" s="824"/>
      <c r="U47" s="824"/>
      <c r="V47" s="824"/>
      <c r="W47" s="824"/>
      <c r="X47" s="824"/>
      <c r="Y47" s="824"/>
      <c r="Z47" s="824"/>
      <c r="AA47" s="824"/>
      <c r="AB47" s="824"/>
      <c r="AC47" s="824"/>
      <c r="AD47" s="824"/>
      <c r="AE47" s="824"/>
      <c r="AF47" s="824"/>
      <c r="AG47" s="824"/>
      <c r="AH47" s="824"/>
      <c r="AI47" s="824"/>
      <c r="AJ47" s="824"/>
      <c r="AK47" s="824"/>
      <c r="AL47" s="824"/>
      <c r="AM47" s="824"/>
      <c r="AN47" s="824"/>
      <c r="AO47" s="824"/>
      <c r="AP47" s="824"/>
      <c r="AQ47" s="824"/>
      <c r="AR47" s="824"/>
      <c r="AS47" s="824"/>
      <c r="AT47" s="824"/>
      <c r="AU47" s="824"/>
      <c r="AV47" s="824"/>
      <c r="AW47" s="824"/>
      <c r="AX47" s="824"/>
      <c r="AY47" s="824"/>
      <c r="AZ47" s="824"/>
      <c r="BA47" s="824"/>
      <c r="BB47" s="824"/>
      <c r="BC47" s="824"/>
      <c r="BD47" s="824"/>
      <c r="BE47" s="824"/>
      <c r="BF47" s="824"/>
      <c r="BG47" s="824"/>
      <c r="BH47" s="824"/>
      <c r="BI47" s="824"/>
      <c r="BJ47" s="824"/>
      <c r="BK47" s="824"/>
      <c r="BL47" s="824"/>
      <c r="BM47" s="824"/>
      <c r="BN47" s="824"/>
      <c r="BO47" s="824"/>
      <c r="BP47" s="824"/>
      <c r="BQ47" s="824"/>
      <c r="BR47" s="824"/>
      <c r="BS47" s="824"/>
      <c r="BT47" s="824"/>
      <c r="BU47" s="824"/>
      <c r="BV47" s="824"/>
      <c r="BW47" s="824"/>
      <c r="BX47" s="824"/>
      <c r="BY47" s="824"/>
      <c r="BZ47" s="824"/>
      <c r="CA47" s="824"/>
      <c r="CB47" s="824"/>
      <c r="CC47" s="824"/>
      <c r="CD47" s="824"/>
      <c r="CE47" s="824"/>
      <c r="CF47" s="824"/>
      <c r="CG47" s="824"/>
      <c r="CH47" s="824"/>
      <c r="CI47" s="824"/>
      <c r="CJ47" s="824"/>
      <c r="CK47" s="824"/>
      <c r="CL47" s="824"/>
      <c r="CM47" s="824"/>
      <c r="CN47" s="824"/>
      <c r="CO47" s="824"/>
      <c r="CP47" s="824"/>
      <c r="CQ47" s="824"/>
      <c r="CR47" s="824"/>
      <c r="CS47" s="824"/>
      <c r="CT47" s="824"/>
      <c r="CU47" s="824"/>
      <c r="CV47" s="824"/>
      <c r="CW47" s="824"/>
      <c r="CX47" s="824"/>
      <c r="CY47" s="824"/>
      <c r="CZ47" s="824"/>
      <c r="DA47" s="824"/>
      <c r="DB47" s="824"/>
      <c r="DC47" s="824"/>
      <c r="DD47" s="824"/>
      <c r="DE47" s="824"/>
      <c r="DF47" s="824"/>
      <c r="DG47" s="824"/>
      <c r="DH47" s="824"/>
      <c r="DI47" s="824"/>
      <c r="DJ47" s="824"/>
      <c r="DK47" s="824"/>
      <c r="DL47" s="824"/>
      <c r="DM47" s="825">
        <v>8.4</v>
      </c>
      <c r="DN47" s="825" t="s">
        <v>1384</v>
      </c>
      <c r="DO47" s="825" t="s">
        <v>1384</v>
      </c>
      <c r="DP47" s="825" t="s">
        <v>1384</v>
      </c>
      <c r="DQ47" s="825" t="s">
        <v>1384</v>
      </c>
      <c r="DR47" s="825" t="s">
        <v>1384</v>
      </c>
      <c r="DS47" s="825" t="s">
        <v>1384</v>
      </c>
      <c r="DT47" s="825" t="s">
        <v>1384</v>
      </c>
      <c r="DU47" s="825" t="s">
        <v>1384</v>
      </c>
      <c r="DV47" s="825" t="s">
        <v>1384</v>
      </c>
      <c r="DW47" s="825" t="s">
        <v>1384</v>
      </c>
      <c r="DX47" s="825" t="s">
        <v>1384</v>
      </c>
      <c r="DY47" s="825" t="s">
        <v>1384</v>
      </c>
      <c r="DZ47" s="825" t="s">
        <v>1384</v>
      </c>
      <c r="EA47" s="825" t="s">
        <v>1384</v>
      </c>
      <c r="EB47" s="825" t="s">
        <v>1384</v>
      </c>
      <c r="EC47" s="825" t="s">
        <v>1384</v>
      </c>
      <c r="ED47" s="825" t="s">
        <v>1384</v>
      </c>
      <c r="EE47" s="825" t="s">
        <v>1384</v>
      </c>
      <c r="EF47" s="825" t="s">
        <v>1384</v>
      </c>
      <c r="EG47" s="825" t="s">
        <v>1384</v>
      </c>
      <c r="EH47" s="825" t="s">
        <v>1384</v>
      </c>
      <c r="EI47" s="825" t="s">
        <v>1384</v>
      </c>
      <c r="EJ47" s="825" t="s">
        <v>1384</v>
      </c>
      <c r="EK47" s="825" t="s">
        <v>1384</v>
      </c>
      <c r="EL47" s="825" t="s">
        <v>1384</v>
      </c>
      <c r="EM47" s="825" t="s">
        <v>1384</v>
      </c>
      <c r="EN47" s="825" t="s">
        <v>1384</v>
      </c>
      <c r="EO47" s="825" t="s">
        <v>1384</v>
      </c>
      <c r="EP47" s="825" t="s">
        <v>1384</v>
      </c>
      <c r="EQ47" s="825" t="s">
        <v>1384</v>
      </c>
      <c r="ER47" s="825" t="s">
        <v>1384</v>
      </c>
      <c r="ES47" s="825" t="s">
        <v>1384</v>
      </c>
      <c r="ET47" s="825" t="s">
        <v>1384</v>
      </c>
      <c r="EU47" s="825" t="s">
        <v>1384</v>
      </c>
      <c r="EV47" s="825" t="s">
        <v>1384</v>
      </c>
      <c r="EW47" s="825" t="s">
        <v>1384</v>
      </c>
      <c r="EX47" s="825" t="s">
        <v>1384</v>
      </c>
      <c r="EY47" s="825" t="s">
        <v>1384</v>
      </c>
      <c r="EZ47" s="825" t="s">
        <v>1384</v>
      </c>
      <c r="FA47" s="825" t="s">
        <v>1384</v>
      </c>
      <c r="FB47" s="825" t="s">
        <v>1384</v>
      </c>
      <c r="FC47" s="825" t="s">
        <v>1384</v>
      </c>
      <c r="FD47" s="825" t="s">
        <v>1384</v>
      </c>
      <c r="FE47" s="825" t="s">
        <v>1384</v>
      </c>
      <c r="FF47" s="825" t="s">
        <v>1384</v>
      </c>
      <c r="FG47" s="825" t="s">
        <v>1384</v>
      </c>
      <c r="FH47" s="825" t="s">
        <v>1384</v>
      </c>
      <c r="FI47" s="825" t="s">
        <v>1384</v>
      </c>
      <c r="FJ47" s="825" t="s">
        <v>1384</v>
      </c>
      <c r="FK47" s="825" t="s">
        <v>1384</v>
      </c>
      <c r="FL47" s="825" t="s">
        <v>1384</v>
      </c>
      <c r="FM47" s="825" t="s">
        <v>1384</v>
      </c>
      <c r="FN47" s="825" t="s">
        <v>1384</v>
      </c>
      <c r="FO47" s="825" t="s">
        <v>1384</v>
      </c>
      <c r="FP47" s="825" t="s">
        <v>1384</v>
      </c>
      <c r="FQ47" s="825" t="s">
        <v>1384</v>
      </c>
      <c r="FR47" s="825" t="s">
        <v>1384</v>
      </c>
      <c r="FS47" s="825" t="s">
        <v>1384</v>
      </c>
      <c r="FT47" s="825" t="s">
        <v>1384</v>
      </c>
      <c r="FU47" s="825" t="s">
        <v>1384</v>
      </c>
      <c r="FV47" s="825" t="s">
        <v>1384</v>
      </c>
      <c r="FW47" s="825" t="s">
        <v>1384</v>
      </c>
      <c r="FX47" s="825" t="s">
        <v>1384</v>
      </c>
      <c r="FY47" s="825" t="s">
        <v>1384</v>
      </c>
      <c r="FZ47" s="825" t="s">
        <v>1384</v>
      </c>
      <c r="GA47" s="825" t="s">
        <v>1384</v>
      </c>
      <c r="GB47" s="825" t="s">
        <v>1384</v>
      </c>
      <c r="GC47" s="825" t="s">
        <v>1384</v>
      </c>
      <c r="GD47" s="825" t="s">
        <v>1384</v>
      </c>
      <c r="GE47" s="825" t="s">
        <v>1384</v>
      </c>
      <c r="GF47" s="825" t="s">
        <v>1384</v>
      </c>
      <c r="GG47" s="825" t="s">
        <v>1384</v>
      </c>
      <c r="GH47" s="825" t="s">
        <v>1384</v>
      </c>
      <c r="GI47" s="825" t="s">
        <v>1384</v>
      </c>
      <c r="GJ47" s="825" t="s">
        <v>1384</v>
      </c>
      <c r="GK47" s="825" t="s">
        <v>1384</v>
      </c>
      <c r="GL47" s="825" t="s">
        <v>1384</v>
      </c>
      <c r="GM47" s="825" t="s">
        <v>1384</v>
      </c>
      <c r="GN47" s="825" t="s">
        <v>1384</v>
      </c>
      <c r="GO47" s="825" t="s">
        <v>1384</v>
      </c>
      <c r="GP47" s="825" t="s">
        <v>1384</v>
      </c>
      <c r="GQ47" s="825" t="s">
        <v>1384</v>
      </c>
      <c r="GR47" s="825" t="s">
        <v>1384</v>
      </c>
      <c r="GS47" s="825" t="s">
        <v>1384</v>
      </c>
      <c r="GT47" s="825" t="s">
        <v>1384</v>
      </c>
      <c r="GU47" s="825" t="s">
        <v>1384</v>
      </c>
      <c r="GV47" s="825" t="s">
        <v>1384</v>
      </c>
      <c r="GW47" s="825" t="s">
        <v>1384</v>
      </c>
      <c r="GX47" s="825" t="s">
        <v>1384</v>
      </c>
      <c r="GY47" s="825" t="s">
        <v>1384</v>
      </c>
      <c r="GZ47" s="825" t="s">
        <v>1384</v>
      </c>
      <c r="HA47" s="825" t="s">
        <v>1384</v>
      </c>
      <c r="HB47" s="825" t="s">
        <v>1384</v>
      </c>
      <c r="HC47" s="825" t="s">
        <v>1384</v>
      </c>
      <c r="HD47" s="825" t="s">
        <v>1384</v>
      </c>
      <c r="HE47" s="825" t="s">
        <v>1384</v>
      </c>
      <c r="HF47" s="825" t="s">
        <v>1384</v>
      </c>
      <c r="HG47" s="825" t="s">
        <v>1384</v>
      </c>
      <c r="HH47" s="825" t="s">
        <v>1384</v>
      </c>
      <c r="HI47" s="825" t="s">
        <v>1384</v>
      </c>
      <c r="HJ47" s="825" t="s">
        <v>1384</v>
      </c>
      <c r="HK47" s="825" t="s">
        <v>1384</v>
      </c>
      <c r="HL47" s="825" t="s">
        <v>1384</v>
      </c>
      <c r="HM47" s="825" t="s">
        <v>1384</v>
      </c>
      <c r="HN47" s="825" t="s">
        <v>1384</v>
      </c>
      <c r="HO47" s="825" t="s">
        <v>1384</v>
      </c>
      <c r="HP47" s="825" t="s">
        <v>1384</v>
      </c>
      <c r="HQ47" s="825" t="s">
        <v>1384</v>
      </c>
      <c r="HR47" s="825" t="s">
        <v>1384</v>
      </c>
      <c r="HS47" s="825" t="s">
        <v>1384</v>
      </c>
      <c r="HT47" s="825" t="s">
        <v>1384</v>
      </c>
      <c r="HU47" s="825" t="s">
        <v>1384</v>
      </c>
    </row>
    <row r="48" spans="1:229" ht="38.25">
      <c r="A48" s="823" t="s">
        <v>515</v>
      </c>
      <c r="B48" s="823" t="s">
        <v>1385</v>
      </c>
      <c r="C48" s="823" t="s">
        <v>1386</v>
      </c>
      <c r="D48" s="824" t="s">
        <v>1387</v>
      </c>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c r="BC48" s="824"/>
      <c r="BD48" s="824"/>
      <c r="BE48" s="824"/>
      <c r="BF48" s="824"/>
      <c r="BG48" s="824"/>
      <c r="BH48" s="824"/>
      <c r="BI48" s="824"/>
      <c r="BJ48" s="824"/>
      <c r="BK48" s="824"/>
      <c r="BL48" s="824"/>
      <c r="BM48" s="824"/>
      <c r="BN48" s="824"/>
      <c r="BO48" s="824"/>
      <c r="BP48" s="824"/>
      <c r="BQ48" s="824"/>
      <c r="BR48" s="824"/>
      <c r="BS48" s="824"/>
      <c r="BT48" s="824"/>
      <c r="BU48" s="824"/>
      <c r="BV48" s="824"/>
      <c r="BW48" s="824"/>
      <c r="BX48" s="824"/>
      <c r="BY48" s="824"/>
      <c r="BZ48" s="824"/>
      <c r="CA48" s="824"/>
      <c r="CB48" s="824"/>
      <c r="CC48" s="824"/>
      <c r="CD48" s="824"/>
      <c r="CE48" s="824"/>
      <c r="CF48" s="824"/>
      <c r="CG48" s="824"/>
      <c r="CH48" s="824"/>
      <c r="CI48" s="824"/>
      <c r="CJ48" s="824"/>
      <c r="CK48" s="824"/>
      <c r="CL48" s="824"/>
      <c r="CM48" s="824"/>
      <c r="CN48" s="824"/>
      <c r="CO48" s="824"/>
      <c r="CP48" s="824"/>
      <c r="CQ48" s="824"/>
      <c r="CR48" s="824"/>
      <c r="CS48" s="824"/>
      <c r="CT48" s="824"/>
      <c r="CU48" s="824"/>
      <c r="CV48" s="824"/>
      <c r="CW48" s="824"/>
      <c r="CX48" s="824"/>
      <c r="CY48" s="824"/>
      <c r="CZ48" s="824"/>
      <c r="DA48" s="824"/>
      <c r="DB48" s="824"/>
      <c r="DC48" s="824"/>
      <c r="DD48" s="824"/>
      <c r="DE48" s="824"/>
      <c r="DF48" s="824"/>
      <c r="DG48" s="824"/>
      <c r="DH48" s="824"/>
      <c r="DI48" s="824"/>
      <c r="DJ48" s="824"/>
      <c r="DK48" s="824"/>
      <c r="DL48" s="824"/>
      <c r="DM48" s="825">
        <v>7.5</v>
      </c>
      <c r="DN48" s="825">
        <v>0</v>
      </c>
      <c r="DO48" s="825">
        <v>0</v>
      </c>
      <c r="DP48" s="825">
        <v>0</v>
      </c>
      <c r="DQ48" s="825">
        <v>0</v>
      </c>
      <c r="DR48" s="825">
        <v>0</v>
      </c>
      <c r="DS48" s="825">
        <v>0</v>
      </c>
      <c r="DT48" s="825">
        <v>0</v>
      </c>
      <c r="DU48" s="825">
        <v>0</v>
      </c>
      <c r="DV48" s="825">
        <v>0</v>
      </c>
      <c r="DW48" s="825">
        <v>0</v>
      </c>
      <c r="DX48" s="825">
        <v>0</v>
      </c>
      <c r="DY48" s="825">
        <v>0</v>
      </c>
      <c r="DZ48" s="825">
        <v>0</v>
      </c>
      <c r="EA48" s="825">
        <v>0</v>
      </c>
      <c r="EB48" s="825">
        <v>0</v>
      </c>
      <c r="EC48" s="825">
        <v>0</v>
      </c>
      <c r="ED48" s="825">
        <v>0</v>
      </c>
      <c r="EE48" s="825">
        <v>0</v>
      </c>
      <c r="EF48" s="825">
        <v>0</v>
      </c>
      <c r="EG48" s="825">
        <v>0</v>
      </c>
      <c r="EH48" s="825">
        <v>0</v>
      </c>
      <c r="EI48" s="825">
        <v>0</v>
      </c>
      <c r="EJ48" s="825">
        <v>0</v>
      </c>
      <c r="EK48" s="825">
        <v>0</v>
      </c>
      <c r="EL48" s="825">
        <v>0</v>
      </c>
      <c r="EM48" s="825">
        <v>0</v>
      </c>
      <c r="EN48" s="825">
        <v>0</v>
      </c>
      <c r="EO48" s="825">
        <v>0</v>
      </c>
      <c r="EP48" s="825">
        <v>0</v>
      </c>
      <c r="EQ48" s="825">
        <v>0</v>
      </c>
      <c r="ER48" s="825">
        <v>0</v>
      </c>
      <c r="ES48" s="825">
        <v>0</v>
      </c>
      <c r="ET48" s="825">
        <v>0</v>
      </c>
      <c r="EU48" s="825">
        <v>0</v>
      </c>
      <c r="EV48" s="825">
        <v>0</v>
      </c>
      <c r="EW48" s="825">
        <v>0</v>
      </c>
      <c r="EX48" s="825">
        <v>0</v>
      </c>
      <c r="EY48" s="825">
        <v>0</v>
      </c>
      <c r="EZ48" s="825">
        <v>0</v>
      </c>
      <c r="FA48" s="825">
        <v>0</v>
      </c>
      <c r="FB48" s="825">
        <v>0</v>
      </c>
      <c r="FC48" s="825">
        <v>0</v>
      </c>
      <c r="FD48" s="825">
        <v>0</v>
      </c>
      <c r="FE48" s="825">
        <v>0</v>
      </c>
      <c r="FF48" s="825">
        <v>0</v>
      </c>
      <c r="FG48" s="825">
        <v>0</v>
      </c>
      <c r="FH48" s="825">
        <v>0</v>
      </c>
      <c r="FI48" s="825">
        <v>0</v>
      </c>
      <c r="FJ48" s="825">
        <v>0</v>
      </c>
      <c r="FK48" s="825">
        <v>0</v>
      </c>
      <c r="FL48" s="825">
        <v>0</v>
      </c>
      <c r="FM48" s="825">
        <v>0</v>
      </c>
      <c r="FN48" s="825">
        <v>0</v>
      </c>
      <c r="FO48" s="825">
        <v>0</v>
      </c>
      <c r="FP48" s="825">
        <v>0</v>
      </c>
      <c r="FQ48" s="825">
        <v>0</v>
      </c>
      <c r="FR48" s="825">
        <v>0</v>
      </c>
      <c r="FS48" s="825">
        <v>0</v>
      </c>
      <c r="FT48" s="825">
        <v>0</v>
      </c>
      <c r="FU48" s="825">
        <v>0</v>
      </c>
      <c r="FV48" s="825">
        <v>0</v>
      </c>
      <c r="FW48" s="825">
        <v>0</v>
      </c>
      <c r="FX48" s="825">
        <v>0</v>
      </c>
      <c r="FY48" s="825">
        <v>0</v>
      </c>
      <c r="FZ48" s="825">
        <v>0</v>
      </c>
      <c r="GA48" s="825">
        <v>0</v>
      </c>
      <c r="GB48" s="825">
        <v>0</v>
      </c>
      <c r="GC48" s="825">
        <v>0</v>
      </c>
      <c r="GD48" s="825">
        <v>0</v>
      </c>
      <c r="GE48" s="825">
        <v>0</v>
      </c>
      <c r="GF48" s="825">
        <v>0</v>
      </c>
      <c r="GG48" s="825">
        <v>0</v>
      </c>
      <c r="GH48" s="825">
        <v>0</v>
      </c>
      <c r="GI48" s="825">
        <v>0</v>
      </c>
      <c r="GJ48" s="825">
        <v>0</v>
      </c>
      <c r="GK48" s="825">
        <v>0</v>
      </c>
      <c r="GL48" s="825">
        <v>0</v>
      </c>
      <c r="GM48" s="825">
        <v>0</v>
      </c>
      <c r="GN48" s="825">
        <v>0</v>
      </c>
      <c r="GO48" s="825">
        <v>0</v>
      </c>
      <c r="GP48" s="825">
        <v>0</v>
      </c>
      <c r="GQ48" s="825">
        <v>0</v>
      </c>
      <c r="GR48" s="825">
        <v>0</v>
      </c>
      <c r="GS48" s="825">
        <v>0</v>
      </c>
      <c r="GT48" s="825">
        <v>0</v>
      </c>
      <c r="GU48" s="825">
        <v>0</v>
      </c>
      <c r="GV48" s="825">
        <v>0</v>
      </c>
      <c r="GW48" s="825">
        <v>0</v>
      </c>
      <c r="GX48" s="825">
        <v>0</v>
      </c>
      <c r="GY48" s="825">
        <v>0</v>
      </c>
      <c r="GZ48" s="825">
        <v>0</v>
      </c>
      <c r="HA48" s="825">
        <v>0</v>
      </c>
      <c r="HB48" s="825">
        <v>0</v>
      </c>
      <c r="HC48" s="825">
        <v>0</v>
      </c>
      <c r="HD48" s="825">
        <v>0</v>
      </c>
      <c r="HE48" s="825">
        <v>0</v>
      </c>
      <c r="HF48" s="825">
        <v>0</v>
      </c>
      <c r="HG48" s="825">
        <v>0</v>
      </c>
      <c r="HH48" s="825">
        <v>0</v>
      </c>
      <c r="HI48" s="825">
        <v>0</v>
      </c>
      <c r="HJ48" s="825">
        <v>0</v>
      </c>
      <c r="HK48" s="825">
        <v>0</v>
      </c>
      <c r="HL48" s="825">
        <v>0</v>
      </c>
      <c r="HM48" s="825">
        <v>0</v>
      </c>
      <c r="HN48" s="825">
        <v>0</v>
      </c>
      <c r="HO48" s="825">
        <v>0</v>
      </c>
      <c r="HP48" s="825">
        <v>0</v>
      </c>
      <c r="HQ48" s="825">
        <v>0</v>
      </c>
      <c r="HR48" s="825">
        <v>0</v>
      </c>
      <c r="HS48" s="825">
        <v>0</v>
      </c>
      <c r="HT48" s="825">
        <v>0</v>
      </c>
      <c r="HU48" s="825">
        <v>0</v>
      </c>
    </row>
    <row r="49" spans="1:229" ht="102">
      <c r="A49" s="823" t="s">
        <v>515</v>
      </c>
      <c r="B49" s="823" t="s">
        <v>1385</v>
      </c>
      <c r="C49" s="823" t="s">
        <v>1388</v>
      </c>
      <c r="D49" s="826" t="s">
        <v>1389</v>
      </c>
      <c r="E49" s="824" t="s">
        <v>1390</v>
      </c>
      <c r="F49" s="824"/>
      <c r="G49" s="824"/>
      <c r="H49" s="824"/>
      <c r="I49" s="824"/>
      <c r="J49" s="824"/>
      <c r="K49" s="824"/>
      <c r="L49" s="824"/>
      <c r="M49" s="824"/>
      <c r="N49" s="824"/>
      <c r="O49" s="824"/>
      <c r="P49" s="824"/>
      <c r="Q49" s="824"/>
      <c r="R49" s="824"/>
      <c r="S49" s="824"/>
      <c r="T49" s="824"/>
      <c r="U49" s="824"/>
      <c r="V49" s="824"/>
      <c r="W49" s="824"/>
      <c r="X49" s="824"/>
      <c r="Y49" s="824"/>
      <c r="Z49" s="824"/>
      <c r="AA49" s="824"/>
      <c r="AB49" s="824"/>
      <c r="AC49" s="824"/>
      <c r="AD49" s="824"/>
      <c r="AE49" s="824"/>
      <c r="AF49" s="824"/>
      <c r="AG49" s="824"/>
      <c r="AH49" s="824"/>
      <c r="AI49" s="824"/>
      <c r="AJ49" s="824"/>
      <c r="AK49" s="824"/>
      <c r="AL49" s="824"/>
      <c r="AM49" s="824"/>
      <c r="AN49" s="824"/>
      <c r="AO49" s="824"/>
      <c r="AP49" s="824"/>
      <c r="AQ49" s="824"/>
      <c r="AR49" s="824"/>
      <c r="AS49" s="824"/>
      <c r="AT49" s="824"/>
      <c r="AU49" s="824"/>
      <c r="AV49" s="824"/>
      <c r="AW49" s="824"/>
      <c r="AX49" s="824"/>
      <c r="AY49" s="824"/>
      <c r="AZ49" s="824"/>
      <c r="BA49" s="824"/>
      <c r="BB49" s="824"/>
      <c r="BC49" s="824"/>
      <c r="BD49" s="824"/>
      <c r="BE49" s="824"/>
      <c r="BF49" s="824"/>
      <c r="BG49" s="824"/>
      <c r="BH49" s="824"/>
      <c r="BI49" s="824"/>
      <c r="BJ49" s="824"/>
      <c r="BK49" s="824"/>
      <c r="BL49" s="824"/>
      <c r="BM49" s="824"/>
      <c r="BN49" s="824"/>
      <c r="BO49" s="824"/>
      <c r="BP49" s="824"/>
      <c r="BQ49" s="824"/>
      <c r="BR49" s="824"/>
      <c r="BS49" s="824"/>
      <c r="BT49" s="824"/>
      <c r="BU49" s="824"/>
      <c r="BV49" s="824"/>
      <c r="BW49" s="824"/>
      <c r="BX49" s="824"/>
      <c r="BY49" s="824"/>
      <c r="BZ49" s="824"/>
      <c r="CA49" s="824"/>
      <c r="CB49" s="824"/>
      <c r="CC49" s="824"/>
      <c r="CD49" s="824"/>
      <c r="CE49" s="824"/>
      <c r="CF49" s="824"/>
      <c r="CG49" s="824"/>
      <c r="CH49" s="824"/>
      <c r="CI49" s="824"/>
      <c r="CJ49" s="824"/>
      <c r="CK49" s="824"/>
      <c r="CL49" s="824"/>
      <c r="CM49" s="824"/>
      <c r="CN49" s="824"/>
      <c r="CO49" s="824"/>
      <c r="CP49" s="824"/>
      <c r="CQ49" s="824"/>
      <c r="CR49" s="824"/>
      <c r="CS49" s="824"/>
      <c r="CT49" s="824"/>
      <c r="CU49" s="824"/>
      <c r="CV49" s="824"/>
      <c r="CW49" s="824"/>
      <c r="CX49" s="824"/>
      <c r="CY49" s="824"/>
      <c r="CZ49" s="824"/>
      <c r="DA49" s="824"/>
      <c r="DB49" s="824"/>
      <c r="DC49" s="824"/>
      <c r="DD49" s="824"/>
      <c r="DE49" s="824"/>
      <c r="DF49" s="824"/>
      <c r="DG49" s="824"/>
      <c r="DH49" s="824"/>
      <c r="DI49" s="824"/>
      <c r="DJ49" s="824"/>
      <c r="DK49" s="824"/>
      <c r="DL49" s="824"/>
      <c r="DM49" s="825">
        <v>8.6999999999999993</v>
      </c>
      <c r="DN49" s="825">
        <v>16.399999999999999</v>
      </c>
      <c r="DO49" s="825">
        <v>0</v>
      </c>
      <c r="DP49" s="825">
        <v>0</v>
      </c>
      <c r="DQ49" s="825">
        <v>0</v>
      </c>
      <c r="DR49" s="825">
        <v>0</v>
      </c>
      <c r="DS49" s="825">
        <v>0</v>
      </c>
      <c r="DT49" s="825">
        <v>0</v>
      </c>
      <c r="DU49" s="825">
        <v>0</v>
      </c>
      <c r="DV49" s="825">
        <v>0</v>
      </c>
      <c r="DW49" s="825">
        <v>0</v>
      </c>
      <c r="DX49" s="825">
        <v>0</v>
      </c>
      <c r="DY49" s="825">
        <v>0</v>
      </c>
      <c r="DZ49" s="825">
        <v>0</v>
      </c>
      <c r="EA49" s="825">
        <v>0</v>
      </c>
      <c r="EB49" s="825">
        <v>0</v>
      </c>
      <c r="EC49" s="825">
        <v>0</v>
      </c>
      <c r="ED49" s="825">
        <v>0</v>
      </c>
      <c r="EE49" s="825">
        <v>0</v>
      </c>
      <c r="EF49" s="825">
        <v>0</v>
      </c>
      <c r="EG49" s="825">
        <v>0</v>
      </c>
      <c r="EH49" s="825">
        <v>0</v>
      </c>
      <c r="EI49" s="825">
        <v>0</v>
      </c>
      <c r="EJ49" s="825">
        <v>0</v>
      </c>
      <c r="EK49" s="825">
        <v>0</v>
      </c>
      <c r="EL49" s="825">
        <v>0</v>
      </c>
      <c r="EM49" s="825">
        <v>0</v>
      </c>
      <c r="EN49" s="825">
        <v>0</v>
      </c>
      <c r="EO49" s="825">
        <v>0</v>
      </c>
      <c r="EP49" s="825">
        <v>0</v>
      </c>
      <c r="EQ49" s="825">
        <v>0</v>
      </c>
      <c r="ER49" s="825">
        <v>0</v>
      </c>
      <c r="ES49" s="825">
        <v>0</v>
      </c>
      <c r="ET49" s="825">
        <v>0</v>
      </c>
      <c r="EU49" s="825">
        <v>0</v>
      </c>
      <c r="EV49" s="825">
        <v>0</v>
      </c>
      <c r="EW49" s="825">
        <v>0</v>
      </c>
      <c r="EX49" s="825">
        <v>0</v>
      </c>
      <c r="EY49" s="825">
        <v>0</v>
      </c>
      <c r="EZ49" s="825">
        <v>0</v>
      </c>
      <c r="FA49" s="825">
        <v>0</v>
      </c>
      <c r="FB49" s="825">
        <v>0</v>
      </c>
      <c r="FC49" s="825">
        <v>0</v>
      </c>
      <c r="FD49" s="825">
        <v>0</v>
      </c>
      <c r="FE49" s="825">
        <v>0</v>
      </c>
      <c r="FF49" s="825">
        <v>0</v>
      </c>
      <c r="FG49" s="825">
        <v>0</v>
      </c>
      <c r="FH49" s="825">
        <v>0</v>
      </c>
      <c r="FI49" s="825">
        <v>0</v>
      </c>
      <c r="FJ49" s="825">
        <v>0</v>
      </c>
      <c r="FK49" s="825">
        <v>0</v>
      </c>
      <c r="FL49" s="825">
        <v>0</v>
      </c>
      <c r="FM49" s="825">
        <v>0</v>
      </c>
      <c r="FN49" s="825">
        <v>0</v>
      </c>
      <c r="FO49" s="825">
        <v>0</v>
      </c>
      <c r="FP49" s="825">
        <v>0</v>
      </c>
      <c r="FQ49" s="825">
        <v>0</v>
      </c>
      <c r="FR49" s="825">
        <v>0</v>
      </c>
      <c r="FS49" s="825">
        <v>0</v>
      </c>
      <c r="FT49" s="825">
        <v>0</v>
      </c>
      <c r="FU49" s="825">
        <v>0</v>
      </c>
      <c r="FV49" s="825">
        <v>0</v>
      </c>
      <c r="FW49" s="825">
        <v>0</v>
      </c>
      <c r="FX49" s="825">
        <v>0</v>
      </c>
      <c r="FY49" s="825">
        <v>0</v>
      </c>
      <c r="FZ49" s="825">
        <v>0</v>
      </c>
      <c r="GA49" s="825">
        <v>0</v>
      </c>
      <c r="GB49" s="825">
        <v>0</v>
      </c>
      <c r="GC49" s="825">
        <v>0</v>
      </c>
      <c r="GD49" s="825">
        <v>0</v>
      </c>
      <c r="GE49" s="825">
        <v>0</v>
      </c>
      <c r="GF49" s="825">
        <v>0</v>
      </c>
      <c r="GG49" s="825">
        <v>0</v>
      </c>
      <c r="GH49" s="825">
        <v>0</v>
      </c>
      <c r="GI49" s="825">
        <v>0</v>
      </c>
      <c r="GJ49" s="825">
        <v>0</v>
      </c>
      <c r="GK49" s="825">
        <v>0</v>
      </c>
      <c r="GL49" s="825">
        <v>0</v>
      </c>
      <c r="GM49" s="825">
        <v>0</v>
      </c>
      <c r="GN49" s="825">
        <v>0</v>
      </c>
      <c r="GO49" s="825">
        <v>0</v>
      </c>
      <c r="GP49" s="825">
        <v>0</v>
      </c>
      <c r="GQ49" s="825">
        <v>0</v>
      </c>
      <c r="GR49" s="825">
        <v>0</v>
      </c>
      <c r="GS49" s="825">
        <v>0</v>
      </c>
      <c r="GT49" s="825">
        <v>0</v>
      </c>
      <c r="GU49" s="825">
        <v>0</v>
      </c>
      <c r="GV49" s="825">
        <v>0</v>
      </c>
      <c r="GW49" s="825">
        <v>0</v>
      </c>
      <c r="GX49" s="825">
        <v>0</v>
      </c>
      <c r="GY49" s="825">
        <v>0</v>
      </c>
      <c r="GZ49" s="825">
        <v>0</v>
      </c>
      <c r="HA49" s="825">
        <v>0</v>
      </c>
      <c r="HB49" s="825">
        <v>0</v>
      </c>
      <c r="HC49" s="825">
        <v>0</v>
      </c>
      <c r="HD49" s="825">
        <v>0</v>
      </c>
      <c r="HE49" s="825">
        <v>0</v>
      </c>
      <c r="HF49" s="825">
        <v>0</v>
      </c>
      <c r="HG49" s="825">
        <v>0</v>
      </c>
      <c r="HH49" s="825">
        <v>0</v>
      </c>
      <c r="HI49" s="825">
        <v>0</v>
      </c>
      <c r="HJ49" s="825">
        <v>0</v>
      </c>
      <c r="HK49" s="825">
        <v>0</v>
      </c>
      <c r="HL49" s="825">
        <v>0</v>
      </c>
      <c r="HM49" s="825">
        <v>0</v>
      </c>
      <c r="HN49" s="825">
        <v>0</v>
      </c>
      <c r="HO49" s="825">
        <v>0</v>
      </c>
      <c r="HP49" s="825">
        <v>0</v>
      </c>
      <c r="HQ49" s="825">
        <v>0</v>
      </c>
      <c r="HR49" s="825">
        <v>0</v>
      </c>
      <c r="HS49" s="825">
        <v>0</v>
      </c>
      <c r="HT49" s="825">
        <v>0</v>
      </c>
      <c r="HU49" s="825">
        <v>0</v>
      </c>
    </row>
    <row r="50" spans="1:229" ht="178.5">
      <c r="A50" s="823" t="s">
        <v>515</v>
      </c>
      <c r="B50" s="823" t="s">
        <v>1391</v>
      </c>
      <c r="C50" s="823" t="s">
        <v>1392</v>
      </c>
      <c r="D50" s="826" t="s">
        <v>1393</v>
      </c>
      <c r="E50" s="824" t="s">
        <v>1394</v>
      </c>
      <c r="F50" s="824"/>
      <c r="G50" s="826"/>
      <c r="H50" s="826" t="s">
        <v>1395</v>
      </c>
      <c r="I50" s="824"/>
      <c r="J50" s="824"/>
      <c r="K50" s="824"/>
      <c r="L50" s="824"/>
      <c r="M50" s="824"/>
      <c r="N50" s="824"/>
      <c r="O50" s="824"/>
      <c r="P50" s="824"/>
      <c r="Q50" s="824"/>
      <c r="R50" s="824"/>
      <c r="S50" s="824"/>
      <c r="T50" s="824"/>
      <c r="U50" s="824"/>
      <c r="V50" s="824"/>
      <c r="W50" s="824"/>
      <c r="X50" s="824"/>
      <c r="Y50" s="824"/>
      <c r="Z50" s="824"/>
      <c r="AA50" s="824"/>
      <c r="AB50" s="824"/>
      <c r="AC50" s="824"/>
      <c r="AD50" s="824"/>
      <c r="AE50" s="824"/>
      <c r="AF50" s="824"/>
      <c r="AG50" s="824"/>
      <c r="AH50" s="824"/>
      <c r="AI50" s="824"/>
      <c r="AJ50" s="824"/>
      <c r="AK50" s="824"/>
      <c r="AL50" s="824"/>
      <c r="AM50" s="824"/>
      <c r="AN50" s="824"/>
      <c r="AO50" s="824"/>
      <c r="AP50" s="824"/>
      <c r="AQ50" s="824"/>
      <c r="AR50" s="824"/>
      <c r="AS50" s="824"/>
      <c r="AT50" s="824"/>
      <c r="AU50" s="824"/>
      <c r="AV50" s="824"/>
      <c r="AW50" s="824"/>
      <c r="AX50" s="824"/>
      <c r="AY50" s="824"/>
      <c r="AZ50" s="824"/>
      <c r="BA50" s="824"/>
      <c r="BB50" s="824"/>
      <c r="BC50" s="824"/>
      <c r="BD50" s="824"/>
      <c r="BE50" s="824"/>
      <c r="BF50" s="824"/>
      <c r="BG50" s="824"/>
      <c r="BH50" s="824"/>
      <c r="BI50" s="824"/>
      <c r="BJ50" s="824"/>
      <c r="BK50" s="824"/>
      <c r="BL50" s="824"/>
      <c r="BM50" s="824"/>
      <c r="BN50" s="824"/>
      <c r="BO50" s="824"/>
      <c r="BP50" s="824"/>
      <c r="BQ50" s="824"/>
      <c r="BR50" s="824"/>
      <c r="BS50" s="824"/>
      <c r="BT50" s="824"/>
      <c r="BU50" s="824"/>
      <c r="BV50" s="824"/>
      <c r="BW50" s="824"/>
      <c r="BX50" s="824"/>
      <c r="BY50" s="824"/>
      <c r="BZ50" s="824"/>
      <c r="CA50" s="824"/>
      <c r="CB50" s="824"/>
      <c r="CC50" s="824"/>
      <c r="CD50" s="824"/>
      <c r="CE50" s="824"/>
      <c r="CF50" s="824"/>
      <c r="CG50" s="824"/>
      <c r="CH50" s="824"/>
      <c r="CI50" s="824"/>
      <c r="CJ50" s="824"/>
      <c r="CK50" s="824"/>
      <c r="CL50" s="824"/>
      <c r="CM50" s="824"/>
      <c r="CN50" s="824"/>
      <c r="CO50" s="824"/>
      <c r="CP50" s="824"/>
      <c r="CQ50" s="824"/>
      <c r="CR50" s="824"/>
      <c r="CS50" s="824"/>
      <c r="CT50" s="824"/>
      <c r="CU50" s="824"/>
      <c r="CV50" s="824"/>
      <c r="CW50" s="824"/>
      <c r="CX50" s="824"/>
      <c r="CY50" s="824"/>
      <c r="CZ50" s="824"/>
      <c r="DA50" s="824"/>
      <c r="DB50" s="824"/>
      <c r="DC50" s="824"/>
      <c r="DD50" s="824"/>
      <c r="DE50" s="824"/>
      <c r="DF50" s="824"/>
      <c r="DG50" s="824"/>
      <c r="DH50" s="824"/>
      <c r="DI50" s="824"/>
      <c r="DJ50" s="824"/>
      <c r="DK50" s="824"/>
      <c r="DL50" s="824"/>
      <c r="DM50" s="825">
        <v>7.9</v>
      </c>
      <c r="DN50" s="825">
        <v>7.9</v>
      </c>
      <c r="DO50" s="825">
        <v>0</v>
      </c>
      <c r="DP50" s="825">
        <v>0</v>
      </c>
      <c r="DQ50" s="825">
        <v>8.3000000000000007</v>
      </c>
      <c r="DR50" s="825">
        <v>0</v>
      </c>
      <c r="DS50" s="825">
        <v>0</v>
      </c>
      <c r="DT50" s="825">
        <v>0</v>
      </c>
      <c r="DU50" s="825">
        <v>0</v>
      </c>
      <c r="DV50" s="825">
        <v>0</v>
      </c>
      <c r="DW50" s="825">
        <v>0</v>
      </c>
      <c r="DX50" s="825">
        <v>0</v>
      </c>
      <c r="DY50" s="825">
        <v>0</v>
      </c>
      <c r="DZ50" s="825">
        <v>0</v>
      </c>
      <c r="EA50" s="825">
        <v>0</v>
      </c>
      <c r="EB50" s="825">
        <v>0</v>
      </c>
      <c r="EC50" s="825">
        <v>0</v>
      </c>
      <c r="ED50" s="825">
        <v>0</v>
      </c>
      <c r="EE50" s="825">
        <v>0</v>
      </c>
      <c r="EF50" s="825">
        <v>0</v>
      </c>
      <c r="EG50" s="825">
        <v>0</v>
      </c>
      <c r="EH50" s="825">
        <v>0</v>
      </c>
      <c r="EI50" s="825">
        <v>0</v>
      </c>
      <c r="EJ50" s="825">
        <v>0</v>
      </c>
      <c r="EK50" s="825">
        <v>0</v>
      </c>
      <c r="EL50" s="825">
        <v>0</v>
      </c>
      <c r="EM50" s="825">
        <v>0</v>
      </c>
      <c r="EN50" s="825">
        <v>0</v>
      </c>
      <c r="EO50" s="825">
        <v>0</v>
      </c>
      <c r="EP50" s="825">
        <v>0</v>
      </c>
      <c r="EQ50" s="825">
        <v>0</v>
      </c>
      <c r="ER50" s="825">
        <v>0</v>
      </c>
      <c r="ES50" s="825">
        <v>0</v>
      </c>
      <c r="ET50" s="825">
        <v>0</v>
      </c>
      <c r="EU50" s="825">
        <v>0</v>
      </c>
      <c r="EV50" s="825">
        <v>0</v>
      </c>
      <c r="EW50" s="825">
        <v>0</v>
      </c>
      <c r="EX50" s="825">
        <v>0</v>
      </c>
      <c r="EY50" s="825">
        <v>0</v>
      </c>
      <c r="EZ50" s="825">
        <v>0</v>
      </c>
      <c r="FA50" s="825">
        <v>0</v>
      </c>
      <c r="FB50" s="825">
        <v>0</v>
      </c>
      <c r="FC50" s="825">
        <v>0</v>
      </c>
      <c r="FD50" s="825">
        <v>0</v>
      </c>
      <c r="FE50" s="825">
        <v>0</v>
      </c>
      <c r="FF50" s="825">
        <v>0</v>
      </c>
      <c r="FG50" s="825">
        <v>0</v>
      </c>
      <c r="FH50" s="825">
        <v>0</v>
      </c>
      <c r="FI50" s="825">
        <v>0</v>
      </c>
      <c r="FJ50" s="825">
        <v>0</v>
      </c>
      <c r="FK50" s="825">
        <v>0</v>
      </c>
      <c r="FL50" s="825">
        <v>0</v>
      </c>
      <c r="FM50" s="825">
        <v>0</v>
      </c>
      <c r="FN50" s="825">
        <v>0</v>
      </c>
      <c r="FO50" s="825">
        <v>0</v>
      </c>
      <c r="FP50" s="825">
        <v>0</v>
      </c>
      <c r="FQ50" s="825">
        <v>0</v>
      </c>
      <c r="FR50" s="825">
        <v>0</v>
      </c>
      <c r="FS50" s="825">
        <v>0</v>
      </c>
      <c r="FT50" s="825">
        <v>0</v>
      </c>
      <c r="FU50" s="825">
        <v>0</v>
      </c>
      <c r="FV50" s="825">
        <v>0</v>
      </c>
      <c r="FW50" s="825">
        <v>0</v>
      </c>
      <c r="FX50" s="825">
        <v>0</v>
      </c>
      <c r="FY50" s="825">
        <v>0</v>
      </c>
      <c r="FZ50" s="825">
        <v>0</v>
      </c>
      <c r="GA50" s="825">
        <v>0</v>
      </c>
      <c r="GB50" s="825">
        <v>0</v>
      </c>
      <c r="GC50" s="825">
        <v>0</v>
      </c>
      <c r="GD50" s="825">
        <v>0</v>
      </c>
      <c r="GE50" s="825">
        <v>0</v>
      </c>
      <c r="GF50" s="825">
        <v>0</v>
      </c>
      <c r="GG50" s="825">
        <v>0</v>
      </c>
      <c r="GH50" s="825">
        <v>0</v>
      </c>
      <c r="GI50" s="825">
        <v>0</v>
      </c>
      <c r="GJ50" s="825">
        <v>0</v>
      </c>
      <c r="GK50" s="825">
        <v>0</v>
      </c>
      <c r="GL50" s="825">
        <v>0</v>
      </c>
      <c r="GM50" s="825">
        <v>0</v>
      </c>
      <c r="GN50" s="825">
        <v>0</v>
      </c>
      <c r="GO50" s="825">
        <v>0</v>
      </c>
      <c r="GP50" s="825">
        <v>0</v>
      </c>
      <c r="GQ50" s="825">
        <v>0</v>
      </c>
      <c r="GR50" s="825">
        <v>0</v>
      </c>
      <c r="GS50" s="825">
        <v>0</v>
      </c>
      <c r="GT50" s="825">
        <v>0</v>
      </c>
      <c r="GU50" s="825">
        <v>0</v>
      </c>
      <c r="GV50" s="825">
        <v>0</v>
      </c>
      <c r="GW50" s="825">
        <v>0</v>
      </c>
      <c r="GX50" s="825">
        <v>0</v>
      </c>
      <c r="GY50" s="825">
        <v>0</v>
      </c>
      <c r="GZ50" s="825">
        <v>0</v>
      </c>
      <c r="HA50" s="825">
        <v>0</v>
      </c>
      <c r="HB50" s="825">
        <v>0</v>
      </c>
      <c r="HC50" s="825">
        <v>0</v>
      </c>
      <c r="HD50" s="825">
        <v>0</v>
      </c>
      <c r="HE50" s="825">
        <v>0</v>
      </c>
      <c r="HF50" s="825">
        <v>0</v>
      </c>
      <c r="HG50" s="825">
        <v>0</v>
      </c>
      <c r="HH50" s="825">
        <v>0</v>
      </c>
      <c r="HI50" s="825">
        <v>0</v>
      </c>
      <c r="HJ50" s="825">
        <v>0</v>
      </c>
      <c r="HK50" s="825">
        <v>0</v>
      </c>
      <c r="HL50" s="825">
        <v>0</v>
      </c>
      <c r="HM50" s="825">
        <v>0</v>
      </c>
      <c r="HN50" s="825">
        <v>0</v>
      </c>
      <c r="HO50" s="825">
        <v>0</v>
      </c>
      <c r="HP50" s="825">
        <v>0</v>
      </c>
      <c r="HQ50" s="825">
        <v>0</v>
      </c>
      <c r="HR50" s="825">
        <v>0</v>
      </c>
      <c r="HS50" s="825">
        <v>0</v>
      </c>
      <c r="HT50" s="825">
        <v>0</v>
      </c>
      <c r="HU50" s="825">
        <v>0</v>
      </c>
    </row>
    <row r="51" spans="1:229" ht="89.25">
      <c r="A51" s="823" t="s">
        <v>515</v>
      </c>
      <c r="B51" s="823" t="s">
        <v>1396</v>
      </c>
      <c r="C51" s="823" t="s">
        <v>1397</v>
      </c>
      <c r="D51" s="826"/>
      <c r="E51" s="826" t="s">
        <v>1398</v>
      </c>
      <c r="F51" s="826" t="s">
        <v>1399</v>
      </c>
      <c r="G51" s="824"/>
      <c r="H51" s="826" t="s">
        <v>1400</v>
      </c>
      <c r="I51" s="824" t="s">
        <v>1401</v>
      </c>
      <c r="J51" s="826" t="s">
        <v>1402</v>
      </c>
      <c r="K51" s="824" t="s">
        <v>1403</v>
      </c>
      <c r="L51" s="824"/>
      <c r="M51" s="824"/>
      <c r="N51" s="826" t="s">
        <v>1404</v>
      </c>
      <c r="O51" s="826" t="s">
        <v>1405</v>
      </c>
      <c r="P51" s="824"/>
      <c r="Q51" s="824"/>
      <c r="R51" s="824" t="s">
        <v>1406</v>
      </c>
      <c r="S51" s="824"/>
      <c r="T51" s="824" t="s">
        <v>1407</v>
      </c>
      <c r="U51" s="824" t="s">
        <v>1408</v>
      </c>
      <c r="V51" s="826" t="s">
        <v>1409</v>
      </c>
      <c r="W51" s="824" t="s">
        <v>1410</v>
      </c>
      <c r="X51" s="824" t="s">
        <v>1411</v>
      </c>
      <c r="Y51" s="824" t="s">
        <v>1412</v>
      </c>
      <c r="Z51" s="824" t="s">
        <v>1413</v>
      </c>
      <c r="AA51" s="826" t="s">
        <v>1414</v>
      </c>
      <c r="AB51" s="824" t="s">
        <v>1415</v>
      </c>
      <c r="AC51" s="824" t="s">
        <v>1416</v>
      </c>
      <c r="AD51" s="824" t="s">
        <v>1417</v>
      </c>
      <c r="AE51" s="824"/>
      <c r="AF51" s="824"/>
      <c r="AG51" s="824"/>
      <c r="AH51" s="824"/>
      <c r="AI51" s="824"/>
      <c r="AJ51" s="824"/>
      <c r="AK51" s="824"/>
      <c r="AL51" s="824"/>
      <c r="AM51" s="824"/>
      <c r="AN51" s="824"/>
      <c r="AO51" s="824"/>
      <c r="AP51" s="824"/>
      <c r="AQ51" s="824"/>
      <c r="AR51" s="824"/>
      <c r="AS51" s="824"/>
      <c r="AT51" s="824"/>
      <c r="AU51" s="824"/>
      <c r="AV51" s="824"/>
      <c r="AW51" s="824"/>
      <c r="AX51" s="824"/>
      <c r="AY51" s="824"/>
      <c r="AZ51" s="824"/>
      <c r="BA51" s="824"/>
      <c r="BB51" s="824"/>
      <c r="BC51" s="824"/>
      <c r="BD51" s="824"/>
      <c r="BE51" s="824"/>
      <c r="BF51" s="824"/>
      <c r="BG51" s="824"/>
      <c r="BH51" s="824"/>
      <c r="BI51" s="824"/>
      <c r="BJ51" s="824"/>
      <c r="BK51" s="824"/>
      <c r="BL51" s="824"/>
      <c r="BM51" s="824"/>
      <c r="BN51" s="824"/>
      <c r="BO51" s="824"/>
      <c r="BP51" s="824"/>
      <c r="BQ51" s="824"/>
      <c r="BR51" s="824"/>
      <c r="BS51" s="824"/>
      <c r="BT51" s="824"/>
      <c r="BU51" s="824"/>
      <c r="BV51" s="824"/>
      <c r="BW51" s="824"/>
      <c r="BX51" s="824"/>
      <c r="BY51" s="824"/>
      <c r="BZ51" s="824"/>
      <c r="CA51" s="824"/>
      <c r="CB51" s="824"/>
      <c r="CC51" s="824"/>
      <c r="CD51" s="824"/>
      <c r="CE51" s="824"/>
      <c r="CF51" s="824"/>
      <c r="CG51" s="824"/>
      <c r="CH51" s="824"/>
      <c r="CI51" s="824"/>
      <c r="CJ51" s="824"/>
      <c r="CK51" s="824"/>
      <c r="CL51" s="824"/>
      <c r="CM51" s="824"/>
      <c r="CN51" s="824"/>
      <c r="CO51" s="824"/>
      <c r="CP51" s="824"/>
      <c r="CQ51" s="824"/>
      <c r="CR51" s="824"/>
      <c r="CS51" s="824"/>
      <c r="CT51" s="824"/>
      <c r="CU51" s="824"/>
      <c r="CV51" s="824"/>
      <c r="CW51" s="824"/>
      <c r="CX51" s="824"/>
      <c r="CY51" s="824"/>
      <c r="CZ51" s="824"/>
      <c r="DA51" s="824"/>
      <c r="DB51" s="824"/>
      <c r="DC51" s="824"/>
      <c r="DD51" s="824"/>
      <c r="DE51" s="824"/>
      <c r="DF51" s="824"/>
      <c r="DG51" s="824"/>
      <c r="DH51" s="824"/>
      <c r="DI51" s="824"/>
      <c r="DJ51" s="824"/>
      <c r="DK51" s="824"/>
      <c r="DL51" s="824"/>
      <c r="DM51" s="825">
        <v>0</v>
      </c>
      <c r="DN51" s="825">
        <v>6.9</v>
      </c>
      <c r="DO51" s="825">
        <v>6.6</v>
      </c>
      <c r="DP51" s="825">
        <v>0</v>
      </c>
      <c r="DQ51" s="825">
        <v>11.1</v>
      </c>
      <c r="DR51" s="825">
        <v>11.1</v>
      </c>
      <c r="DS51" s="825">
        <v>7.8</v>
      </c>
      <c r="DT51" s="825">
        <v>7.8</v>
      </c>
      <c r="DU51" s="825">
        <v>0</v>
      </c>
      <c r="DV51" s="825">
        <v>0</v>
      </c>
      <c r="DW51" s="825">
        <v>8.1</v>
      </c>
      <c r="DX51" s="825">
        <v>7.7</v>
      </c>
      <c r="DY51" s="825">
        <v>0</v>
      </c>
      <c r="DZ51" s="825">
        <v>0</v>
      </c>
      <c r="EA51" s="825">
        <v>13.5</v>
      </c>
      <c r="EB51" s="825">
        <v>0</v>
      </c>
      <c r="EC51" s="825">
        <v>0</v>
      </c>
      <c r="ED51" s="825">
        <v>0</v>
      </c>
      <c r="EE51" s="825">
        <v>7.7</v>
      </c>
      <c r="EF51" s="825">
        <v>7.3</v>
      </c>
      <c r="EG51" s="825">
        <v>0</v>
      </c>
      <c r="EH51" s="825">
        <v>0</v>
      </c>
      <c r="EI51" s="825">
        <v>8.8000000000000007</v>
      </c>
      <c r="EJ51" s="825">
        <v>8.6999999999999993</v>
      </c>
      <c r="EK51" s="825">
        <v>0</v>
      </c>
      <c r="EL51" s="825">
        <v>0</v>
      </c>
      <c r="EM51" s="825">
        <v>0</v>
      </c>
      <c r="EN51" s="825">
        <v>0</v>
      </c>
      <c r="EO51" s="825">
        <v>0</v>
      </c>
      <c r="EP51" s="825">
        <v>0</v>
      </c>
      <c r="EQ51" s="825">
        <v>0</v>
      </c>
      <c r="ER51" s="825">
        <v>0</v>
      </c>
      <c r="ES51" s="825">
        <v>0</v>
      </c>
      <c r="ET51" s="825">
        <v>0</v>
      </c>
      <c r="EU51" s="825">
        <v>0</v>
      </c>
      <c r="EV51" s="825">
        <v>0</v>
      </c>
      <c r="EW51" s="825">
        <v>0</v>
      </c>
      <c r="EX51" s="825">
        <v>0</v>
      </c>
      <c r="EY51" s="825">
        <v>0</v>
      </c>
      <c r="EZ51" s="825">
        <v>0</v>
      </c>
      <c r="FA51" s="825">
        <v>0</v>
      </c>
      <c r="FB51" s="825">
        <v>0</v>
      </c>
      <c r="FC51" s="825">
        <v>0</v>
      </c>
      <c r="FD51" s="825">
        <v>0</v>
      </c>
      <c r="FE51" s="825">
        <v>0</v>
      </c>
      <c r="FF51" s="825">
        <v>0</v>
      </c>
      <c r="FG51" s="825">
        <v>0</v>
      </c>
      <c r="FH51" s="825">
        <v>0</v>
      </c>
      <c r="FI51" s="825">
        <v>0</v>
      </c>
      <c r="FJ51" s="825">
        <v>0</v>
      </c>
      <c r="FK51" s="825">
        <v>0</v>
      </c>
      <c r="FL51" s="825">
        <v>0</v>
      </c>
      <c r="FM51" s="825">
        <v>0</v>
      </c>
      <c r="FN51" s="825">
        <v>0</v>
      </c>
      <c r="FO51" s="825">
        <v>0</v>
      </c>
      <c r="FP51" s="825">
        <v>0</v>
      </c>
      <c r="FQ51" s="825">
        <v>0</v>
      </c>
      <c r="FR51" s="825">
        <v>0</v>
      </c>
      <c r="FS51" s="825">
        <v>0</v>
      </c>
      <c r="FT51" s="825">
        <v>0</v>
      </c>
      <c r="FU51" s="825">
        <v>0</v>
      </c>
      <c r="FV51" s="825">
        <v>0</v>
      </c>
      <c r="FW51" s="825">
        <v>0</v>
      </c>
      <c r="FX51" s="825">
        <v>0</v>
      </c>
      <c r="FY51" s="825">
        <v>0</v>
      </c>
      <c r="FZ51" s="825">
        <v>0</v>
      </c>
      <c r="GA51" s="825">
        <v>0</v>
      </c>
      <c r="GB51" s="825">
        <v>0</v>
      </c>
      <c r="GC51" s="825">
        <v>0</v>
      </c>
      <c r="GD51" s="825">
        <v>0</v>
      </c>
      <c r="GE51" s="825">
        <v>0</v>
      </c>
      <c r="GF51" s="825">
        <v>0</v>
      </c>
      <c r="GG51" s="825">
        <v>0</v>
      </c>
      <c r="GH51" s="825">
        <v>0</v>
      </c>
      <c r="GI51" s="825">
        <v>0</v>
      </c>
      <c r="GJ51" s="825">
        <v>0</v>
      </c>
      <c r="GK51" s="825">
        <v>0</v>
      </c>
      <c r="GL51" s="825">
        <v>0</v>
      </c>
      <c r="GM51" s="825">
        <v>0</v>
      </c>
      <c r="GN51" s="825">
        <v>0</v>
      </c>
      <c r="GO51" s="825">
        <v>0</v>
      </c>
      <c r="GP51" s="825">
        <v>0</v>
      </c>
      <c r="GQ51" s="825">
        <v>0</v>
      </c>
      <c r="GR51" s="825">
        <v>0</v>
      </c>
      <c r="GS51" s="825">
        <v>0</v>
      </c>
      <c r="GT51" s="825">
        <v>0</v>
      </c>
      <c r="GU51" s="825">
        <v>0</v>
      </c>
      <c r="GV51" s="825">
        <v>0</v>
      </c>
      <c r="GW51" s="825">
        <v>0</v>
      </c>
      <c r="GX51" s="825">
        <v>0</v>
      </c>
      <c r="GY51" s="825">
        <v>0</v>
      </c>
      <c r="GZ51" s="825">
        <v>0</v>
      </c>
      <c r="HA51" s="825">
        <v>0</v>
      </c>
      <c r="HB51" s="825">
        <v>0</v>
      </c>
      <c r="HC51" s="825">
        <v>0</v>
      </c>
      <c r="HD51" s="825">
        <v>0</v>
      </c>
      <c r="HE51" s="825">
        <v>0</v>
      </c>
      <c r="HF51" s="825">
        <v>0</v>
      </c>
      <c r="HG51" s="825">
        <v>0</v>
      </c>
      <c r="HH51" s="825">
        <v>0</v>
      </c>
      <c r="HI51" s="825">
        <v>0</v>
      </c>
      <c r="HJ51" s="825">
        <v>0</v>
      </c>
      <c r="HK51" s="825">
        <v>0</v>
      </c>
      <c r="HL51" s="825">
        <v>0</v>
      </c>
      <c r="HM51" s="825">
        <v>0</v>
      </c>
      <c r="HN51" s="825">
        <v>0</v>
      </c>
      <c r="HO51" s="825">
        <v>0</v>
      </c>
      <c r="HP51" s="825">
        <v>0</v>
      </c>
      <c r="HQ51" s="825">
        <v>0</v>
      </c>
      <c r="HR51" s="825">
        <v>0</v>
      </c>
      <c r="HS51" s="825">
        <v>0</v>
      </c>
      <c r="HT51" s="825">
        <v>0</v>
      </c>
      <c r="HU51" s="825">
        <v>0</v>
      </c>
    </row>
    <row r="52" spans="1:229" ht="25.5">
      <c r="A52" s="823" t="s">
        <v>515</v>
      </c>
      <c r="B52" s="823" t="s">
        <v>1418</v>
      </c>
      <c r="C52" s="823" t="s">
        <v>1419</v>
      </c>
      <c r="D52" s="824" t="s">
        <v>1420</v>
      </c>
      <c r="E52" s="824"/>
      <c r="F52" s="824"/>
      <c r="G52" s="824"/>
      <c r="H52" s="824"/>
      <c r="I52" s="824"/>
      <c r="J52" s="824"/>
      <c r="K52" s="824"/>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4"/>
      <c r="AO52" s="824"/>
      <c r="AP52" s="824"/>
      <c r="AQ52" s="824"/>
      <c r="AR52" s="824"/>
      <c r="AS52" s="824"/>
      <c r="AT52" s="824"/>
      <c r="AU52" s="824"/>
      <c r="AV52" s="824"/>
      <c r="AW52" s="824"/>
      <c r="AX52" s="824"/>
      <c r="AY52" s="824"/>
      <c r="AZ52" s="824"/>
      <c r="BA52" s="824"/>
      <c r="BB52" s="824"/>
      <c r="BC52" s="824"/>
      <c r="BD52" s="824"/>
      <c r="BE52" s="824"/>
      <c r="BF52" s="824"/>
      <c r="BG52" s="824"/>
      <c r="BH52" s="824"/>
      <c r="BI52" s="824"/>
      <c r="BJ52" s="824"/>
      <c r="BK52" s="824"/>
      <c r="BL52" s="824"/>
      <c r="BM52" s="824"/>
      <c r="BN52" s="824"/>
      <c r="BO52" s="824"/>
      <c r="BP52" s="824"/>
      <c r="BQ52" s="824"/>
      <c r="BR52" s="824"/>
      <c r="BS52" s="824"/>
      <c r="BT52" s="824"/>
      <c r="BU52" s="824"/>
      <c r="BV52" s="824"/>
      <c r="BW52" s="824"/>
      <c r="BX52" s="824"/>
      <c r="BY52" s="824"/>
      <c r="BZ52" s="824"/>
      <c r="CA52" s="824"/>
      <c r="CB52" s="824"/>
      <c r="CC52" s="824"/>
      <c r="CD52" s="824"/>
      <c r="CE52" s="824"/>
      <c r="CF52" s="824"/>
      <c r="CG52" s="824"/>
      <c r="CH52" s="824"/>
      <c r="CI52" s="824"/>
      <c r="CJ52" s="824"/>
      <c r="CK52" s="824"/>
      <c r="CL52" s="824"/>
      <c r="CM52" s="824"/>
      <c r="CN52" s="824"/>
      <c r="CO52" s="824"/>
      <c r="CP52" s="824"/>
      <c r="CQ52" s="824"/>
      <c r="CR52" s="824"/>
      <c r="CS52" s="824"/>
      <c r="CT52" s="824"/>
      <c r="CU52" s="824"/>
      <c r="CV52" s="824"/>
      <c r="CW52" s="824"/>
      <c r="CX52" s="824"/>
      <c r="CY52" s="824"/>
      <c r="CZ52" s="824"/>
      <c r="DA52" s="824"/>
      <c r="DB52" s="824"/>
      <c r="DC52" s="824"/>
      <c r="DD52" s="824"/>
      <c r="DE52" s="824"/>
      <c r="DF52" s="824"/>
      <c r="DG52" s="824"/>
      <c r="DH52" s="824"/>
      <c r="DI52" s="824"/>
      <c r="DJ52" s="824"/>
      <c r="DK52" s="824"/>
      <c r="DL52" s="824"/>
      <c r="DM52" s="825">
        <v>7.8</v>
      </c>
      <c r="DN52" s="825">
        <v>0</v>
      </c>
      <c r="DO52" s="825">
        <v>0</v>
      </c>
      <c r="DP52" s="825">
        <v>0</v>
      </c>
      <c r="DQ52" s="825">
        <v>0</v>
      </c>
      <c r="DR52" s="825">
        <v>0</v>
      </c>
      <c r="DS52" s="825">
        <v>0</v>
      </c>
      <c r="DT52" s="825">
        <v>0</v>
      </c>
      <c r="DU52" s="825">
        <v>0</v>
      </c>
      <c r="DV52" s="825">
        <v>0</v>
      </c>
      <c r="DW52" s="825">
        <v>0</v>
      </c>
      <c r="DX52" s="825">
        <v>0</v>
      </c>
      <c r="DY52" s="825">
        <v>0</v>
      </c>
      <c r="DZ52" s="825">
        <v>0</v>
      </c>
      <c r="EA52" s="825">
        <v>0</v>
      </c>
      <c r="EB52" s="825">
        <v>0</v>
      </c>
      <c r="EC52" s="825">
        <v>0</v>
      </c>
      <c r="ED52" s="825">
        <v>0</v>
      </c>
      <c r="EE52" s="825">
        <v>0</v>
      </c>
      <c r="EF52" s="825">
        <v>0</v>
      </c>
      <c r="EG52" s="825">
        <v>0</v>
      </c>
      <c r="EH52" s="825">
        <v>0</v>
      </c>
      <c r="EI52" s="825">
        <v>0</v>
      </c>
      <c r="EJ52" s="825">
        <v>0</v>
      </c>
      <c r="EK52" s="825">
        <v>0</v>
      </c>
      <c r="EL52" s="825">
        <v>0</v>
      </c>
      <c r="EM52" s="825">
        <v>0</v>
      </c>
      <c r="EN52" s="825">
        <v>0</v>
      </c>
      <c r="EO52" s="825">
        <v>0</v>
      </c>
      <c r="EP52" s="825">
        <v>0</v>
      </c>
      <c r="EQ52" s="825">
        <v>0</v>
      </c>
      <c r="ER52" s="825">
        <v>0</v>
      </c>
      <c r="ES52" s="825">
        <v>0</v>
      </c>
      <c r="ET52" s="825">
        <v>0</v>
      </c>
      <c r="EU52" s="825">
        <v>0</v>
      </c>
      <c r="EV52" s="825">
        <v>0</v>
      </c>
      <c r="EW52" s="825">
        <v>0</v>
      </c>
      <c r="EX52" s="825">
        <v>0</v>
      </c>
      <c r="EY52" s="825">
        <v>0</v>
      </c>
      <c r="EZ52" s="825">
        <v>0</v>
      </c>
      <c r="FA52" s="825">
        <v>0</v>
      </c>
      <c r="FB52" s="825">
        <v>0</v>
      </c>
      <c r="FC52" s="825">
        <v>0</v>
      </c>
      <c r="FD52" s="825">
        <v>0</v>
      </c>
      <c r="FE52" s="825">
        <v>0</v>
      </c>
      <c r="FF52" s="825">
        <v>0</v>
      </c>
      <c r="FG52" s="825">
        <v>0</v>
      </c>
      <c r="FH52" s="825">
        <v>0</v>
      </c>
      <c r="FI52" s="825">
        <v>0</v>
      </c>
      <c r="FJ52" s="825">
        <v>0</v>
      </c>
      <c r="FK52" s="825">
        <v>0</v>
      </c>
      <c r="FL52" s="825">
        <v>0</v>
      </c>
      <c r="FM52" s="825">
        <v>0</v>
      </c>
      <c r="FN52" s="825">
        <v>0</v>
      </c>
      <c r="FO52" s="825">
        <v>0</v>
      </c>
      <c r="FP52" s="825">
        <v>0</v>
      </c>
      <c r="FQ52" s="825">
        <v>0</v>
      </c>
      <c r="FR52" s="825">
        <v>0</v>
      </c>
      <c r="FS52" s="825">
        <v>0</v>
      </c>
      <c r="FT52" s="825">
        <v>0</v>
      </c>
      <c r="FU52" s="825">
        <v>0</v>
      </c>
      <c r="FV52" s="825">
        <v>0</v>
      </c>
      <c r="FW52" s="825">
        <v>0</v>
      </c>
      <c r="FX52" s="825">
        <v>0</v>
      </c>
      <c r="FY52" s="825">
        <v>0</v>
      </c>
      <c r="FZ52" s="825">
        <v>0</v>
      </c>
      <c r="GA52" s="825">
        <v>0</v>
      </c>
      <c r="GB52" s="825">
        <v>0</v>
      </c>
      <c r="GC52" s="825">
        <v>0</v>
      </c>
      <c r="GD52" s="825">
        <v>0</v>
      </c>
      <c r="GE52" s="825">
        <v>0</v>
      </c>
      <c r="GF52" s="825">
        <v>0</v>
      </c>
      <c r="GG52" s="825">
        <v>0</v>
      </c>
      <c r="GH52" s="825">
        <v>0</v>
      </c>
      <c r="GI52" s="825">
        <v>0</v>
      </c>
      <c r="GJ52" s="825">
        <v>0</v>
      </c>
      <c r="GK52" s="825">
        <v>0</v>
      </c>
      <c r="GL52" s="825">
        <v>0</v>
      </c>
      <c r="GM52" s="825">
        <v>0</v>
      </c>
      <c r="GN52" s="825">
        <v>0</v>
      </c>
      <c r="GO52" s="825">
        <v>0</v>
      </c>
      <c r="GP52" s="825">
        <v>0</v>
      </c>
      <c r="GQ52" s="825">
        <v>0</v>
      </c>
      <c r="GR52" s="825">
        <v>0</v>
      </c>
      <c r="GS52" s="825">
        <v>0</v>
      </c>
      <c r="GT52" s="825">
        <v>0</v>
      </c>
      <c r="GU52" s="825">
        <v>0</v>
      </c>
      <c r="GV52" s="825">
        <v>0</v>
      </c>
      <c r="GW52" s="825">
        <v>0</v>
      </c>
      <c r="GX52" s="825">
        <v>0</v>
      </c>
      <c r="GY52" s="825">
        <v>0</v>
      </c>
      <c r="GZ52" s="825">
        <v>0</v>
      </c>
      <c r="HA52" s="825">
        <v>0</v>
      </c>
      <c r="HB52" s="825">
        <v>0</v>
      </c>
      <c r="HC52" s="825">
        <v>0</v>
      </c>
      <c r="HD52" s="825">
        <v>0</v>
      </c>
      <c r="HE52" s="825">
        <v>0</v>
      </c>
      <c r="HF52" s="825">
        <v>0</v>
      </c>
      <c r="HG52" s="825">
        <v>0</v>
      </c>
      <c r="HH52" s="825">
        <v>0</v>
      </c>
      <c r="HI52" s="825">
        <v>0</v>
      </c>
      <c r="HJ52" s="825">
        <v>0</v>
      </c>
      <c r="HK52" s="825">
        <v>0</v>
      </c>
      <c r="HL52" s="825">
        <v>0</v>
      </c>
      <c r="HM52" s="825">
        <v>0</v>
      </c>
      <c r="HN52" s="825">
        <v>0</v>
      </c>
      <c r="HO52" s="825">
        <v>0</v>
      </c>
      <c r="HP52" s="825">
        <v>0</v>
      </c>
      <c r="HQ52" s="825">
        <v>0</v>
      </c>
      <c r="HR52" s="825">
        <v>0</v>
      </c>
      <c r="HS52" s="825">
        <v>0</v>
      </c>
      <c r="HT52" s="825">
        <v>0</v>
      </c>
      <c r="HU52" s="825">
        <v>0</v>
      </c>
    </row>
    <row r="53" spans="1:229" ht="204">
      <c r="A53" s="823" t="s">
        <v>515</v>
      </c>
      <c r="B53" s="823" t="s">
        <v>1421</v>
      </c>
      <c r="C53" s="823" t="s">
        <v>1422</v>
      </c>
      <c r="D53" s="826" t="s">
        <v>1423</v>
      </c>
      <c r="E53" s="824"/>
      <c r="F53" s="824"/>
      <c r="G53" s="824"/>
      <c r="H53" s="824"/>
      <c r="I53" s="824"/>
      <c r="J53" s="824"/>
      <c r="K53" s="824"/>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4"/>
      <c r="AO53" s="824"/>
      <c r="AP53" s="824"/>
      <c r="AQ53" s="824"/>
      <c r="AR53" s="824"/>
      <c r="AS53" s="824"/>
      <c r="AT53" s="824"/>
      <c r="AU53" s="824"/>
      <c r="AV53" s="824"/>
      <c r="AW53" s="824"/>
      <c r="AX53" s="824"/>
      <c r="AY53" s="824"/>
      <c r="AZ53" s="824"/>
      <c r="BA53" s="824"/>
      <c r="BB53" s="824"/>
      <c r="BC53" s="824"/>
      <c r="BD53" s="824"/>
      <c r="BE53" s="824"/>
      <c r="BF53" s="824"/>
      <c r="BG53" s="824"/>
      <c r="BH53" s="824"/>
      <c r="BI53" s="824"/>
      <c r="BJ53" s="824"/>
      <c r="BK53" s="824"/>
      <c r="BL53" s="824"/>
      <c r="BM53" s="824"/>
      <c r="BN53" s="824"/>
      <c r="BO53" s="824"/>
      <c r="BP53" s="824"/>
      <c r="BQ53" s="824"/>
      <c r="BR53" s="824"/>
      <c r="BS53" s="824"/>
      <c r="BT53" s="824"/>
      <c r="BU53" s="824"/>
      <c r="BV53" s="824"/>
      <c r="BW53" s="824"/>
      <c r="BX53" s="824"/>
      <c r="BY53" s="824"/>
      <c r="BZ53" s="824"/>
      <c r="CA53" s="824"/>
      <c r="CB53" s="824"/>
      <c r="CC53" s="824"/>
      <c r="CD53" s="824"/>
      <c r="CE53" s="824"/>
      <c r="CF53" s="824"/>
      <c r="CG53" s="824"/>
      <c r="CH53" s="824"/>
      <c r="CI53" s="824"/>
      <c r="CJ53" s="824"/>
      <c r="CK53" s="824"/>
      <c r="CL53" s="824"/>
      <c r="CM53" s="824"/>
      <c r="CN53" s="824"/>
      <c r="CO53" s="824"/>
      <c r="CP53" s="824"/>
      <c r="CQ53" s="824"/>
      <c r="CR53" s="824"/>
      <c r="CS53" s="824"/>
      <c r="CT53" s="824"/>
      <c r="CU53" s="824"/>
      <c r="CV53" s="824"/>
      <c r="CW53" s="824"/>
      <c r="CX53" s="824"/>
      <c r="CY53" s="824"/>
      <c r="CZ53" s="824"/>
      <c r="DA53" s="824"/>
      <c r="DB53" s="824"/>
      <c r="DC53" s="824"/>
      <c r="DD53" s="824"/>
      <c r="DE53" s="824"/>
      <c r="DF53" s="824"/>
      <c r="DG53" s="824"/>
      <c r="DH53" s="824"/>
      <c r="DI53" s="824"/>
      <c r="DJ53" s="824"/>
      <c r="DK53" s="824"/>
      <c r="DL53" s="824"/>
      <c r="DM53" s="825">
        <v>10.1</v>
      </c>
      <c r="DN53" s="825">
        <v>0</v>
      </c>
      <c r="DO53" s="825">
        <v>0</v>
      </c>
      <c r="DP53" s="825">
        <v>0</v>
      </c>
      <c r="DQ53" s="825">
        <v>0</v>
      </c>
      <c r="DR53" s="825">
        <v>0</v>
      </c>
      <c r="DS53" s="825">
        <v>0</v>
      </c>
      <c r="DT53" s="825">
        <v>0</v>
      </c>
      <c r="DU53" s="825">
        <v>0</v>
      </c>
      <c r="DV53" s="825">
        <v>0</v>
      </c>
      <c r="DW53" s="825">
        <v>0</v>
      </c>
      <c r="DX53" s="825">
        <v>0</v>
      </c>
      <c r="DY53" s="825">
        <v>0</v>
      </c>
      <c r="DZ53" s="825">
        <v>0</v>
      </c>
      <c r="EA53" s="825">
        <v>0</v>
      </c>
      <c r="EB53" s="825">
        <v>0</v>
      </c>
      <c r="EC53" s="825">
        <v>0</v>
      </c>
      <c r="ED53" s="825">
        <v>0</v>
      </c>
      <c r="EE53" s="825">
        <v>0</v>
      </c>
      <c r="EF53" s="825">
        <v>0</v>
      </c>
      <c r="EG53" s="825">
        <v>0</v>
      </c>
      <c r="EH53" s="825">
        <v>0</v>
      </c>
      <c r="EI53" s="825">
        <v>0</v>
      </c>
      <c r="EJ53" s="825">
        <v>0</v>
      </c>
      <c r="EK53" s="825">
        <v>0</v>
      </c>
      <c r="EL53" s="825">
        <v>0</v>
      </c>
      <c r="EM53" s="825">
        <v>0</v>
      </c>
      <c r="EN53" s="825">
        <v>0</v>
      </c>
      <c r="EO53" s="825">
        <v>0</v>
      </c>
      <c r="EP53" s="825">
        <v>0</v>
      </c>
      <c r="EQ53" s="825">
        <v>0</v>
      </c>
      <c r="ER53" s="825">
        <v>0</v>
      </c>
      <c r="ES53" s="825">
        <v>0</v>
      </c>
      <c r="ET53" s="825">
        <v>0</v>
      </c>
      <c r="EU53" s="825">
        <v>0</v>
      </c>
      <c r="EV53" s="825">
        <v>0</v>
      </c>
      <c r="EW53" s="825">
        <v>0</v>
      </c>
      <c r="EX53" s="825">
        <v>0</v>
      </c>
      <c r="EY53" s="825">
        <v>0</v>
      </c>
      <c r="EZ53" s="825">
        <v>0</v>
      </c>
      <c r="FA53" s="825">
        <v>0</v>
      </c>
      <c r="FB53" s="825">
        <v>0</v>
      </c>
      <c r="FC53" s="825">
        <v>0</v>
      </c>
      <c r="FD53" s="825">
        <v>0</v>
      </c>
      <c r="FE53" s="825">
        <v>0</v>
      </c>
      <c r="FF53" s="825">
        <v>0</v>
      </c>
      <c r="FG53" s="825">
        <v>0</v>
      </c>
      <c r="FH53" s="825">
        <v>0</v>
      </c>
      <c r="FI53" s="825">
        <v>0</v>
      </c>
      <c r="FJ53" s="825">
        <v>0</v>
      </c>
      <c r="FK53" s="825">
        <v>0</v>
      </c>
      <c r="FL53" s="825">
        <v>0</v>
      </c>
      <c r="FM53" s="825">
        <v>0</v>
      </c>
      <c r="FN53" s="825">
        <v>0</v>
      </c>
      <c r="FO53" s="825">
        <v>0</v>
      </c>
      <c r="FP53" s="825">
        <v>0</v>
      </c>
      <c r="FQ53" s="825">
        <v>0</v>
      </c>
      <c r="FR53" s="825">
        <v>0</v>
      </c>
      <c r="FS53" s="825">
        <v>0</v>
      </c>
      <c r="FT53" s="825">
        <v>0</v>
      </c>
      <c r="FU53" s="825">
        <v>0</v>
      </c>
      <c r="FV53" s="825">
        <v>0</v>
      </c>
      <c r="FW53" s="825">
        <v>0</v>
      </c>
      <c r="FX53" s="825">
        <v>0</v>
      </c>
      <c r="FY53" s="825">
        <v>0</v>
      </c>
      <c r="FZ53" s="825">
        <v>0</v>
      </c>
      <c r="GA53" s="825">
        <v>0</v>
      </c>
      <c r="GB53" s="825">
        <v>0</v>
      </c>
      <c r="GC53" s="825">
        <v>0</v>
      </c>
      <c r="GD53" s="825">
        <v>0</v>
      </c>
      <c r="GE53" s="825">
        <v>0</v>
      </c>
      <c r="GF53" s="825">
        <v>0</v>
      </c>
      <c r="GG53" s="825">
        <v>0</v>
      </c>
      <c r="GH53" s="825">
        <v>0</v>
      </c>
      <c r="GI53" s="825">
        <v>0</v>
      </c>
      <c r="GJ53" s="825">
        <v>0</v>
      </c>
      <c r="GK53" s="825">
        <v>0</v>
      </c>
      <c r="GL53" s="825">
        <v>0</v>
      </c>
      <c r="GM53" s="825">
        <v>0</v>
      </c>
      <c r="GN53" s="825">
        <v>0</v>
      </c>
      <c r="GO53" s="825">
        <v>0</v>
      </c>
      <c r="GP53" s="825">
        <v>0</v>
      </c>
      <c r="GQ53" s="825">
        <v>0</v>
      </c>
      <c r="GR53" s="825">
        <v>0</v>
      </c>
      <c r="GS53" s="825">
        <v>0</v>
      </c>
      <c r="GT53" s="825">
        <v>0</v>
      </c>
      <c r="GU53" s="825">
        <v>0</v>
      </c>
      <c r="GV53" s="825">
        <v>0</v>
      </c>
      <c r="GW53" s="825">
        <v>0</v>
      </c>
      <c r="GX53" s="825">
        <v>0</v>
      </c>
      <c r="GY53" s="825">
        <v>0</v>
      </c>
      <c r="GZ53" s="825">
        <v>0</v>
      </c>
      <c r="HA53" s="825">
        <v>0</v>
      </c>
      <c r="HB53" s="825">
        <v>0</v>
      </c>
      <c r="HC53" s="825">
        <v>0</v>
      </c>
      <c r="HD53" s="825">
        <v>0</v>
      </c>
      <c r="HE53" s="825">
        <v>0</v>
      </c>
      <c r="HF53" s="825">
        <v>0</v>
      </c>
      <c r="HG53" s="825">
        <v>0</v>
      </c>
      <c r="HH53" s="825">
        <v>0</v>
      </c>
      <c r="HI53" s="825">
        <v>0</v>
      </c>
      <c r="HJ53" s="825">
        <v>0</v>
      </c>
      <c r="HK53" s="825">
        <v>0</v>
      </c>
      <c r="HL53" s="825">
        <v>0</v>
      </c>
      <c r="HM53" s="825">
        <v>0</v>
      </c>
      <c r="HN53" s="825">
        <v>0</v>
      </c>
      <c r="HO53" s="825">
        <v>0</v>
      </c>
      <c r="HP53" s="825">
        <v>0</v>
      </c>
      <c r="HQ53" s="825">
        <v>0</v>
      </c>
      <c r="HR53" s="825">
        <v>0</v>
      </c>
      <c r="HS53" s="825">
        <v>0</v>
      </c>
      <c r="HT53" s="825">
        <v>0</v>
      </c>
      <c r="HU53" s="825">
        <v>0</v>
      </c>
    </row>
    <row r="54" spans="1:229" ht="204">
      <c r="A54" s="823" t="s">
        <v>515</v>
      </c>
      <c r="B54" s="823" t="s">
        <v>1421</v>
      </c>
      <c r="C54" s="823" t="s">
        <v>1424</v>
      </c>
      <c r="D54" s="826" t="s">
        <v>1425</v>
      </c>
      <c r="E54" s="824" t="s">
        <v>1426</v>
      </c>
      <c r="F54" s="824" t="s">
        <v>1427</v>
      </c>
      <c r="G54" s="824" t="s">
        <v>1428</v>
      </c>
      <c r="H54" s="824" t="s">
        <v>1429</v>
      </c>
      <c r="I54" s="824"/>
      <c r="J54" s="826" t="s">
        <v>1430</v>
      </c>
      <c r="K54" s="824" t="s">
        <v>1431</v>
      </c>
      <c r="L54" s="824"/>
      <c r="M54" s="826" t="s">
        <v>1432</v>
      </c>
      <c r="N54" s="824" t="s">
        <v>1433</v>
      </c>
      <c r="O54" s="824"/>
      <c r="P54" s="826" t="s">
        <v>1434</v>
      </c>
      <c r="Q54" s="824" t="s">
        <v>1435</v>
      </c>
      <c r="R54" s="826" t="s">
        <v>1436</v>
      </c>
      <c r="S54" s="826" t="s">
        <v>1437</v>
      </c>
      <c r="T54" s="824" t="s">
        <v>1438</v>
      </c>
      <c r="U54" s="824" t="s">
        <v>1439</v>
      </c>
      <c r="V54" s="824" t="s">
        <v>1440</v>
      </c>
      <c r="W54" s="824" t="s">
        <v>1441</v>
      </c>
      <c r="X54" s="824"/>
      <c r="Y54" s="824"/>
      <c r="Z54" s="824"/>
      <c r="AA54" s="824"/>
      <c r="AB54" s="824"/>
      <c r="AC54" s="824"/>
      <c r="AD54" s="824"/>
      <c r="AE54" s="824"/>
      <c r="AF54" s="824"/>
      <c r="AG54" s="824"/>
      <c r="AH54" s="824"/>
      <c r="AI54" s="824"/>
      <c r="AJ54" s="824"/>
      <c r="AK54" s="824"/>
      <c r="AL54" s="824"/>
      <c r="AM54" s="824"/>
      <c r="AN54" s="824"/>
      <c r="AO54" s="824"/>
      <c r="AP54" s="824"/>
      <c r="AQ54" s="824"/>
      <c r="AR54" s="824"/>
      <c r="AS54" s="824"/>
      <c r="AT54" s="824"/>
      <c r="AU54" s="824"/>
      <c r="AV54" s="824"/>
      <c r="AW54" s="824"/>
      <c r="AX54" s="824"/>
      <c r="AY54" s="824"/>
      <c r="AZ54" s="824"/>
      <c r="BA54" s="824"/>
      <c r="BB54" s="824"/>
      <c r="BC54" s="824"/>
      <c r="BD54" s="824"/>
      <c r="BE54" s="824"/>
      <c r="BF54" s="824"/>
      <c r="BG54" s="824"/>
      <c r="BH54" s="824"/>
      <c r="BI54" s="824"/>
      <c r="BJ54" s="824"/>
      <c r="BK54" s="824"/>
      <c r="BL54" s="824"/>
      <c r="BM54" s="824"/>
      <c r="BN54" s="824"/>
      <c r="BO54" s="824"/>
      <c r="BP54" s="824"/>
      <c r="BQ54" s="824"/>
      <c r="BR54" s="824"/>
      <c r="BS54" s="824"/>
      <c r="BT54" s="824"/>
      <c r="BU54" s="824"/>
      <c r="BV54" s="824"/>
      <c r="BW54" s="824"/>
      <c r="BX54" s="824"/>
      <c r="BY54" s="824"/>
      <c r="BZ54" s="824"/>
      <c r="CA54" s="824"/>
      <c r="CB54" s="824"/>
      <c r="CC54" s="824"/>
      <c r="CD54" s="824"/>
      <c r="CE54" s="824"/>
      <c r="CF54" s="824"/>
      <c r="CG54" s="824"/>
      <c r="CH54" s="824"/>
      <c r="CI54" s="824"/>
      <c r="CJ54" s="824"/>
      <c r="CK54" s="824"/>
      <c r="CL54" s="824"/>
      <c r="CM54" s="824"/>
      <c r="CN54" s="824"/>
      <c r="CO54" s="824"/>
      <c r="CP54" s="824"/>
      <c r="CQ54" s="824"/>
      <c r="CR54" s="824"/>
      <c r="CS54" s="824"/>
      <c r="CT54" s="824"/>
      <c r="CU54" s="824"/>
      <c r="CV54" s="824"/>
      <c r="CW54" s="824"/>
      <c r="CX54" s="824"/>
      <c r="CY54" s="824"/>
      <c r="CZ54" s="824"/>
      <c r="DA54" s="824"/>
      <c r="DB54" s="824"/>
      <c r="DC54" s="824"/>
      <c r="DD54" s="824"/>
      <c r="DE54" s="824"/>
      <c r="DF54" s="824"/>
      <c r="DG54" s="824"/>
      <c r="DH54" s="824"/>
      <c r="DI54" s="824"/>
      <c r="DJ54" s="824"/>
      <c r="DK54" s="824"/>
      <c r="DL54" s="824"/>
      <c r="DM54" s="825">
        <v>10.1</v>
      </c>
      <c r="DN54" s="825">
        <v>8.3000000000000007</v>
      </c>
      <c r="DO54" s="825">
        <v>6.7</v>
      </c>
      <c r="DP54" s="825">
        <v>8.4</v>
      </c>
      <c r="DQ54" s="825">
        <v>10.5</v>
      </c>
      <c r="DR54" s="825">
        <v>0</v>
      </c>
      <c r="DS54" s="825">
        <v>8.6</v>
      </c>
      <c r="DT54" s="825">
        <v>8.3000000000000007</v>
      </c>
      <c r="DU54" s="825">
        <v>0</v>
      </c>
      <c r="DV54" s="825">
        <v>7.1</v>
      </c>
      <c r="DW54" s="825">
        <v>6.7</v>
      </c>
      <c r="DX54" s="825">
        <v>0</v>
      </c>
      <c r="DY54" s="825">
        <v>9.4</v>
      </c>
      <c r="DZ54" s="825">
        <v>9.4</v>
      </c>
      <c r="EA54" s="825">
        <v>17.600000000000001</v>
      </c>
      <c r="EB54" s="825">
        <v>9.9</v>
      </c>
      <c r="EC54" s="825">
        <v>0</v>
      </c>
      <c r="ED54" s="825">
        <v>9.8000000000000007</v>
      </c>
      <c r="EE54" s="825">
        <v>0</v>
      </c>
      <c r="EF54" s="825">
        <v>9.4</v>
      </c>
      <c r="EG54" s="825">
        <v>0</v>
      </c>
      <c r="EH54" s="825">
        <v>0</v>
      </c>
      <c r="EI54" s="825">
        <v>0</v>
      </c>
      <c r="EJ54" s="825">
        <v>0</v>
      </c>
      <c r="EK54" s="825">
        <v>0</v>
      </c>
      <c r="EL54" s="825">
        <v>0</v>
      </c>
      <c r="EM54" s="825">
        <v>0</v>
      </c>
      <c r="EN54" s="825">
        <v>0</v>
      </c>
      <c r="EO54" s="825">
        <v>0</v>
      </c>
      <c r="EP54" s="825">
        <v>0</v>
      </c>
      <c r="EQ54" s="825">
        <v>0</v>
      </c>
      <c r="ER54" s="825">
        <v>0</v>
      </c>
      <c r="ES54" s="825">
        <v>0</v>
      </c>
      <c r="ET54" s="825">
        <v>0</v>
      </c>
      <c r="EU54" s="825">
        <v>0</v>
      </c>
      <c r="EV54" s="825">
        <v>0</v>
      </c>
      <c r="EW54" s="825">
        <v>0</v>
      </c>
      <c r="EX54" s="825">
        <v>0</v>
      </c>
      <c r="EY54" s="825">
        <v>0</v>
      </c>
      <c r="EZ54" s="825">
        <v>0</v>
      </c>
      <c r="FA54" s="825">
        <v>0</v>
      </c>
      <c r="FB54" s="825">
        <v>0</v>
      </c>
      <c r="FC54" s="825">
        <v>0</v>
      </c>
      <c r="FD54" s="825">
        <v>0</v>
      </c>
      <c r="FE54" s="825">
        <v>0</v>
      </c>
      <c r="FF54" s="825">
        <v>0</v>
      </c>
      <c r="FG54" s="825">
        <v>0</v>
      </c>
      <c r="FH54" s="825">
        <v>0</v>
      </c>
      <c r="FI54" s="825">
        <v>0</v>
      </c>
      <c r="FJ54" s="825">
        <v>0</v>
      </c>
      <c r="FK54" s="825">
        <v>0</v>
      </c>
      <c r="FL54" s="825">
        <v>0</v>
      </c>
      <c r="FM54" s="825">
        <v>0</v>
      </c>
      <c r="FN54" s="825">
        <v>0</v>
      </c>
      <c r="FO54" s="825">
        <v>0</v>
      </c>
      <c r="FP54" s="825">
        <v>0</v>
      </c>
      <c r="FQ54" s="825">
        <v>0</v>
      </c>
      <c r="FR54" s="825">
        <v>0</v>
      </c>
      <c r="FS54" s="825">
        <v>0</v>
      </c>
      <c r="FT54" s="825">
        <v>0</v>
      </c>
      <c r="FU54" s="825">
        <v>0</v>
      </c>
      <c r="FV54" s="825">
        <v>0</v>
      </c>
      <c r="FW54" s="825">
        <v>0</v>
      </c>
      <c r="FX54" s="825">
        <v>0</v>
      </c>
      <c r="FY54" s="825">
        <v>0</v>
      </c>
      <c r="FZ54" s="825">
        <v>0</v>
      </c>
      <c r="GA54" s="825">
        <v>0</v>
      </c>
      <c r="GB54" s="825">
        <v>0</v>
      </c>
      <c r="GC54" s="825">
        <v>0</v>
      </c>
      <c r="GD54" s="825">
        <v>0</v>
      </c>
      <c r="GE54" s="825">
        <v>0</v>
      </c>
      <c r="GF54" s="825">
        <v>0</v>
      </c>
      <c r="GG54" s="825">
        <v>0</v>
      </c>
      <c r="GH54" s="825">
        <v>0</v>
      </c>
      <c r="GI54" s="825">
        <v>0</v>
      </c>
      <c r="GJ54" s="825">
        <v>0</v>
      </c>
      <c r="GK54" s="825">
        <v>0</v>
      </c>
      <c r="GL54" s="825">
        <v>0</v>
      </c>
      <c r="GM54" s="825">
        <v>0</v>
      </c>
      <c r="GN54" s="825">
        <v>0</v>
      </c>
      <c r="GO54" s="825">
        <v>0</v>
      </c>
      <c r="GP54" s="825">
        <v>0</v>
      </c>
      <c r="GQ54" s="825">
        <v>0</v>
      </c>
      <c r="GR54" s="825">
        <v>0</v>
      </c>
      <c r="GS54" s="825">
        <v>0</v>
      </c>
      <c r="GT54" s="825">
        <v>0</v>
      </c>
      <c r="GU54" s="825">
        <v>0</v>
      </c>
      <c r="GV54" s="825">
        <v>0</v>
      </c>
      <c r="GW54" s="825">
        <v>0</v>
      </c>
      <c r="GX54" s="825">
        <v>0</v>
      </c>
      <c r="GY54" s="825">
        <v>0</v>
      </c>
      <c r="GZ54" s="825">
        <v>0</v>
      </c>
      <c r="HA54" s="825">
        <v>0</v>
      </c>
      <c r="HB54" s="825">
        <v>0</v>
      </c>
      <c r="HC54" s="825">
        <v>0</v>
      </c>
      <c r="HD54" s="825">
        <v>0</v>
      </c>
      <c r="HE54" s="825">
        <v>0</v>
      </c>
      <c r="HF54" s="825">
        <v>0</v>
      </c>
      <c r="HG54" s="825">
        <v>0</v>
      </c>
      <c r="HH54" s="825">
        <v>0</v>
      </c>
      <c r="HI54" s="825">
        <v>0</v>
      </c>
      <c r="HJ54" s="825">
        <v>0</v>
      </c>
      <c r="HK54" s="825">
        <v>0</v>
      </c>
      <c r="HL54" s="825">
        <v>0</v>
      </c>
      <c r="HM54" s="825">
        <v>0</v>
      </c>
      <c r="HN54" s="825">
        <v>0</v>
      </c>
      <c r="HO54" s="825">
        <v>0</v>
      </c>
      <c r="HP54" s="825">
        <v>0</v>
      </c>
      <c r="HQ54" s="825">
        <v>0</v>
      </c>
      <c r="HR54" s="825">
        <v>0</v>
      </c>
      <c r="HS54" s="825">
        <v>0</v>
      </c>
      <c r="HT54" s="825">
        <v>0</v>
      </c>
      <c r="HU54" s="825">
        <v>0</v>
      </c>
    </row>
    <row r="55" spans="1:229" ht="63.75">
      <c r="A55" s="823" t="s">
        <v>515</v>
      </c>
      <c r="B55" s="823" t="s">
        <v>1442</v>
      </c>
      <c r="C55" s="823" t="s">
        <v>1443</v>
      </c>
      <c r="D55" s="826" t="s">
        <v>1444</v>
      </c>
      <c r="E55" s="826"/>
      <c r="F55" s="824"/>
      <c r="G55" s="824"/>
      <c r="H55" s="824"/>
      <c r="I55" s="824"/>
      <c r="J55" s="824"/>
      <c r="K55" s="824"/>
      <c r="L55" s="824"/>
      <c r="M55" s="824"/>
      <c r="N55" s="824"/>
      <c r="O55" s="824"/>
      <c r="P55" s="824"/>
      <c r="Q55" s="824"/>
      <c r="R55" s="824"/>
      <c r="S55" s="824"/>
      <c r="T55" s="824"/>
      <c r="U55" s="824"/>
      <c r="V55" s="824"/>
      <c r="W55" s="824"/>
      <c r="X55" s="824"/>
      <c r="Y55" s="824"/>
      <c r="Z55" s="824"/>
      <c r="AA55" s="824"/>
      <c r="AB55" s="824"/>
      <c r="AC55" s="824"/>
      <c r="AD55" s="824"/>
      <c r="AE55" s="824"/>
      <c r="AF55" s="824"/>
      <c r="AG55" s="824"/>
      <c r="AH55" s="824"/>
      <c r="AI55" s="824"/>
      <c r="AJ55" s="824"/>
      <c r="AK55" s="824"/>
      <c r="AL55" s="824"/>
      <c r="AM55" s="824"/>
      <c r="AN55" s="824"/>
      <c r="AO55" s="824"/>
      <c r="AP55" s="824"/>
      <c r="AQ55" s="824"/>
      <c r="AR55" s="824"/>
      <c r="AS55" s="824"/>
      <c r="AT55" s="824"/>
      <c r="AU55" s="824"/>
      <c r="AV55" s="824"/>
      <c r="AW55" s="824"/>
      <c r="AX55" s="824"/>
      <c r="AY55" s="824"/>
      <c r="AZ55" s="824"/>
      <c r="BA55" s="824"/>
      <c r="BB55" s="824"/>
      <c r="BC55" s="824"/>
      <c r="BD55" s="824"/>
      <c r="BE55" s="824"/>
      <c r="BF55" s="824"/>
      <c r="BG55" s="824"/>
      <c r="BH55" s="824"/>
      <c r="BI55" s="824"/>
      <c r="BJ55" s="824"/>
      <c r="BK55" s="824"/>
      <c r="BL55" s="824"/>
      <c r="BM55" s="824"/>
      <c r="BN55" s="824"/>
      <c r="BO55" s="824"/>
      <c r="BP55" s="824"/>
      <c r="BQ55" s="824"/>
      <c r="BR55" s="824"/>
      <c r="BS55" s="824"/>
      <c r="BT55" s="824"/>
      <c r="BU55" s="824"/>
      <c r="BV55" s="824"/>
      <c r="BW55" s="824"/>
      <c r="BX55" s="824"/>
      <c r="BY55" s="824"/>
      <c r="BZ55" s="824"/>
      <c r="CA55" s="824"/>
      <c r="CB55" s="824"/>
      <c r="CC55" s="824"/>
      <c r="CD55" s="824"/>
      <c r="CE55" s="824"/>
      <c r="CF55" s="824"/>
      <c r="CG55" s="824"/>
      <c r="CH55" s="824"/>
      <c r="CI55" s="824"/>
      <c r="CJ55" s="824"/>
      <c r="CK55" s="824"/>
      <c r="CL55" s="824"/>
      <c r="CM55" s="824"/>
      <c r="CN55" s="824"/>
      <c r="CO55" s="824"/>
      <c r="CP55" s="824"/>
      <c r="CQ55" s="824"/>
      <c r="CR55" s="824"/>
      <c r="CS55" s="824"/>
      <c r="CT55" s="824"/>
      <c r="CU55" s="824"/>
      <c r="CV55" s="824"/>
      <c r="CW55" s="824"/>
      <c r="CX55" s="824"/>
      <c r="CY55" s="824"/>
      <c r="CZ55" s="824"/>
      <c r="DA55" s="824"/>
      <c r="DB55" s="824"/>
      <c r="DC55" s="824"/>
      <c r="DD55" s="824"/>
      <c r="DE55" s="824"/>
      <c r="DF55" s="824"/>
      <c r="DG55" s="824"/>
      <c r="DH55" s="824"/>
      <c r="DI55" s="824"/>
      <c r="DJ55" s="824"/>
      <c r="DK55" s="824"/>
      <c r="DL55" s="824"/>
      <c r="DM55" s="825">
        <v>7.7</v>
      </c>
      <c r="DN55" s="825">
        <v>0</v>
      </c>
      <c r="DO55" s="825">
        <v>0</v>
      </c>
      <c r="DP55" s="825">
        <v>0</v>
      </c>
      <c r="DQ55" s="825">
        <v>0</v>
      </c>
      <c r="DR55" s="825">
        <v>0</v>
      </c>
      <c r="DS55" s="825">
        <v>0</v>
      </c>
      <c r="DT55" s="825">
        <v>0</v>
      </c>
      <c r="DU55" s="825">
        <v>0</v>
      </c>
      <c r="DV55" s="825">
        <v>0</v>
      </c>
      <c r="DW55" s="825">
        <v>0</v>
      </c>
      <c r="DX55" s="825">
        <v>0</v>
      </c>
      <c r="DY55" s="825">
        <v>0</v>
      </c>
      <c r="DZ55" s="825">
        <v>0</v>
      </c>
      <c r="EA55" s="825">
        <v>0</v>
      </c>
      <c r="EB55" s="825">
        <v>0</v>
      </c>
      <c r="EC55" s="825">
        <v>0</v>
      </c>
      <c r="ED55" s="825">
        <v>0</v>
      </c>
      <c r="EE55" s="825">
        <v>0</v>
      </c>
      <c r="EF55" s="825">
        <v>0</v>
      </c>
      <c r="EG55" s="825">
        <v>0</v>
      </c>
      <c r="EH55" s="825">
        <v>0</v>
      </c>
      <c r="EI55" s="825">
        <v>0</v>
      </c>
      <c r="EJ55" s="825">
        <v>0</v>
      </c>
      <c r="EK55" s="825">
        <v>0</v>
      </c>
      <c r="EL55" s="825">
        <v>0</v>
      </c>
      <c r="EM55" s="825">
        <v>0</v>
      </c>
      <c r="EN55" s="825">
        <v>0</v>
      </c>
      <c r="EO55" s="825">
        <v>0</v>
      </c>
      <c r="EP55" s="825">
        <v>0</v>
      </c>
      <c r="EQ55" s="825">
        <v>0</v>
      </c>
      <c r="ER55" s="825">
        <v>0</v>
      </c>
      <c r="ES55" s="825">
        <v>0</v>
      </c>
      <c r="ET55" s="825">
        <v>0</v>
      </c>
      <c r="EU55" s="825">
        <v>0</v>
      </c>
      <c r="EV55" s="825">
        <v>0</v>
      </c>
      <c r="EW55" s="825">
        <v>0</v>
      </c>
      <c r="EX55" s="825">
        <v>0</v>
      </c>
      <c r="EY55" s="825">
        <v>0</v>
      </c>
      <c r="EZ55" s="825">
        <v>0</v>
      </c>
      <c r="FA55" s="825">
        <v>0</v>
      </c>
      <c r="FB55" s="825">
        <v>0</v>
      </c>
      <c r="FC55" s="825">
        <v>0</v>
      </c>
      <c r="FD55" s="825">
        <v>0</v>
      </c>
      <c r="FE55" s="825">
        <v>0</v>
      </c>
      <c r="FF55" s="825">
        <v>0</v>
      </c>
      <c r="FG55" s="825">
        <v>0</v>
      </c>
      <c r="FH55" s="825">
        <v>0</v>
      </c>
      <c r="FI55" s="825">
        <v>0</v>
      </c>
      <c r="FJ55" s="825">
        <v>0</v>
      </c>
      <c r="FK55" s="825">
        <v>0</v>
      </c>
      <c r="FL55" s="825">
        <v>0</v>
      </c>
      <c r="FM55" s="825">
        <v>0</v>
      </c>
      <c r="FN55" s="825">
        <v>0</v>
      </c>
      <c r="FO55" s="825">
        <v>0</v>
      </c>
      <c r="FP55" s="825">
        <v>0</v>
      </c>
      <c r="FQ55" s="825">
        <v>0</v>
      </c>
      <c r="FR55" s="825">
        <v>0</v>
      </c>
      <c r="FS55" s="825">
        <v>0</v>
      </c>
      <c r="FT55" s="825">
        <v>0</v>
      </c>
      <c r="FU55" s="825">
        <v>0</v>
      </c>
      <c r="FV55" s="825">
        <v>0</v>
      </c>
      <c r="FW55" s="825">
        <v>0</v>
      </c>
      <c r="FX55" s="825">
        <v>0</v>
      </c>
      <c r="FY55" s="825">
        <v>0</v>
      </c>
      <c r="FZ55" s="825">
        <v>0</v>
      </c>
      <c r="GA55" s="825">
        <v>0</v>
      </c>
      <c r="GB55" s="825">
        <v>0</v>
      </c>
      <c r="GC55" s="825">
        <v>0</v>
      </c>
      <c r="GD55" s="825">
        <v>0</v>
      </c>
      <c r="GE55" s="825">
        <v>0</v>
      </c>
      <c r="GF55" s="825">
        <v>0</v>
      </c>
      <c r="GG55" s="825">
        <v>0</v>
      </c>
      <c r="GH55" s="825">
        <v>0</v>
      </c>
      <c r="GI55" s="825">
        <v>0</v>
      </c>
      <c r="GJ55" s="825">
        <v>0</v>
      </c>
      <c r="GK55" s="825">
        <v>0</v>
      </c>
      <c r="GL55" s="825">
        <v>0</v>
      </c>
      <c r="GM55" s="825">
        <v>0</v>
      </c>
      <c r="GN55" s="825">
        <v>0</v>
      </c>
      <c r="GO55" s="825">
        <v>0</v>
      </c>
      <c r="GP55" s="825">
        <v>0</v>
      </c>
      <c r="GQ55" s="825">
        <v>0</v>
      </c>
      <c r="GR55" s="825">
        <v>0</v>
      </c>
      <c r="GS55" s="825">
        <v>0</v>
      </c>
      <c r="GT55" s="825">
        <v>0</v>
      </c>
      <c r="GU55" s="825">
        <v>0</v>
      </c>
      <c r="GV55" s="825">
        <v>0</v>
      </c>
      <c r="GW55" s="825">
        <v>0</v>
      </c>
      <c r="GX55" s="825">
        <v>0</v>
      </c>
      <c r="GY55" s="825">
        <v>0</v>
      </c>
      <c r="GZ55" s="825">
        <v>0</v>
      </c>
      <c r="HA55" s="825">
        <v>0</v>
      </c>
      <c r="HB55" s="825">
        <v>0</v>
      </c>
      <c r="HC55" s="825">
        <v>0</v>
      </c>
      <c r="HD55" s="825">
        <v>0</v>
      </c>
      <c r="HE55" s="825">
        <v>0</v>
      </c>
      <c r="HF55" s="825">
        <v>0</v>
      </c>
      <c r="HG55" s="825">
        <v>0</v>
      </c>
      <c r="HH55" s="825">
        <v>0</v>
      </c>
      <c r="HI55" s="825">
        <v>0</v>
      </c>
      <c r="HJ55" s="825">
        <v>0</v>
      </c>
      <c r="HK55" s="825">
        <v>0</v>
      </c>
      <c r="HL55" s="825">
        <v>0</v>
      </c>
      <c r="HM55" s="825">
        <v>0</v>
      </c>
      <c r="HN55" s="825">
        <v>0</v>
      </c>
      <c r="HO55" s="825">
        <v>0</v>
      </c>
      <c r="HP55" s="825">
        <v>0</v>
      </c>
      <c r="HQ55" s="825">
        <v>0</v>
      </c>
      <c r="HR55" s="825">
        <v>0</v>
      </c>
      <c r="HS55" s="825">
        <v>0</v>
      </c>
      <c r="HT55" s="825">
        <v>0</v>
      </c>
      <c r="HU55" s="825">
        <v>0</v>
      </c>
    </row>
    <row r="56" spans="1:229" ht="127.5">
      <c r="A56" s="823" t="s">
        <v>515</v>
      </c>
      <c r="B56" s="823" t="s">
        <v>1445</v>
      </c>
      <c r="C56" s="823" t="s">
        <v>1446</v>
      </c>
      <c r="D56" s="826" t="s">
        <v>1447</v>
      </c>
      <c r="E56" s="824" t="s">
        <v>1448</v>
      </c>
      <c r="F56" s="824" t="s">
        <v>1449</v>
      </c>
      <c r="G56" s="824" t="s">
        <v>1450</v>
      </c>
      <c r="H56" s="824" t="s">
        <v>1451</v>
      </c>
      <c r="I56" s="824"/>
      <c r="J56" s="824"/>
      <c r="K56" s="826" t="s">
        <v>1452</v>
      </c>
      <c r="L56" s="826" t="s">
        <v>1453</v>
      </c>
      <c r="M56" s="824"/>
      <c r="N56" s="824" t="s">
        <v>1454</v>
      </c>
      <c r="O56" s="824"/>
      <c r="P56" s="824" t="s">
        <v>1455</v>
      </c>
      <c r="Q56" s="824"/>
      <c r="R56" s="824"/>
      <c r="S56" s="824"/>
      <c r="T56" s="824"/>
      <c r="U56" s="824"/>
      <c r="V56" s="824"/>
      <c r="W56" s="824"/>
      <c r="X56" s="824"/>
      <c r="Y56" s="824"/>
      <c r="Z56" s="824"/>
      <c r="AA56" s="824"/>
      <c r="AB56" s="824"/>
      <c r="AC56" s="824"/>
      <c r="AD56" s="824"/>
      <c r="AE56" s="824"/>
      <c r="AF56" s="824"/>
      <c r="AG56" s="824"/>
      <c r="AH56" s="824"/>
      <c r="AI56" s="824"/>
      <c r="AJ56" s="824"/>
      <c r="AK56" s="824"/>
      <c r="AL56" s="824"/>
      <c r="AM56" s="824"/>
      <c r="AN56" s="824"/>
      <c r="AO56" s="824"/>
      <c r="AP56" s="824"/>
      <c r="AQ56" s="824"/>
      <c r="AR56" s="824"/>
      <c r="AS56" s="824"/>
      <c r="AT56" s="824"/>
      <c r="AU56" s="824"/>
      <c r="AV56" s="824"/>
      <c r="AW56" s="824"/>
      <c r="AX56" s="824"/>
      <c r="AY56" s="824"/>
      <c r="AZ56" s="824"/>
      <c r="BA56" s="824"/>
      <c r="BB56" s="824"/>
      <c r="BC56" s="824"/>
      <c r="BD56" s="824"/>
      <c r="BE56" s="824"/>
      <c r="BF56" s="824"/>
      <c r="BG56" s="824"/>
      <c r="BH56" s="824"/>
      <c r="BI56" s="824"/>
      <c r="BJ56" s="824"/>
      <c r="BK56" s="824"/>
      <c r="BL56" s="824"/>
      <c r="BM56" s="824"/>
      <c r="BN56" s="824"/>
      <c r="BO56" s="824"/>
      <c r="BP56" s="824"/>
      <c r="BQ56" s="824"/>
      <c r="BR56" s="824"/>
      <c r="BS56" s="824"/>
      <c r="BT56" s="824"/>
      <c r="BU56" s="824"/>
      <c r="BV56" s="824"/>
      <c r="BW56" s="824"/>
      <c r="BX56" s="824"/>
      <c r="BY56" s="824"/>
      <c r="BZ56" s="824"/>
      <c r="CA56" s="824"/>
      <c r="CB56" s="824"/>
      <c r="CC56" s="824"/>
      <c r="CD56" s="824"/>
      <c r="CE56" s="824"/>
      <c r="CF56" s="824"/>
      <c r="CG56" s="824"/>
      <c r="CH56" s="824"/>
      <c r="CI56" s="824"/>
      <c r="CJ56" s="824"/>
      <c r="CK56" s="824"/>
      <c r="CL56" s="824"/>
      <c r="CM56" s="824"/>
      <c r="CN56" s="824"/>
      <c r="CO56" s="824"/>
      <c r="CP56" s="824"/>
      <c r="CQ56" s="824"/>
      <c r="CR56" s="824"/>
      <c r="CS56" s="824"/>
      <c r="CT56" s="824"/>
      <c r="CU56" s="824"/>
      <c r="CV56" s="824"/>
      <c r="CW56" s="824"/>
      <c r="CX56" s="824"/>
      <c r="CY56" s="824"/>
      <c r="CZ56" s="824"/>
      <c r="DA56" s="824"/>
      <c r="DB56" s="824"/>
      <c r="DC56" s="824"/>
      <c r="DD56" s="824"/>
      <c r="DE56" s="824"/>
      <c r="DF56" s="824"/>
      <c r="DG56" s="824"/>
      <c r="DH56" s="824"/>
      <c r="DI56" s="824"/>
      <c r="DJ56" s="824"/>
      <c r="DK56" s="824"/>
      <c r="DL56" s="824"/>
      <c r="DM56" s="825">
        <v>9.8000000000000007</v>
      </c>
      <c r="DN56" s="825">
        <v>5.9</v>
      </c>
      <c r="DO56" s="825">
        <v>6.6</v>
      </c>
      <c r="DP56" s="825">
        <v>8.1</v>
      </c>
      <c r="DQ56" s="825">
        <v>7.8</v>
      </c>
      <c r="DR56" s="825">
        <v>0</v>
      </c>
      <c r="DS56" s="825">
        <v>0</v>
      </c>
      <c r="DT56" s="825">
        <v>7.8</v>
      </c>
      <c r="DU56" s="825">
        <v>5.6</v>
      </c>
      <c r="DV56" s="825">
        <v>0</v>
      </c>
      <c r="DW56" s="825">
        <v>7.9</v>
      </c>
      <c r="DX56" s="825">
        <v>0</v>
      </c>
      <c r="DY56" s="825">
        <v>4.2</v>
      </c>
      <c r="DZ56" s="825">
        <v>0</v>
      </c>
      <c r="EA56" s="825">
        <v>0</v>
      </c>
      <c r="EB56" s="825">
        <v>0</v>
      </c>
      <c r="EC56" s="825">
        <v>0</v>
      </c>
      <c r="ED56" s="825">
        <v>0</v>
      </c>
      <c r="EE56" s="825">
        <v>0</v>
      </c>
      <c r="EF56" s="825">
        <v>0</v>
      </c>
      <c r="EG56" s="825">
        <v>0</v>
      </c>
      <c r="EH56" s="825">
        <v>0</v>
      </c>
      <c r="EI56" s="825">
        <v>0</v>
      </c>
      <c r="EJ56" s="825">
        <v>0</v>
      </c>
      <c r="EK56" s="825">
        <v>0</v>
      </c>
      <c r="EL56" s="825">
        <v>0</v>
      </c>
      <c r="EM56" s="825">
        <v>0</v>
      </c>
      <c r="EN56" s="825">
        <v>0</v>
      </c>
      <c r="EO56" s="825">
        <v>0</v>
      </c>
      <c r="EP56" s="825">
        <v>0</v>
      </c>
      <c r="EQ56" s="825">
        <v>0</v>
      </c>
      <c r="ER56" s="825">
        <v>0</v>
      </c>
      <c r="ES56" s="825">
        <v>0</v>
      </c>
      <c r="ET56" s="825">
        <v>0</v>
      </c>
      <c r="EU56" s="825">
        <v>0</v>
      </c>
      <c r="EV56" s="825">
        <v>0</v>
      </c>
      <c r="EW56" s="825">
        <v>0</v>
      </c>
      <c r="EX56" s="825">
        <v>0</v>
      </c>
      <c r="EY56" s="825">
        <v>0</v>
      </c>
      <c r="EZ56" s="825">
        <v>0</v>
      </c>
      <c r="FA56" s="825">
        <v>0</v>
      </c>
      <c r="FB56" s="825">
        <v>0</v>
      </c>
      <c r="FC56" s="825">
        <v>0</v>
      </c>
      <c r="FD56" s="825">
        <v>0</v>
      </c>
      <c r="FE56" s="825">
        <v>0</v>
      </c>
      <c r="FF56" s="825">
        <v>0</v>
      </c>
      <c r="FG56" s="825">
        <v>0</v>
      </c>
      <c r="FH56" s="825">
        <v>0</v>
      </c>
      <c r="FI56" s="825">
        <v>0</v>
      </c>
      <c r="FJ56" s="825">
        <v>0</v>
      </c>
      <c r="FK56" s="825">
        <v>0</v>
      </c>
      <c r="FL56" s="825">
        <v>0</v>
      </c>
      <c r="FM56" s="825">
        <v>0</v>
      </c>
      <c r="FN56" s="825">
        <v>0</v>
      </c>
      <c r="FO56" s="825">
        <v>0</v>
      </c>
      <c r="FP56" s="825">
        <v>0</v>
      </c>
      <c r="FQ56" s="825">
        <v>0</v>
      </c>
      <c r="FR56" s="825">
        <v>0</v>
      </c>
      <c r="FS56" s="825">
        <v>0</v>
      </c>
      <c r="FT56" s="825">
        <v>0</v>
      </c>
      <c r="FU56" s="825">
        <v>0</v>
      </c>
      <c r="FV56" s="825">
        <v>0</v>
      </c>
      <c r="FW56" s="825">
        <v>0</v>
      </c>
      <c r="FX56" s="825">
        <v>0</v>
      </c>
      <c r="FY56" s="825">
        <v>0</v>
      </c>
      <c r="FZ56" s="825">
        <v>0</v>
      </c>
      <c r="GA56" s="825">
        <v>0</v>
      </c>
      <c r="GB56" s="825">
        <v>0</v>
      </c>
      <c r="GC56" s="825">
        <v>0</v>
      </c>
      <c r="GD56" s="825">
        <v>0</v>
      </c>
      <c r="GE56" s="825">
        <v>0</v>
      </c>
      <c r="GF56" s="825">
        <v>0</v>
      </c>
      <c r="GG56" s="825">
        <v>0</v>
      </c>
      <c r="GH56" s="825">
        <v>0</v>
      </c>
      <c r="GI56" s="825">
        <v>0</v>
      </c>
      <c r="GJ56" s="825">
        <v>0</v>
      </c>
      <c r="GK56" s="825">
        <v>0</v>
      </c>
      <c r="GL56" s="825">
        <v>0</v>
      </c>
      <c r="GM56" s="825">
        <v>0</v>
      </c>
      <c r="GN56" s="825">
        <v>0</v>
      </c>
      <c r="GO56" s="825">
        <v>0</v>
      </c>
      <c r="GP56" s="825">
        <v>0</v>
      </c>
      <c r="GQ56" s="825">
        <v>0</v>
      </c>
      <c r="GR56" s="825">
        <v>0</v>
      </c>
      <c r="GS56" s="825">
        <v>0</v>
      </c>
      <c r="GT56" s="825">
        <v>0</v>
      </c>
      <c r="GU56" s="825">
        <v>0</v>
      </c>
      <c r="GV56" s="825">
        <v>0</v>
      </c>
      <c r="GW56" s="825">
        <v>0</v>
      </c>
      <c r="GX56" s="825">
        <v>0</v>
      </c>
      <c r="GY56" s="825">
        <v>0</v>
      </c>
      <c r="GZ56" s="825">
        <v>0</v>
      </c>
      <c r="HA56" s="825">
        <v>0</v>
      </c>
      <c r="HB56" s="825">
        <v>0</v>
      </c>
      <c r="HC56" s="825">
        <v>0</v>
      </c>
      <c r="HD56" s="825">
        <v>0</v>
      </c>
      <c r="HE56" s="825">
        <v>0</v>
      </c>
      <c r="HF56" s="825">
        <v>0</v>
      </c>
      <c r="HG56" s="825">
        <v>0</v>
      </c>
      <c r="HH56" s="825">
        <v>0</v>
      </c>
      <c r="HI56" s="825">
        <v>0</v>
      </c>
      <c r="HJ56" s="825">
        <v>0</v>
      </c>
      <c r="HK56" s="825">
        <v>0</v>
      </c>
      <c r="HL56" s="825">
        <v>0</v>
      </c>
      <c r="HM56" s="825">
        <v>0</v>
      </c>
      <c r="HN56" s="825">
        <v>0</v>
      </c>
      <c r="HO56" s="825">
        <v>0</v>
      </c>
      <c r="HP56" s="825">
        <v>0</v>
      </c>
      <c r="HQ56" s="825">
        <v>0</v>
      </c>
      <c r="HR56" s="825">
        <v>0</v>
      </c>
      <c r="HS56" s="825">
        <v>0</v>
      </c>
      <c r="HT56" s="825">
        <v>0</v>
      </c>
      <c r="HU56" s="825">
        <v>0</v>
      </c>
    </row>
    <row r="57" spans="1:229" ht="63.75">
      <c r="A57" s="823" t="s">
        <v>515</v>
      </c>
      <c r="B57" s="823" t="s">
        <v>1456</v>
      </c>
      <c r="C57" s="823" t="s">
        <v>1457</v>
      </c>
      <c r="D57" s="824"/>
      <c r="E57" s="826" t="s">
        <v>1458</v>
      </c>
      <c r="F57" s="824" t="s">
        <v>1459</v>
      </c>
      <c r="G57" s="824"/>
      <c r="H57" s="824"/>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4"/>
      <c r="AU57" s="824"/>
      <c r="AV57" s="824"/>
      <c r="AW57" s="824"/>
      <c r="AX57" s="824"/>
      <c r="AY57" s="824"/>
      <c r="AZ57" s="824"/>
      <c r="BA57" s="824"/>
      <c r="BB57" s="824"/>
      <c r="BC57" s="824"/>
      <c r="BD57" s="824"/>
      <c r="BE57" s="824"/>
      <c r="BF57" s="824"/>
      <c r="BG57" s="824"/>
      <c r="BH57" s="824"/>
      <c r="BI57" s="824"/>
      <c r="BJ57" s="824"/>
      <c r="BK57" s="824"/>
      <c r="BL57" s="824"/>
      <c r="BM57" s="824"/>
      <c r="BN57" s="824"/>
      <c r="BO57" s="824"/>
      <c r="BP57" s="824"/>
      <c r="BQ57" s="824"/>
      <c r="BR57" s="824"/>
      <c r="BS57" s="824"/>
      <c r="BT57" s="824"/>
      <c r="BU57" s="824"/>
      <c r="BV57" s="824"/>
      <c r="BW57" s="824"/>
      <c r="BX57" s="824"/>
      <c r="BY57" s="824"/>
      <c r="BZ57" s="824"/>
      <c r="CA57" s="824"/>
      <c r="CB57" s="824"/>
      <c r="CC57" s="824"/>
      <c r="CD57" s="824"/>
      <c r="CE57" s="824"/>
      <c r="CF57" s="824"/>
      <c r="CG57" s="824"/>
      <c r="CH57" s="824"/>
      <c r="CI57" s="824"/>
      <c r="CJ57" s="824"/>
      <c r="CK57" s="824"/>
      <c r="CL57" s="824"/>
      <c r="CM57" s="824"/>
      <c r="CN57" s="824"/>
      <c r="CO57" s="824"/>
      <c r="CP57" s="824"/>
      <c r="CQ57" s="824"/>
      <c r="CR57" s="824"/>
      <c r="CS57" s="824"/>
      <c r="CT57" s="824"/>
      <c r="CU57" s="824"/>
      <c r="CV57" s="824"/>
      <c r="CW57" s="824"/>
      <c r="CX57" s="824"/>
      <c r="CY57" s="824"/>
      <c r="CZ57" s="824"/>
      <c r="DA57" s="824"/>
      <c r="DB57" s="824"/>
      <c r="DC57" s="824"/>
      <c r="DD57" s="824"/>
      <c r="DE57" s="824"/>
      <c r="DF57" s="824"/>
      <c r="DG57" s="824"/>
      <c r="DH57" s="824"/>
      <c r="DI57" s="824"/>
      <c r="DJ57" s="824"/>
      <c r="DK57" s="824"/>
      <c r="DL57" s="824"/>
      <c r="DM57" s="825">
        <v>0</v>
      </c>
      <c r="DN57" s="825">
        <v>8.9</v>
      </c>
      <c r="DO57" s="825">
        <v>11.9</v>
      </c>
      <c r="DP57" s="825">
        <v>0</v>
      </c>
      <c r="DQ57" s="825">
        <v>0</v>
      </c>
      <c r="DR57" s="825">
        <v>0</v>
      </c>
      <c r="DS57" s="825">
        <v>0</v>
      </c>
      <c r="DT57" s="825">
        <v>0</v>
      </c>
      <c r="DU57" s="825">
        <v>0</v>
      </c>
      <c r="DV57" s="825">
        <v>0</v>
      </c>
      <c r="DW57" s="825">
        <v>0</v>
      </c>
      <c r="DX57" s="825">
        <v>0</v>
      </c>
      <c r="DY57" s="825">
        <v>0</v>
      </c>
      <c r="DZ57" s="825">
        <v>0</v>
      </c>
      <c r="EA57" s="825">
        <v>0</v>
      </c>
      <c r="EB57" s="825">
        <v>0</v>
      </c>
      <c r="EC57" s="825">
        <v>0</v>
      </c>
      <c r="ED57" s="825">
        <v>0</v>
      </c>
      <c r="EE57" s="825">
        <v>0</v>
      </c>
      <c r="EF57" s="825">
        <v>0</v>
      </c>
      <c r="EG57" s="825">
        <v>0</v>
      </c>
      <c r="EH57" s="825">
        <v>0</v>
      </c>
      <c r="EI57" s="825">
        <v>0</v>
      </c>
      <c r="EJ57" s="825">
        <v>0</v>
      </c>
      <c r="EK57" s="825">
        <v>0</v>
      </c>
      <c r="EL57" s="825">
        <v>0</v>
      </c>
      <c r="EM57" s="825">
        <v>0</v>
      </c>
      <c r="EN57" s="825">
        <v>0</v>
      </c>
      <c r="EO57" s="825">
        <v>0</v>
      </c>
      <c r="EP57" s="825">
        <v>0</v>
      </c>
      <c r="EQ57" s="825">
        <v>0</v>
      </c>
      <c r="ER57" s="825">
        <v>0</v>
      </c>
      <c r="ES57" s="825">
        <v>0</v>
      </c>
      <c r="ET57" s="825">
        <v>0</v>
      </c>
      <c r="EU57" s="825">
        <v>0</v>
      </c>
      <c r="EV57" s="825">
        <v>0</v>
      </c>
      <c r="EW57" s="825">
        <v>0</v>
      </c>
      <c r="EX57" s="825">
        <v>0</v>
      </c>
      <c r="EY57" s="825">
        <v>0</v>
      </c>
      <c r="EZ57" s="825">
        <v>0</v>
      </c>
      <c r="FA57" s="825">
        <v>0</v>
      </c>
      <c r="FB57" s="825">
        <v>0</v>
      </c>
      <c r="FC57" s="825">
        <v>0</v>
      </c>
      <c r="FD57" s="825">
        <v>0</v>
      </c>
      <c r="FE57" s="825">
        <v>0</v>
      </c>
      <c r="FF57" s="825">
        <v>0</v>
      </c>
      <c r="FG57" s="825">
        <v>0</v>
      </c>
      <c r="FH57" s="825">
        <v>0</v>
      </c>
      <c r="FI57" s="825">
        <v>0</v>
      </c>
      <c r="FJ57" s="825">
        <v>0</v>
      </c>
      <c r="FK57" s="825">
        <v>0</v>
      </c>
      <c r="FL57" s="825">
        <v>0</v>
      </c>
      <c r="FM57" s="825">
        <v>0</v>
      </c>
      <c r="FN57" s="825">
        <v>0</v>
      </c>
      <c r="FO57" s="825">
        <v>0</v>
      </c>
      <c r="FP57" s="825">
        <v>0</v>
      </c>
      <c r="FQ57" s="825">
        <v>0</v>
      </c>
      <c r="FR57" s="825">
        <v>0</v>
      </c>
      <c r="FS57" s="825">
        <v>0</v>
      </c>
      <c r="FT57" s="825">
        <v>0</v>
      </c>
      <c r="FU57" s="825">
        <v>0</v>
      </c>
      <c r="FV57" s="825">
        <v>0</v>
      </c>
      <c r="FW57" s="825">
        <v>0</v>
      </c>
      <c r="FX57" s="825">
        <v>0</v>
      </c>
      <c r="FY57" s="825">
        <v>0</v>
      </c>
      <c r="FZ57" s="825">
        <v>0</v>
      </c>
      <c r="GA57" s="825">
        <v>0</v>
      </c>
      <c r="GB57" s="825">
        <v>0</v>
      </c>
      <c r="GC57" s="825">
        <v>0</v>
      </c>
      <c r="GD57" s="825">
        <v>0</v>
      </c>
      <c r="GE57" s="825">
        <v>0</v>
      </c>
      <c r="GF57" s="825">
        <v>0</v>
      </c>
      <c r="GG57" s="825">
        <v>0</v>
      </c>
      <c r="GH57" s="825">
        <v>0</v>
      </c>
      <c r="GI57" s="825">
        <v>0</v>
      </c>
      <c r="GJ57" s="825">
        <v>0</v>
      </c>
      <c r="GK57" s="825">
        <v>0</v>
      </c>
      <c r="GL57" s="825">
        <v>0</v>
      </c>
      <c r="GM57" s="825">
        <v>0</v>
      </c>
      <c r="GN57" s="825">
        <v>0</v>
      </c>
      <c r="GO57" s="825">
        <v>0</v>
      </c>
      <c r="GP57" s="825">
        <v>0</v>
      </c>
      <c r="GQ57" s="825">
        <v>0</v>
      </c>
      <c r="GR57" s="825">
        <v>0</v>
      </c>
      <c r="GS57" s="825">
        <v>0</v>
      </c>
      <c r="GT57" s="825">
        <v>0</v>
      </c>
      <c r="GU57" s="825">
        <v>0</v>
      </c>
      <c r="GV57" s="825">
        <v>0</v>
      </c>
      <c r="GW57" s="825">
        <v>0</v>
      </c>
      <c r="GX57" s="825">
        <v>0</v>
      </c>
      <c r="GY57" s="825">
        <v>0</v>
      </c>
      <c r="GZ57" s="825">
        <v>0</v>
      </c>
      <c r="HA57" s="825">
        <v>0</v>
      </c>
      <c r="HB57" s="825">
        <v>0</v>
      </c>
      <c r="HC57" s="825">
        <v>0</v>
      </c>
      <c r="HD57" s="825">
        <v>0</v>
      </c>
      <c r="HE57" s="825">
        <v>0</v>
      </c>
      <c r="HF57" s="825">
        <v>0</v>
      </c>
      <c r="HG57" s="825">
        <v>0</v>
      </c>
      <c r="HH57" s="825">
        <v>0</v>
      </c>
      <c r="HI57" s="825">
        <v>0</v>
      </c>
      <c r="HJ57" s="825">
        <v>0</v>
      </c>
      <c r="HK57" s="825">
        <v>0</v>
      </c>
      <c r="HL57" s="825">
        <v>0</v>
      </c>
      <c r="HM57" s="825">
        <v>0</v>
      </c>
      <c r="HN57" s="825">
        <v>0</v>
      </c>
      <c r="HO57" s="825">
        <v>0</v>
      </c>
      <c r="HP57" s="825">
        <v>0</v>
      </c>
      <c r="HQ57" s="825">
        <v>0</v>
      </c>
      <c r="HR57" s="825">
        <v>0</v>
      </c>
      <c r="HS57" s="825">
        <v>0</v>
      </c>
      <c r="HT57" s="825">
        <v>0</v>
      </c>
      <c r="HU57" s="825">
        <v>0</v>
      </c>
    </row>
    <row r="58" spans="1:229" ht="38.25">
      <c r="A58" s="823" t="s">
        <v>515</v>
      </c>
      <c r="B58" s="823" t="s">
        <v>1456</v>
      </c>
      <c r="C58" s="823" t="s">
        <v>1460</v>
      </c>
      <c r="D58" s="824" t="s">
        <v>1461</v>
      </c>
      <c r="E58" s="826" t="s">
        <v>1462</v>
      </c>
      <c r="F58" s="824"/>
      <c r="G58" s="824"/>
      <c r="H58" s="824"/>
      <c r="I58" s="824"/>
      <c r="J58" s="824"/>
      <c r="K58" s="824"/>
      <c r="L58" s="824"/>
      <c r="M58" s="824"/>
      <c r="N58" s="824"/>
      <c r="O58" s="824"/>
      <c r="P58" s="824"/>
      <c r="Q58" s="824"/>
      <c r="R58" s="824"/>
      <c r="S58" s="824"/>
      <c r="T58" s="824"/>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c r="BC58" s="824"/>
      <c r="BD58" s="824"/>
      <c r="BE58" s="824"/>
      <c r="BF58" s="824"/>
      <c r="BG58" s="824"/>
      <c r="BH58" s="824"/>
      <c r="BI58" s="824"/>
      <c r="BJ58" s="824"/>
      <c r="BK58" s="824"/>
      <c r="BL58" s="824"/>
      <c r="BM58" s="824"/>
      <c r="BN58" s="824"/>
      <c r="BO58" s="824"/>
      <c r="BP58" s="824"/>
      <c r="BQ58" s="824"/>
      <c r="BR58" s="824"/>
      <c r="BS58" s="824"/>
      <c r="BT58" s="824"/>
      <c r="BU58" s="824"/>
      <c r="BV58" s="824"/>
      <c r="BW58" s="824"/>
      <c r="BX58" s="824"/>
      <c r="BY58" s="824"/>
      <c r="BZ58" s="824"/>
      <c r="CA58" s="824"/>
      <c r="CB58" s="824"/>
      <c r="CC58" s="824"/>
      <c r="CD58" s="824"/>
      <c r="CE58" s="824"/>
      <c r="CF58" s="824"/>
      <c r="CG58" s="824"/>
      <c r="CH58" s="824"/>
      <c r="CI58" s="824"/>
      <c r="CJ58" s="824"/>
      <c r="CK58" s="824"/>
      <c r="CL58" s="824"/>
      <c r="CM58" s="824"/>
      <c r="CN58" s="824"/>
      <c r="CO58" s="824"/>
      <c r="CP58" s="824"/>
      <c r="CQ58" s="824"/>
      <c r="CR58" s="824"/>
      <c r="CS58" s="824"/>
      <c r="CT58" s="824"/>
      <c r="CU58" s="824"/>
      <c r="CV58" s="824"/>
      <c r="CW58" s="824"/>
      <c r="CX58" s="824"/>
      <c r="CY58" s="824"/>
      <c r="CZ58" s="824"/>
      <c r="DA58" s="824"/>
      <c r="DB58" s="824"/>
      <c r="DC58" s="824"/>
      <c r="DD58" s="824"/>
      <c r="DE58" s="824"/>
      <c r="DF58" s="824"/>
      <c r="DG58" s="824"/>
      <c r="DH58" s="824"/>
      <c r="DI58" s="824"/>
      <c r="DJ58" s="824"/>
      <c r="DK58" s="824"/>
      <c r="DL58" s="824"/>
      <c r="DM58" s="825">
        <v>7.8</v>
      </c>
      <c r="DN58" s="825">
        <v>8.4</v>
      </c>
      <c r="DO58" s="825">
        <v>0</v>
      </c>
      <c r="DP58" s="825">
        <v>0</v>
      </c>
      <c r="DQ58" s="825">
        <v>0</v>
      </c>
      <c r="DR58" s="825">
        <v>0</v>
      </c>
      <c r="DS58" s="825">
        <v>0</v>
      </c>
      <c r="DT58" s="825">
        <v>0</v>
      </c>
      <c r="DU58" s="825">
        <v>0</v>
      </c>
      <c r="DV58" s="825">
        <v>0</v>
      </c>
      <c r="DW58" s="825">
        <v>0</v>
      </c>
      <c r="DX58" s="825">
        <v>0</v>
      </c>
      <c r="DY58" s="825">
        <v>0</v>
      </c>
      <c r="DZ58" s="825">
        <v>0</v>
      </c>
      <c r="EA58" s="825">
        <v>0</v>
      </c>
      <c r="EB58" s="825">
        <v>0</v>
      </c>
      <c r="EC58" s="825">
        <v>0</v>
      </c>
      <c r="ED58" s="825">
        <v>0</v>
      </c>
      <c r="EE58" s="825">
        <v>0</v>
      </c>
      <c r="EF58" s="825">
        <v>0</v>
      </c>
      <c r="EG58" s="825">
        <v>0</v>
      </c>
      <c r="EH58" s="825">
        <v>0</v>
      </c>
      <c r="EI58" s="825">
        <v>0</v>
      </c>
      <c r="EJ58" s="825">
        <v>0</v>
      </c>
      <c r="EK58" s="825">
        <v>0</v>
      </c>
      <c r="EL58" s="825">
        <v>0</v>
      </c>
      <c r="EM58" s="825">
        <v>0</v>
      </c>
      <c r="EN58" s="825">
        <v>0</v>
      </c>
      <c r="EO58" s="825">
        <v>0</v>
      </c>
      <c r="EP58" s="825">
        <v>0</v>
      </c>
      <c r="EQ58" s="825">
        <v>0</v>
      </c>
      <c r="ER58" s="825">
        <v>0</v>
      </c>
      <c r="ES58" s="825">
        <v>0</v>
      </c>
      <c r="ET58" s="825">
        <v>0</v>
      </c>
      <c r="EU58" s="825">
        <v>0</v>
      </c>
      <c r="EV58" s="825">
        <v>0</v>
      </c>
      <c r="EW58" s="825">
        <v>0</v>
      </c>
      <c r="EX58" s="825">
        <v>0</v>
      </c>
      <c r="EY58" s="825">
        <v>0</v>
      </c>
      <c r="EZ58" s="825">
        <v>0</v>
      </c>
      <c r="FA58" s="825">
        <v>0</v>
      </c>
      <c r="FB58" s="825">
        <v>0</v>
      </c>
      <c r="FC58" s="825">
        <v>0</v>
      </c>
      <c r="FD58" s="825">
        <v>0</v>
      </c>
      <c r="FE58" s="825">
        <v>0</v>
      </c>
      <c r="FF58" s="825">
        <v>0</v>
      </c>
      <c r="FG58" s="825">
        <v>0</v>
      </c>
      <c r="FH58" s="825">
        <v>0</v>
      </c>
      <c r="FI58" s="825">
        <v>0</v>
      </c>
      <c r="FJ58" s="825">
        <v>0</v>
      </c>
      <c r="FK58" s="825">
        <v>0</v>
      </c>
      <c r="FL58" s="825">
        <v>0</v>
      </c>
      <c r="FM58" s="825">
        <v>0</v>
      </c>
      <c r="FN58" s="825">
        <v>0</v>
      </c>
      <c r="FO58" s="825">
        <v>0</v>
      </c>
      <c r="FP58" s="825">
        <v>0</v>
      </c>
      <c r="FQ58" s="825">
        <v>0</v>
      </c>
      <c r="FR58" s="825">
        <v>0</v>
      </c>
      <c r="FS58" s="825">
        <v>0</v>
      </c>
      <c r="FT58" s="825">
        <v>0</v>
      </c>
      <c r="FU58" s="825">
        <v>0</v>
      </c>
      <c r="FV58" s="825">
        <v>0</v>
      </c>
      <c r="FW58" s="825">
        <v>0</v>
      </c>
      <c r="FX58" s="825">
        <v>0</v>
      </c>
      <c r="FY58" s="825">
        <v>0</v>
      </c>
      <c r="FZ58" s="825">
        <v>0</v>
      </c>
      <c r="GA58" s="825">
        <v>0</v>
      </c>
      <c r="GB58" s="825">
        <v>0</v>
      </c>
      <c r="GC58" s="825">
        <v>0</v>
      </c>
      <c r="GD58" s="825">
        <v>0</v>
      </c>
      <c r="GE58" s="825">
        <v>0</v>
      </c>
      <c r="GF58" s="825">
        <v>0</v>
      </c>
      <c r="GG58" s="825">
        <v>0</v>
      </c>
      <c r="GH58" s="825">
        <v>0</v>
      </c>
      <c r="GI58" s="825">
        <v>0</v>
      </c>
      <c r="GJ58" s="825">
        <v>0</v>
      </c>
      <c r="GK58" s="825">
        <v>0</v>
      </c>
      <c r="GL58" s="825">
        <v>0</v>
      </c>
      <c r="GM58" s="825">
        <v>0</v>
      </c>
      <c r="GN58" s="825">
        <v>0</v>
      </c>
      <c r="GO58" s="825">
        <v>0</v>
      </c>
      <c r="GP58" s="825">
        <v>0</v>
      </c>
      <c r="GQ58" s="825">
        <v>0</v>
      </c>
      <c r="GR58" s="825">
        <v>0</v>
      </c>
      <c r="GS58" s="825">
        <v>0</v>
      </c>
      <c r="GT58" s="825">
        <v>0</v>
      </c>
      <c r="GU58" s="825">
        <v>0</v>
      </c>
      <c r="GV58" s="825">
        <v>0</v>
      </c>
      <c r="GW58" s="825">
        <v>0</v>
      </c>
      <c r="GX58" s="825">
        <v>0</v>
      </c>
      <c r="GY58" s="825">
        <v>0</v>
      </c>
      <c r="GZ58" s="825">
        <v>0</v>
      </c>
      <c r="HA58" s="825">
        <v>0</v>
      </c>
      <c r="HB58" s="825">
        <v>0</v>
      </c>
      <c r="HC58" s="825">
        <v>0</v>
      </c>
      <c r="HD58" s="825">
        <v>0</v>
      </c>
      <c r="HE58" s="825">
        <v>0</v>
      </c>
      <c r="HF58" s="825">
        <v>0</v>
      </c>
      <c r="HG58" s="825">
        <v>0</v>
      </c>
      <c r="HH58" s="825">
        <v>0</v>
      </c>
      <c r="HI58" s="825">
        <v>0</v>
      </c>
      <c r="HJ58" s="825">
        <v>0</v>
      </c>
      <c r="HK58" s="825">
        <v>0</v>
      </c>
      <c r="HL58" s="825">
        <v>0</v>
      </c>
      <c r="HM58" s="825">
        <v>0</v>
      </c>
      <c r="HN58" s="825">
        <v>0</v>
      </c>
      <c r="HO58" s="825">
        <v>0</v>
      </c>
      <c r="HP58" s="825">
        <v>0</v>
      </c>
      <c r="HQ58" s="825">
        <v>0</v>
      </c>
      <c r="HR58" s="825">
        <v>0</v>
      </c>
      <c r="HS58" s="825">
        <v>0</v>
      </c>
      <c r="HT58" s="825">
        <v>0</v>
      </c>
      <c r="HU58" s="825">
        <v>0</v>
      </c>
    </row>
    <row r="59" spans="1:229" ht="140.25">
      <c r="A59" s="823" t="s">
        <v>515</v>
      </c>
      <c r="B59" s="823" t="s">
        <v>1456</v>
      </c>
      <c r="C59" s="823" t="s">
        <v>1463</v>
      </c>
      <c r="D59" s="824"/>
      <c r="E59" s="824"/>
      <c r="F59" s="826" t="s">
        <v>1464</v>
      </c>
      <c r="G59" s="826" t="s">
        <v>1465</v>
      </c>
      <c r="H59" s="824" t="s">
        <v>1466</v>
      </c>
      <c r="I59" s="824"/>
      <c r="J59" s="826" t="s">
        <v>1467</v>
      </c>
      <c r="K59" s="824"/>
      <c r="L59" s="824"/>
      <c r="M59" s="824"/>
      <c r="N59" s="824"/>
      <c r="O59" s="824"/>
      <c r="P59" s="824" t="s">
        <v>1468</v>
      </c>
      <c r="Q59" s="826" t="s">
        <v>1469</v>
      </c>
      <c r="R59" s="824" t="s">
        <v>1470</v>
      </c>
      <c r="S59" s="824" t="s">
        <v>1471</v>
      </c>
      <c r="T59" s="824" t="s">
        <v>1472</v>
      </c>
      <c r="U59" s="824" t="s">
        <v>1473</v>
      </c>
      <c r="V59" s="824" t="s">
        <v>1474</v>
      </c>
      <c r="W59" s="824" t="s">
        <v>1475</v>
      </c>
      <c r="X59" s="824" t="s">
        <v>1476</v>
      </c>
      <c r="Y59" s="826" t="s">
        <v>1477</v>
      </c>
      <c r="Z59" s="824" t="s">
        <v>1478</v>
      </c>
      <c r="AA59" s="824" t="s">
        <v>1479</v>
      </c>
      <c r="AB59" s="824" t="s">
        <v>1480</v>
      </c>
      <c r="AC59" s="826" t="s">
        <v>1481</v>
      </c>
      <c r="AD59" s="824" t="s">
        <v>1482</v>
      </c>
      <c r="AE59" s="824" t="s">
        <v>1483</v>
      </c>
      <c r="AF59" s="824" t="s">
        <v>1484</v>
      </c>
      <c r="AG59" s="824" t="s">
        <v>1485</v>
      </c>
      <c r="AH59" s="824" t="s">
        <v>1486</v>
      </c>
      <c r="AI59" s="824" t="s">
        <v>1487</v>
      </c>
      <c r="AJ59" s="824"/>
      <c r="AK59" s="824"/>
      <c r="AL59" s="824"/>
      <c r="AM59" s="824"/>
      <c r="AN59" s="824"/>
      <c r="AO59" s="824"/>
      <c r="AP59" s="824"/>
      <c r="AQ59" s="824"/>
      <c r="AR59" s="824"/>
      <c r="AS59" s="824"/>
      <c r="AT59" s="824"/>
      <c r="AU59" s="824"/>
      <c r="AV59" s="824"/>
      <c r="AW59" s="824"/>
      <c r="AX59" s="824"/>
      <c r="AY59" s="824"/>
      <c r="AZ59" s="824"/>
      <c r="BA59" s="824"/>
      <c r="BB59" s="824"/>
      <c r="BC59" s="824"/>
      <c r="BD59" s="824"/>
      <c r="BE59" s="824"/>
      <c r="BF59" s="824"/>
      <c r="BG59" s="824"/>
      <c r="BH59" s="824"/>
      <c r="BI59" s="824"/>
      <c r="BJ59" s="824"/>
      <c r="BK59" s="824"/>
      <c r="BL59" s="824"/>
      <c r="BM59" s="824"/>
      <c r="BN59" s="824"/>
      <c r="BO59" s="824"/>
      <c r="BP59" s="824"/>
      <c r="BQ59" s="824"/>
      <c r="BR59" s="824"/>
      <c r="BS59" s="824"/>
      <c r="BT59" s="824"/>
      <c r="BU59" s="824"/>
      <c r="BV59" s="824"/>
      <c r="BW59" s="824"/>
      <c r="BX59" s="824"/>
      <c r="BY59" s="824"/>
      <c r="BZ59" s="824"/>
      <c r="CA59" s="824"/>
      <c r="CB59" s="824"/>
      <c r="CC59" s="824"/>
      <c r="CD59" s="824"/>
      <c r="CE59" s="824"/>
      <c r="CF59" s="824"/>
      <c r="CG59" s="824"/>
      <c r="CH59" s="824"/>
      <c r="CI59" s="824"/>
      <c r="CJ59" s="824"/>
      <c r="CK59" s="824"/>
      <c r="CL59" s="824"/>
      <c r="CM59" s="824"/>
      <c r="CN59" s="824"/>
      <c r="CO59" s="824"/>
      <c r="CP59" s="824"/>
      <c r="CQ59" s="824"/>
      <c r="CR59" s="824"/>
      <c r="CS59" s="824"/>
      <c r="CT59" s="824"/>
      <c r="CU59" s="824"/>
      <c r="CV59" s="824"/>
      <c r="CW59" s="824"/>
      <c r="CX59" s="824"/>
      <c r="CY59" s="824"/>
      <c r="CZ59" s="824"/>
      <c r="DA59" s="824"/>
      <c r="DB59" s="824"/>
      <c r="DC59" s="824"/>
      <c r="DD59" s="824"/>
      <c r="DE59" s="824"/>
      <c r="DF59" s="824"/>
      <c r="DG59" s="824"/>
      <c r="DH59" s="824"/>
      <c r="DI59" s="824"/>
      <c r="DJ59" s="824"/>
      <c r="DK59" s="824"/>
      <c r="DL59" s="824"/>
      <c r="DM59" s="825">
        <v>0</v>
      </c>
      <c r="DN59" s="825">
        <v>0</v>
      </c>
      <c r="DO59" s="825">
        <v>9</v>
      </c>
      <c r="DP59" s="825">
        <v>8.8000000000000007</v>
      </c>
      <c r="DQ59" s="825">
        <v>7.9</v>
      </c>
      <c r="DR59" s="825">
        <v>0</v>
      </c>
      <c r="DS59" s="825">
        <v>7.7</v>
      </c>
      <c r="DT59" s="825">
        <v>0</v>
      </c>
      <c r="DU59" s="825">
        <v>0</v>
      </c>
      <c r="DV59" s="825">
        <v>0</v>
      </c>
      <c r="DW59" s="825">
        <v>0</v>
      </c>
      <c r="DX59" s="825">
        <v>0</v>
      </c>
      <c r="DY59" s="825">
        <v>7.6</v>
      </c>
      <c r="DZ59" s="825">
        <v>8.6999999999999993</v>
      </c>
      <c r="EA59" s="825">
        <v>6.2</v>
      </c>
      <c r="EB59" s="825">
        <v>13.1</v>
      </c>
      <c r="EC59" s="825">
        <v>0</v>
      </c>
      <c r="ED59" s="825">
        <v>16.8</v>
      </c>
      <c r="EE59" s="825">
        <v>0</v>
      </c>
      <c r="EF59" s="825">
        <v>0</v>
      </c>
      <c r="EG59" s="825">
        <v>0</v>
      </c>
      <c r="EH59" s="825">
        <v>9.4</v>
      </c>
      <c r="EI59" s="825">
        <v>9.4</v>
      </c>
      <c r="EJ59" s="825">
        <v>9.6</v>
      </c>
      <c r="EK59" s="825">
        <v>7.8</v>
      </c>
      <c r="EL59" s="825">
        <v>9.6999999999999993</v>
      </c>
      <c r="EM59" s="825">
        <v>15.7</v>
      </c>
      <c r="EN59" s="825">
        <v>0</v>
      </c>
      <c r="EO59" s="825">
        <v>15.7</v>
      </c>
      <c r="EP59" s="825">
        <v>11.3</v>
      </c>
      <c r="EQ59" s="825">
        <v>8.8000000000000007</v>
      </c>
      <c r="ER59" s="825">
        <v>0</v>
      </c>
      <c r="ES59" s="825">
        <v>0</v>
      </c>
      <c r="ET59" s="825">
        <v>0</v>
      </c>
      <c r="EU59" s="825">
        <v>0</v>
      </c>
      <c r="EV59" s="825">
        <v>0</v>
      </c>
      <c r="EW59" s="825">
        <v>0</v>
      </c>
      <c r="EX59" s="825">
        <v>0</v>
      </c>
      <c r="EY59" s="825">
        <v>0</v>
      </c>
      <c r="EZ59" s="825">
        <v>0</v>
      </c>
      <c r="FA59" s="825">
        <v>0</v>
      </c>
      <c r="FB59" s="825">
        <v>0</v>
      </c>
      <c r="FC59" s="825">
        <v>0</v>
      </c>
      <c r="FD59" s="825">
        <v>0</v>
      </c>
      <c r="FE59" s="825">
        <v>0</v>
      </c>
      <c r="FF59" s="825">
        <v>0</v>
      </c>
      <c r="FG59" s="825">
        <v>0</v>
      </c>
      <c r="FH59" s="825">
        <v>0</v>
      </c>
      <c r="FI59" s="825">
        <v>0</v>
      </c>
      <c r="FJ59" s="825">
        <v>0</v>
      </c>
      <c r="FK59" s="825">
        <v>0</v>
      </c>
      <c r="FL59" s="825">
        <v>0</v>
      </c>
      <c r="FM59" s="825">
        <v>0</v>
      </c>
      <c r="FN59" s="825">
        <v>0</v>
      </c>
      <c r="FO59" s="825">
        <v>0</v>
      </c>
      <c r="FP59" s="825">
        <v>0</v>
      </c>
      <c r="FQ59" s="825">
        <v>0</v>
      </c>
      <c r="FR59" s="825">
        <v>0</v>
      </c>
      <c r="FS59" s="825">
        <v>0</v>
      </c>
      <c r="FT59" s="825">
        <v>0</v>
      </c>
      <c r="FU59" s="825">
        <v>0</v>
      </c>
      <c r="FV59" s="825">
        <v>0</v>
      </c>
      <c r="FW59" s="825">
        <v>0</v>
      </c>
      <c r="FX59" s="825">
        <v>0</v>
      </c>
      <c r="FY59" s="825">
        <v>0</v>
      </c>
      <c r="FZ59" s="825">
        <v>0</v>
      </c>
      <c r="GA59" s="825">
        <v>0</v>
      </c>
      <c r="GB59" s="825">
        <v>0</v>
      </c>
      <c r="GC59" s="825">
        <v>0</v>
      </c>
      <c r="GD59" s="825">
        <v>0</v>
      </c>
      <c r="GE59" s="825">
        <v>0</v>
      </c>
      <c r="GF59" s="825">
        <v>0</v>
      </c>
      <c r="GG59" s="825">
        <v>0</v>
      </c>
      <c r="GH59" s="825">
        <v>0</v>
      </c>
      <c r="GI59" s="825">
        <v>0</v>
      </c>
      <c r="GJ59" s="825">
        <v>0</v>
      </c>
      <c r="GK59" s="825">
        <v>0</v>
      </c>
      <c r="GL59" s="825">
        <v>0</v>
      </c>
      <c r="GM59" s="825">
        <v>0</v>
      </c>
      <c r="GN59" s="825">
        <v>0</v>
      </c>
      <c r="GO59" s="825">
        <v>0</v>
      </c>
      <c r="GP59" s="825">
        <v>0</v>
      </c>
      <c r="GQ59" s="825">
        <v>0</v>
      </c>
      <c r="GR59" s="825">
        <v>0</v>
      </c>
      <c r="GS59" s="825">
        <v>0</v>
      </c>
      <c r="GT59" s="825">
        <v>0</v>
      </c>
      <c r="GU59" s="825">
        <v>0</v>
      </c>
      <c r="GV59" s="825">
        <v>0</v>
      </c>
      <c r="GW59" s="825">
        <v>0</v>
      </c>
      <c r="GX59" s="825">
        <v>0</v>
      </c>
      <c r="GY59" s="825">
        <v>0</v>
      </c>
      <c r="GZ59" s="825">
        <v>0</v>
      </c>
      <c r="HA59" s="825">
        <v>0</v>
      </c>
      <c r="HB59" s="825">
        <v>0</v>
      </c>
      <c r="HC59" s="825">
        <v>0</v>
      </c>
      <c r="HD59" s="825">
        <v>0</v>
      </c>
      <c r="HE59" s="825">
        <v>0</v>
      </c>
      <c r="HF59" s="825">
        <v>0</v>
      </c>
      <c r="HG59" s="825">
        <v>0</v>
      </c>
      <c r="HH59" s="825">
        <v>0</v>
      </c>
      <c r="HI59" s="825">
        <v>0</v>
      </c>
      <c r="HJ59" s="825">
        <v>0</v>
      </c>
      <c r="HK59" s="825">
        <v>0</v>
      </c>
      <c r="HL59" s="825">
        <v>0</v>
      </c>
      <c r="HM59" s="825">
        <v>0</v>
      </c>
      <c r="HN59" s="825">
        <v>0</v>
      </c>
      <c r="HO59" s="825">
        <v>0</v>
      </c>
      <c r="HP59" s="825">
        <v>0</v>
      </c>
      <c r="HQ59" s="825">
        <v>0</v>
      </c>
      <c r="HR59" s="825">
        <v>0</v>
      </c>
      <c r="HS59" s="825">
        <v>0</v>
      </c>
      <c r="HT59" s="825">
        <v>0</v>
      </c>
      <c r="HU59" s="825">
        <v>0</v>
      </c>
    </row>
    <row r="60" spans="1:229" ht="38.25">
      <c r="A60" s="823" t="s">
        <v>515</v>
      </c>
      <c r="B60" s="823" t="s">
        <v>1488</v>
      </c>
      <c r="C60" s="823" t="s">
        <v>1489</v>
      </c>
      <c r="D60" s="826" t="s">
        <v>1490</v>
      </c>
      <c r="E60" s="824" t="s">
        <v>1491</v>
      </c>
      <c r="F60" s="824"/>
      <c r="G60" s="824"/>
      <c r="H60" s="824"/>
      <c r="I60" s="824"/>
      <c r="J60" s="826" t="s">
        <v>1492</v>
      </c>
      <c r="K60" s="824"/>
      <c r="L60" s="826" t="s">
        <v>1493</v>
      </c>
      <c r="M60" s="824"/>
      <c r="N60" s="824"/>
      <c r="O60" s="824"/>
      <c r="P60" s="824"/>
      <c r="Q60" s="824"/>
      <c r="R60" s="824"/>
      <c r="S60" s="824"/>
      <c r="T60" s="824"/>
      <c r="U60" s="824"/>
      <c r="V60" s="824"/>
      <c r="W60" s="824"/>
      <c r="X60" s="824"/>
      <c r="Y60" s="824"/>
      <c r="Z60" s="824"/>
      <c r="AA60" s="824"/>
      <c r="AB60" s="824"/>
      <c r="AC60" s="824"/>
      <c r="AD60" s="824"/>
      <c r="AE60" s="824"/>
      <c r="AF60" s="824"/>
      <c r="AG60" s="824"/>
      <c r="AH60" s="824"/>
      <c r="AI60" s="824"/>
      <c r="AJ60" s="824"/>
      <c r="AK60" s="824"/>
      <c r="AL60" s="824"/>
      <c r="AM60" s="824"/>
      <c r="AN60" s="824"/>
      <c r="AO60" s="824"/>
      <c r="AP60" s="824"/>
      <c r="AQ60" s="824"/>
      <c r="AR60" s="824"/>
      <c r="AS60" s="824"/>
      <c r="AT60" s="824"/>
      <c r="AU60" s="824"/>
      <c r="AV60" s="824"/>
      <c r="AW60" s="824"/>
      <c r="AX60" s="824"/>
      <c r="AY60" s="824"/>
      <c r="AZ60" s="824"/>
      <c r="BA60" s="824"/>
      <c r="BB60" s="824"/>
      <c r="BC60" s="824"/>
      <c r="BD60" s="824"/>
      <c r="BE60" s="824"/>
      <c r="BF60" s="824"/>
      <c r="BG60" s="824"/>
      <c r="BH60" s="824"/>
      <c r="BI60" s="824"/>
      <c r="BJ60" s="824"/>
      <c r="BK60" s="824"/>
      <c r="BL60" s="824"/>
      <c r="BM60" s="824"/>
      <c r="BN60" s="824"/>
      <c r="BO60" s="824"/>
      <c r="BP60" s="824"/>
      <c r="BQ60" s="824"/>
      <c r="BR60" s="824"/>
      <c r="BS60" s="824"/>
      <c r="BT60" s="824"/>
      <c r="BU60" s="824"/>
      <c r="BV60" s="824"/>
      <c r="BW60" s="824"/>
      <c r="BX60" s="824"/>
      <c r="BY60" s="824"/>
      <c r="BZ60" s="824"/>
      <c r="CA60" s="824"/>
      <c r="CB60" s="824"/>
      <c r="CC60" s="824"/>
      <c r="CD60" s="824"/>
      <c r="CE60" s="824"/>
      <c r="CF60" s="824"/>
      <c r="CG60" s="824"/>
      <c r="CH60" s="824"/>
      <c r="CI60" s="824"/>
      <c r="CJ60" s="824"/>
      <c r="CK60" s="824"/>
      <c r="CL60" s="824"/>
      <c r="CM60" s="824"/>
      <c r="CN60" s="824"/>
      <c r="CO60" s="824"/>
      <c r="CP60" s="824"/>
      <c r="CQ60" s="824"/>
      <c r="CR60" s="824"/>
      <c r="CS60" s="824"/>
      <c r="CT60" s="824"/>
      <c r="CU60" s="824"/>
      <c r="CV60" s="824"/>
      <c r="CW60" s="824"/>
      <c r="CX60" s="824"/>
      <c r="CY60" s="824"/>
      <c r="CZ60" s="824"/>
      <c r="DA60" s="824"/>
      <c r="DB60" s="824"/>
      <c r="DC60" s="824"/>
      <c r="DD60" s="824"/>
      <c r="DE60" s="824"/>
      <c r="DF60" s="824"/>
      <c r="DG60" s="824"/>
      <c r="DH60" s="824"/>
      <c r="DI60" s="824"/>
      <c r="DJ60" s="824"/>
      <c r="DK60" s="824"/>
      <c r="DL60" s="824"/>
      <c r="DM60" s="825">
        <v>3.9</v>
      </c>
      <c r="DN60" s="825">
        <v>4</v>
      </c>
      <c r="DO60" s="825">
        <v>0</v>
      </c>
      <c r="DP60" s="825">
        <v>0</v>
      </c>
      <c r="DQ60" s="825">
        <v>0</v>
      </c>
      <c r="DR60" s="825">
        <v>0</v>
      </c>
      <c r="DS60" s="825">
        <v>9.1</v>
      </c>
      <c r="DT60" s="825">
        <v>0</v>
      </c>
      <c r="DU60" s="825">
        <v>5.0999999999999996</v>
      </c>
      <c r="DV60" s="825">
        <v>0</v>
      </c>
      <c r="DW60" s="825">
        <v>0</v>
      </c>
      <c r="DX60" s="825">
        <v>0</v>
      </c>
      <c r="DY60" s="825">
        <v>0</v>
      </c>
      <c r="DZ60" s="825">
        <v>0</v>
      </c>
      <c r="EA60" s="825">
        <v>0</v>
      </c>
      <c r="EB60" s="825">
        <v>0</v>
      </c>
      <c r="EC60" s="825">
        <v>0</v>
      </c>
      <c r="ED60" s="825">
        <v>0</v>
      </c>
      <c r="EE60" s="825">
        <v>0</v>
      </c>
      <c r="EF60" s="825">
        <v>0</v>
      </c>
      <c r="EG60" s="825">
        <v>0</v>
      </c>
      <c r="EH60" s="825">
        <v>0</v>
      </c>
      <c r="EI60" s="825">
        <v>0</v>
      </c>
      <c r="EJ60" s="825">
        <v>0</v>
      </c>
      <c r="EK60" s="825">
        <v>0</v>
      </c>
      <c r="EL60" s="825">
        <v>0</v>
      </c>
      <c r="EM60" s="825">
        <v>0</v>
      </c>
      <c r="EN60" s="825">
        <v>0</v>
      </c>
      <c r="EO60" s="825">
        <v>0</v>
      </c>
      <c r="EP60" s="825">
        <v>0</v>
      </c>
      <c r="EQ60" s="825">
        <v>0</v>
      </c>
      <c r="ER60" s="825">
        <v>0</v>
      </c>
      <c r="ES60" s="825">
        <v>0</v>
      </c>
      <c r="ET60" s="825">
        <v>0</v>
      </c>
      <c r="EU60" s="825">
        <v>0</v>
      </c>
      <c r="EV60" s="825">
        <v>0</v>
      </c>
      <c r="EW60" s="825">
        <v>0</v>
      </c>
      <c r="EX60" s="825">
        <v>0</v>
      </c>
      <c r="EY60" s="825">
        <v>0</v>
      </c>
      <c r="EZ60" s="825">
        <v>0</v>
      </c>
      <c r="FA60" s="825">
        <v>0</v>
      </c>
      <c r="FB60" s="825">
        <v>0</v>
      </c>
      <c r="FC60" s="825">
        <v>0</v>
      </c>
      <c r="FD60" s="825">
        <v>0</v>
      </c>
      <c r="FE60" s="825">
        <v>0</v>
      </c>
      <c r="FF60" s="825">
        <v>0</v>
      </c>
      <c r="FG60" s="825">
        <v>0</v>
      </c>
      <c r="FH60" s="825">
        <v>0</v>
      </c>
      <c r="FI60" s="825">
        <v>0</v>
      </c>
      <c r="FJ60" s="825">
        <v>0</v>
      </c>
      <c r="FK60" s="825">
        <v>0</v>
      </c>
      <c r="FL60" s="825">
        <v>0</v>
      </c>
      <c r="FM60" s="825">
        <v>0</v>
      </c>
      <c r="FN60" s="825">
        <v>0</v>
      </c>
      <c r="FO60" s="825">
        <v>0</v>
      </c>
      <c r="FP60" s="825">
        <v>0</v>
      </c>
      <c r="FQ60" s="825">
        <v>0</v>
      </c>
      <c r="FR60" s="825">
        <v>0</v>
      </c>
      <c r="FS60" s="825">
        <v>0</v>
      </c>
      <c r="FT60" s="825">
        <v>0</v>
      </c>
      <c r="FU60" s="825">
        <v>0</v>
      </c>
      <c r="FV60" s="825">
        <v>0</v>
      </c>
      <c r="FW60" s="825">
        <v>0</v>
      </c>
      <c r="FX60" s="825">
        <v>0</v>
      </c>
      <c r="FY60" s="825">
        <v>0</v>
      </c>
      <c r="FZ60" s="825">
        <v>0</v>
      </c>
      <c r="GA60" s="825">
        <v>0</v>
      </c>
      <c r="GB60" s="825">
        <v>0</v>
      </c>
      <c r="GC60" s="825">
        <v>0</v>
      </c>
      <c r="GD60" s="825">
        <v>0</v>
      </c>
      <c r="GE60" s="825">
        <v>0</v>
      </c>
      <c r="GF60" s="825">
        <v>0</v>
      </c>
      <c r="GG60" s="825">
        <v>0</v>
      </c>
      <c r="GH60" s="825">
        <v>0</v>
      </c>
      <c r="GI60" s="825">
        <v>0</v>
      </c>
      <c r="GJ60" s="825">
        <v>0</v>
      </c>
      <c r="GK60" s="825">
        <v>0</v>
      </c>
      <c r="GL60" s="825">
        <v>0</v>
      </c>
      <c r="GM60" s="825">
        <v>0</v>
      </c>
      <c r="GN60" s="825">
        <v>0</v>
      </c>
      <c r="GO60" s="825">
        <v>0</v>
      </c>
      <c r="GP60" s="825">
        <v>0</v>
      </c>
      <c r="GQ60" s="825">
        <v>0</v>
      </c>
      <c r="GR60" s="825">
        <v>0</v>
      </c>
      <c r="GS60" s="825">
        <v>0</v>
      </c>
      <c r="GT60" s="825">
        <v>0</v>
      </c>
      <c r="GU60" s="825">
        <v>0</v>
      </c>
      <c r="GV60" s="825">
        <v>0</v>
      </c>
      <c r="GW60" s="825">
        <v>0</v>
      </c>
      <c r="GX60" s="825">
        <v>0</v>
      </c>
      <c r="GY60" s="825">
        <v>0</v>
      </c>
      <c r="GZ60" s="825">
        <v>0</v>
      </c>
      <c r="HA60" s="825">
        <v>0</v>
      </c>
      <c r="HB60" s="825">
        <v>0</v>
      </c>
      <c r="HC60" s="825">
        <v>0</v>
      </c>
      <c r="HD60" s="825">
        <v>0</v>
      </c>
      <c r="HE60" s="825">
        <v>0</v>
      </c>
      <c r="HF60" s="825">
        <v>0</v>
      </c>
      <c r="HG60" s="825">
        <v>0</v>
      </c>
      <c r="HH60" s="825">
        <v>0</v>
      </c>
      <c r="HI60" s="825">
        <v>0</v>
      </c>
      <c r="HJ60" s="825">
        <v>0</v>
      </c>
      <c r="HK60" s="825">
        <v>0</v>
      </c>
      <c r="HL60" s="825">
        <v>0</v>
      </c>
      <c r="HM60" s="825">
        <v>0</v>
      </c>
      <c r="HN60" s="825">
        <v>0</v>
      </c>
      <c r="HO60" s="825">
        <v>0</v>
      </c>
      <c r="HP60" s="825">
        <v>0</v>
      </c>
      <c r="HQ60" s="825">
        <v>0</v>
      </c>
      <c r="HR60" s="825">
        <v>0</v>
      </c>
      <c r="HS60" s="825">
        <v>0</v>
      </c>
      <c r="HT60" s="825">
        <v>0</v>
      </c>
      <c r="HU60" s="825">
        <v>0</v>
      </c>
    </row>
    <row r="61" spans="1:229" ht="191.25">
      <c r="A61" s="823" t="s">
        <v>515</v>
      </c>
      <c r="B61" s="823" t="s">
        <v>1494</v>
      </c>
      <c r="C61" s="823" t="s">
        <v>1495</v>
      </c>
      <c r="D61" s="826" t="s">
        <v>1496</v>
      </c>
      <c r="E61" s="826" t="s">
        <v>1497</v>
      </c>
      <c r="F61" s="824"/>
      <c r="G61" s="824"/>
      <c r="H61" s="826" t="s">
        <v>1498</v>
      </c>
      <c r="I61" s="824"/>
      <c r="J61" s="824"/>
      <c r="K61" s="824"/>
      <c r="L61" s="826" t="s">
        <v>1499</v>
      </c>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4"/>
      <c r="AO61" s="824"/>
      <c r="AP61" s="824"/>
      <c r="AQ61" s="824"/>
      <c r="AR61" s="824"/>
      <c r="AS61" s="824"/>
      <c r="AT61" s="824"/>
      <c r="AU61" s="824"/>
      <c r="AV61" s="824"/>
      <c r="AW61" s="824"/>
      <c r="AX61" s="824"/>
      <c r="AY61" s="824"/>
      <c r="AZ61" s="824"/>
      <c r="BA61" s="824"/>
      <c r="BB61" s="824"/>
      <c r="BC61" s="824"/>
      <c r="BD61" s="824"/>
      <c r="BE61" s="824"/>
      <c r="BF61" s="824"/>
      <c r="BG61" s="824"/>
      <c r="BH61" s="824"/>
      <c r="BI61" s="824"/>
      <c r="BJ61" s="824"/>
      <c r="BK61" s="824"/>
      <c r="BL61" s="824"/>
      <c r="BM61" s="824"/>
      <c r="BN61" s="824"/>
      <c r="BO61" s="824"/>
      <c r="BP61" s="824"/>
      <c r="BQ61" s="824"/>
      <c r="BR61" s="824"/>
      <c r="BS61" s="824"/>
      <c r="BT61" s="824"/>
      <c r="BU61" s="824"/>
      <c r="BV61" s="824"/>
      <c r="BW61" s="824"/>
      <c r="BX61" s="824"/>
      <c r="BY61" s="824"/>
      <c r="BZ61" s="824"/>
      <c r="CA61" s="824"/>
      <c r="CB61" s="824"/>
      <c r="CC61" s="824"/>
      <c r="CD61" s="824"/>
      <c r="CE61" s="824"/>
      <c r="CF61" s="824"/>
      <c r="CG61" s="824"/>
      <c r="CH61" s="824"/>
      <c r="CI61" s="824"/>
      <c r="CJ61" s="824"/>
      <c r="CK61" s="824"/>
      <c r="CL61" s="824"/>
      <c r="CM61" s="824"/>
      <c r="CN61" s="824"/>
      <c r="CO61" s="824"/>
      <c r="CP61" s="824"/>
      <c r="CQ61" s="824"/>
      <c r="CR61" s="824"/>
      <c r="CS61" s="824"/>
      <c r="CT61" s="824"/>
      <c r="CU61" s="824"/>
      <c r="CV61" s="824"/>
      <c r="CW61" s="824"/>
      <c r="CX61" s="824"/>
      <c r="CY61" s="824"/>
      <c r="CZ61" s="824"/>
      <c r="DA61" s="824"/>
      <c r="DB61" s="824"/>
      <c r="DC61" s="824"/>
      <c r="DD61" s="824"/>
      <c r="DE61" s="824"/>
      <c r="DF61" s="824"/>
      <c r="DG61" s="824"/>
      <c r="DH61" s="824"/>
      <c r="DI61" s="824"/>
      <c r="DJ61" s="824"/>
      <c r="DK61" s="824"/>
      <c r="DL61" s="824"/>
      <c r="DM61" s="825">
        <v>6.4</v>
      </c>
      <c r="DN61" s="825">
        <v>6.6</v>
      </c>
      <c r="DO61" s="825">
        <v>0</v>
      </c>
      <c r="DP61" s="825">
        <v>0</v>
      </c>
      <c r="DQ61" s="825">
        <v>6.4</v>
      </c>
      <c r="DR61" s="825">
        <v>0</v>
      </c>
      <c r="DS61" s="825">
        <v>0</v>
      </c>
      <c r="DT61" s="825">
        <v>0</v>
      </c>
      <c r="DU61" s="825">
        <v>10.6</v>
      </c>
      <c r="DV61" s="825">
        <v>0</v>
      </c>
      <c r="DW61" s="825">
        <v>0</v>
      </c>
      <c r="DX61" s="825">
        <v>0</v>
      </c>
      <c r="DY61" s="825">
        <v>0</v>
      </c>
      <c r="DZ61" s="825">
        <v>0</v>
      </c>
      <c r="EA61" s="825">
        <v>0</v>
      </c>
      <c r="EB61" s="825">
        <v>0</v>
      </c>
      <c r="EC61" s="825">
        <v>0</v>
      </c>
      <c r="ED61" s="825">
        <v>0</v>
      </c>
      <c r="EE61" s="825">
        <v>0</v>
      </c>
      <c r="EF61" s="825">
        <v>0</v>
      </c>
      <c r="EG61" s="825">
        <v>0</v>
      </c>
      <c r="EH61" s="825">
        <v>0</v>
      </c>
      <c r="EI61" s="825">
        <v>0</v>
      </c>
      <c r="EJ61" s="825">
        <v>0</v>
      </c>
      <c r="EK61" s="825">
        <v>0</v>
      </c>
      <c r="EL61" s="825">
        <v>0</v>
      </c>
      <c r="EM61" s="825">
        <v>0</v>
      </c>
      <c r="EN61" s="825">
        <v>0</v>
      </c>
      <c r="EO61" s="825">
        <v>0</v>
      </c>
      <c r="EP61" s="825">
        <v>0</v>
      </c>
      <c r="EQ61" s="825">
        <v>0</v>
      </c>
      <c r="ER61" s="825">
        <v>0</v>
      </c>
      <c r="ES61" s="825">
        <v>0</v>
      </c>
      <c r="ET61" s="825">
        <v>0</v>
      </c>
      <c r="EU61" s="825">
        <v>0</v>
      </c>
      <c r="EV61" s="825">
        <v>0</v>
      </c>
      <c r="EW61" s="825">
        <v>0</v>
      </c>
      <c r="EX61" s="825">
        <v>0</v>
      </c>
      <c r="EY61" s="825">
        <v>0</v>
      </c>
      <c r="EZ61" s="825">
        <v>0</v>
      </c>
      <c r="FA61" s="825">
        <v>0</v>
      </c>
      <c r="FB61" s="825">
        <v>0</v>
      </c>
      <c r="FC61" s="825">
        <v>0</v>
      </c>
      <c r="FD61" s="825">
        <v>0</v>
      </c>
      <c r="FE61" s="825">
        <v>0</v>
      </c>
      <c r="FF61" s="825">
        <v>0</v>
      </c>
      <c r="FG61" s="825">
        <v>0</v>
      </c>
      <c r="FH61" s="825">
        <v>0</v>
      </c>
      <c r="FI61" s="825">
        <v>0</v>
      </c>
      <c r="FJ61" s="825">
        <v>0</v>
      </c>
      <c r="FK61" s="825">
        <v>0</v>
      </c>
      <c r="FL61" s="825">
        <v>0</v>
      </c>
      <c r="FM61" s="825">
        <v>0</v>
      </c>
      <c r="FN61" s="825">
        <v>0</v>
      </c>
      <c r="FO61" s="825">
        <v>0</v>
      </c>
      <c r="FP61" s="825">
        <v>0</v>
      </c>
      <c r="FQ61" s="825">
        <v>0</v>
      </c>
      <c r="FR61" s="825">
        <v>0</v>
      </c>
      <c r="FS61" s="825">
        <v>0</v>
      </c>
      <c r="FT61" s="825">
        <v>0</v>
      </c>
      <c r="FU61" s="825">
        <v>0</v>
      </c>
      <c r="FV61" s="825">
        <v>0</v>
      </c>
      <c r="FW61" s="825">
        <v>0</v>
      </c>
      <c r="FX61" s="825">
        <v>0</v>
      </c>
      <c r="FY61" s="825">
        <v>0</v>
      </c>
      <c r="FZ61" s="825">
        <v>0</v>
      </c>
      <c r="GA61" s="825">
        <v>0</v>
      </c>
      <c r="GB61" s="825">
        <v>0</v>
      </c>
      <c r="GC61" s="825">
        <v>0</v>
      </c>
      <c r="GD61" s="825">
        <v>0</v>
      </c>
      <c r="GE61" s="825">
        <v>0</v>
      </c>
      <c r="GF61" s="825">
        <v>0</v>
      </c>
      <c r="GG61" s="825">
        <v>0</v>
      </c>
      <c r="GH61" s="825">
        <v>0</v>
      </c>
      <c r="GI61" s="825">
        <v>0</v>
      </c>
      <c r="GJ61" s="825">
        <v>0</v>
      </c>
      <c r="GK61" s="825">
        <v>0</v>
      </c>
      <c r="GL61" s="825">
        <v>0</v>
      </c>
      <c r="GM61" s="825">
        <v>0</v>
      </c>
      <c r="GN61" s="825">
        <v>0</v>
      </c>
      <c r="GO61" s="825">
        <v>0</v>
      </c>
      <c r="GP61" s="825">
        <v>0</v>
      </c>
      <c r="GQ61" s="825">
        <v>0</v>
      </c>
      <c r="GR61" s="825">
        <v>0</v>
      </c>
      <c r="GS61" s="825">
        <v>0</v>
      </c>
      <c r="GT61" s="825">
        <v>0</v>
      </c>
      <c r="GU61" s="825">
        <v>0</v>
      </c>
      <c r="GV61" s="825">
        <v>0</v>
      </c>
      <c r="GW61" s="825">
        <v>0</v>
      </c>
      <c r="GX61" s="825">
        <v>0</v>
      </c>
      <c r="GY61" s="825">
        <v>0</v>
      </c>
      <c r="GZ61" s="825">
        <v>0</v>
      </c>
      <c r="HA61" s="825">
        <v>0</v>
      </c>
      <c r="HB61" s="825">
        <v>0</v>
      </c>
      <c r="HC61" s="825">
        <v>0</v>
      </c>
      <c r="HD61" s="825">
        <v>0</v>
      </c>
      <c r="HE61" s="825">
        <v>0</v>
      </c>
      <c r="HF61" s="825">
        <v>0</v>
      </c>
      <c r="HG61" s="825">
        <v>0</v>
      </c>
      <c r="HH61" s="825">
        <v>0</v>
      </c>
      <c r="HI61" s="825">
        <v>0</v>
      </c>
      <c r="HJ61" s="825">
        <v>0</v>
      </c>
      <c r="HK61" s="825">
        <v>0</v>
      </c>
      <c r="HL61" s="825">
        <v>0</v>
      </c>
      <c r="HM61" s="825">
        <v>0</v>
      </c>
      <c r="HN61" s="825">
        <v>0</v>
      </c>
      <c r="HO61" s="825">
        <v>0</v>
      </c>
      <c r="HP61" s="825">
        <v>0</v>
      </c>
      <c r="HQ61" s="825">
        <v>0</v>
      </c>
      <c r="HR61" s="825">
        <v>0</v>
      </c>
      <c r="HS61" s="825">
        <v>0</v>
      </c>
      <c r="HT61" s="825">
        <v>0</v>
      </c>
      <c r="HU61" s="825">
        <v>0</v>
      </c>
    </row>
    <row r="62" spans="1:229" ht="140.25">
      <c r="A62" s="823" t="s">
        <v>515</v>
      </c>
      <c r="B62" s="823" t="s">
        <v>1494</v>
      </c>
      <c r="C62" s="823" t="s">
        <v>1500</v>
      </c>
      <c r="D62" s="826" t="s">
        <v>1501</v>
      </c>
      <c r="E62" s="826" t="s">
        <v>1502</v>
      </c>
      <c r="F62" s="824"/>
      <c r="G62" s="824" t="s">
        <v>1503</v>
      </c>
      <c r="H62" s="824"/>
      <c r="I62" s="824"/>
      <c r="J62" s="824"/>
      <c r="K62" s="824"/>
      <c r="L62" s="824"/>
      <c r="M62" s="824"/>
      <c r="N62" s="824"/>
      <c r="O62" s="824"/>
      <c r="P62" s="824"/>
      <c r="Q62" s="824"/>
      <c r="R62" s="824"/>
      <c r="S62" s="824"/>
      <c r="T62" s="824"/>
      <c r="U62" s="824"/>
      <c r="V62" s="824"/>
      <c r="W62" s="824"/>
      <c r="X62" s="824"/>
      <c r="Y62" s="824"/>
      <c r="Z62" s="824"/>
      <c r="AA62" s="824"/>
      <c r="AB62" s="824"/>
      <c r="AC62" s="824"/>
      <c r="AD62" s="824"/>
      <c r="AE62" s="824"/>
      <c r="AF62" s="824"/>
      <c r="AG62" s="824"/>
      <c r="AH62" s="824"/>
      <c r="AI62" s="824"/>
      <c r="AJ62" s="824"/>
      <c r="AK62" s="824"/>
      <c r="AL62" s="824"/>
      <c r="AM62" s="824"/>
      <c r="AN62" s="824"/>
      <c r="AO62" s="824"/>
      <c r="AP62" s="824"/>
      <c r="AQ62" s="824"/>
      <c r="AR62" s="824"/>
      <c r="AS62" s="824"/>
      <c r="AT62" s="824"/>
      <c r="AU62" s="824"/>
      <c r="AV62" s="824"/>
      <c r="AW62" s="824"/>
      <c r="AX62" s="824"/>
      <c r="AY62" s="824"/>
      <c r="AZ62" s="824"/>
      <c r="BA62" s="824"/>
      <c r="BB62" s="824"/>
      <c r="BC62" s="824"/>
      <c r="BD62" s="824"/>
      <c r="BE62" s="824"/>
      <c r="BF62" s="824"/>
      <c r="BG62" s="824"/>
      <c r="BH62" s="824"/>
      <c r="BI62" s="824"/>
      <c r="BJ62" s="824"/>
      <c r="BK62" s="824"/>
      <c r="BL62" s="824"/>
      <c r="BM62" s="824"/>
      <c r="BN62" s="824"/>
      <c r="BO62" s="824"/>
      <c r="BP62" s="824"/>
      <c r="BQ62" s="824"/>
      <c r="BR62" s="824"/>
      <c r="BS62" s="824"/>
      <c r="BT62" s="824"/>
      <c r="BU62" s="824"/>
      <c r="BV62" s="824"/>
      <c r="BW62" s="824"/>
      <c r="BX62" s="824"/>
      <c r="BY62" s="824"/>
      <c r="BZ62" s="824"/>
      <c r="CA62" s="824"/>
      <c r="CB62" s="824"/>
      <c r="CC62" s="824"/>
      <c r="CD62" s="824"/>
      <c r="CE62" s="824"/>
      <c r="CF62" s="824"/>
      <c r="CG62" s="824"/>
      <c r="CH62" s="824"/>
      <c r="CI62" s="824"/>
      <c r="CJ62" s="824"/>
      <c r="CK62" s="824"/>
      <c r="CL62" s="824"/>
      <c r="CM62" s="824"/>
      <c r="CN62" s="824"/>
      <c r="CO62" s="824"/>
      <c r="CP62" s="824"/>
      <c r="CQ62" s="824"/>
      <c r="CR62" s="824"/>
      <c r="CS62" s="824"/>
      <c r="CT62" s="824"/>
      <c r="CU62" s="824"/>
      <c r="CV62" s="824"/>
      <c r="CW62" s="824"/>
      <c r="CX62" s="824"/>
      <c r="CY62" s="824"/>
      <c r="CZ62" s="824"/>
      <c r="DA62" s="824"/>
      <c r="DB62" s="824"/>
      <c r="DC62" s="824"/>
      <c r="DD62" s="824"/>
      <c r="DE62" s="824"/>
      <c r="DF62" s="824"/>
      <c r="DG62" s="824"/>
      <c r="DH62" s="824"/>
      <c r="DI62" s="824"/>
      <c r="DJ62" s="824"/>
      <c r="DK62" s="824"/>
      <c r="DL62" s="824"/>
      <c r="DM62" s="825">
        <v>9.6999999999999993</v>
      </c>
      <c r="DN62" s="825">
        <v>6.9</v>
      </c>
      <c r="DO62" s="825">
        <v>0</v>
      </c>
      <c r="DP62" s="825">
        <v>9.3000000000000007</v>
      </c>
      <c r="DQ62" s="825">
        <v>0</v>
      </c>
      <c r="DR62" s="825">
        <v>0</v>
      </c>
      <c r="DS62" s="825">
        <v>0</v>
      </c>
      <c r="DT62" s="825">
        <v>0</v>
      </c>
      <c r="DU62" s="825">
        <v>0</v>
      </c>
      <c r="DV62" s="825">
        <v>0</v>
      </c>
      <c r="DW62" s="825">
        <v>0</v>
      </c>
      <c r="DX62" s="825">
        <v>0</v>
      </c>
      <c r="DY62" s="825">
        <v>0</v>
      </c>
      <c r="DZ62" s="825">
        <v>0</v>
      </c>
      <c r="EA62" s="825">
        <v>0</v>
      </c>
      <c r="EB62" s="825">
        <v>0</v>
      </c>
      <c r="EC62" s="825">
        <v>0</v>
      </c>
      <c r="ED62" s="825">
        <v>0</v>
      </c>
      <c r="EE62" s="825">
        <v>0</v>
      </c>
      <c r="EF62" s="825">
        <v>0</v>
      </c>
      <c r="EG62" s="825">
        <v>0</v>
      </c>
      <c r="EH62" s="825">
        <v>0</v>
      </c>
      <c r="EI62" s="825">
        <v>0</v>
      </c>
      <c r="EJ62" s="825">
        <v>0</v>
      </c>
      <c r="EK62" s="825">
        <v>0</v>
      </c>
      <c r="EL62" s="825">
        <v>0</v>
      </c>
      <c r="EM62" s="825">
        <v>0</v>
      </c>
      <c r="EN62" s="825">
        <v>0</v>
      </c>
      <c r="EO62" s="825">
        <v>0</v>
      </c>
      <c r="EP62" s="825">
        <v>0</v>
      </c>
      <c r="EQ62" s="825">
        <v>0</v>
      </c>
      <c r="ER62" s="825">
        <v>0</v>
      </c>
      <c r="ES62" s="825">
        <v>0</v>
      </c>
      <c r="ET62" s="825">
        <v>0</v>
      </c>
      <c r="EU62" s="825">
        <v>0</v>
      </c>
      <c r="EV62" s="825">
        <v>0</v>
      </c>
      <c r="EW62" s="825">
        <v>0</v>
      </c>
      <c r="EX62" s="825">
        <v>0</v>
      </c>
      <c r="EY62" s="825">
        <v>0</v>
      </c>
      <c r="EZ62" s="825">
        <v>0</v>
      </c>
      <c r="FA62" s="825">
        <v>0</v>
      </c>
      <c r="FB62" s="825">
        <v>0</v>
      </c>
      <c r="FC62" s="825">
        <v>0</v>
      </c>
      <c r="FD62" s="825">
        <v>0</v>
      </c>
      <c r="FE62" s="825">
        <v>0</v>
      </c>
      <c r="FF62" s="825">
        <v>0</v>
      </c>
      <c r="FG62" s="825">
        <v>0</v>
      </c>
      <c r="FH62" s="825">
        <v>0</v>
      </c>
      <c r="FI62" s="825">
        <v>0</v>
      </c>
      <c r="FJ62" s="825">
        <v>0</v>
      </c>
      <c r="FK62" s="825">
        <v>0</v>
      </c>
      <c r="FL62" s="825">
        <v>0</v>
      </c>
      <c r="FM62" s="825">
        <v>0</v>
      </c>
      <c r="FN62" s="825">
        <v>0</v>
      </c>
      <c r="FO62" s="825">
        <v>0</v>
      </c>
      <c r="FP62" s="825">
        <v>0</v>
      </c>
      <c r="FQ62" s="825">
        <v>0</v>
      </c>
      <c r="FR62" s="825">
        <v>0</v>
      </c>
      <c r="FS62" s="825">
        <v>0</v>
      </c>
      <c r="FT62" s="825">
        <v>0</v>
      </c>
      <c r="FU62" s="825">
        <v>0</v>
      </c>
      <c r="FV62" s="825">
        <v>0</v>
      </c>
      <c r="FW62" s="825">
        <v>0</v>
      </c>
      <c r="FX62" s="825">
        <v>0</v>
      </c>
      <c r="FY62" s="825">
        <v>0</v>
      </c>
      <c r="FZ62" s="825">
        <v>0</v>
      </c>
      <c r="GA62" s="825">
        <v>0</v>
      </c>
      <c r="GB62" s="825">
        <v>0</v>
      </c>
      <c r="GC62" s="825">
        <v>0</v>
      </c>
      <c r="GD62" s="825">
        <v>0</v>
      </c>
      <c r="GE62" s="825">
        <v>0</v>
      </c>
      <c r="GF62" s="825">
        <v>0</v>
      </c>
      <c r="GG62" s="825">
        <v>0</v>
      </c>
      <c r="GH62" s="825">
        <v>0</v>
      </c>
      <c r="GI62" s="825">
        <v>0</v>
      </c>
      <c r="GJ62" s="825">
        <v>0</v>
      </c>
      <c r="GK62" s="825">
        <v>0</v>
      </c>
      <c r="GL62" s="825">
        <v>0</v>
      </c>
      <c r="GM62" s="825">
        <v>0</v>
      </c>
      <c r="GN62" s="825">
        <v>0</v>
      </c>
      <c r="GO62" s="825">
        <v>0</v>
      </c>
      <c r="GP62" s="825">
        <v>0</v>
      </c>
      <c r="GQ62" s="825">
        <v>0</v>
      </c>
      <c r="GR62" s="825">
        <v>0</v>
      </c>
      <c r="GS62" s="825">
        <v>0</v>
      </c>
      <c r="GT62" s="825">
        <v>0</v>
      </c>
      <c r="GU62" s="825">
        <v>0</v>
      </c>
      <c r="GV62" s="825">
        <v>0</v>
      </c>
      <c r="GW62" s="825">
        <v>0</v>
      </c>
      <c r="GX62" s="825">
        <v>0</v>
      </c>
      <c r="GY62" s="825">
        <v>0</v>
      </c>
      <c r="GZ62" s="825">
        <v>0</v>
      </c>
      <c r="HA62" s="825">
        <v>0</v>
      </c>
      <c r="HB62" s="825">
        <v>0</v>
      </c>
      <c r="HC62" s="825">
        <v>0</v>
      </c>
      <c r="HD62" s="825">
        <v>0</v>
      </c>
      <c r="HE62" s="825">
        <v>0</v>
      </c>
      <c r="HF62" s="825">
        <v>0</v>
      </c>
      <c r="HG62" s="825">
        <v>0</v>
      </c>
      <c r="HH62" s="825">
        <v>0</v>
      </c>
      <c r="HI62" s="825">
        <v>0</v>
      </c>
      <c r="HJ62" s="825">
        <v>0</v>
      </c>
      <c r="HK62" s="825">
        <v>0</v>
      </c>
      <c r="HL62" s="825">
        <v>0</v>
      </c>
      <c r="HM62" s="825">
        <v>0</v>
      </c>
      <c r="HN62" s="825">
        <v>0</v>
      </c>
      <c r="HO62" s="825">
        <v>0</v>
      </c>
      <c r="HP62" s="825">
        <v>0</v>
      </c>
      <c r="HQ62" s="825">
        <v>0</v>
      </c>
      <c r="HR62" s="825">
        <v>0</v>
      </c>
      <c r="HS62" s="825">
        <v>0</v>
      </c>
      <c r="HT62" s="825">
        <v>0</v>
      </c>
      <c r="HU62" s="825">
        <v>0</v>
      </c>
    </row>
    <row r="63" spans="1:229" ht="102">
      <c r="A63" s="823" t="s">
        <v>515</v>
      </c>
      <c r="B63" s="823" t="s">
        <v>1504</v>
      </c>
      <c r="C63" s="823" t="s">
        <v>1505</v>
      </c>
      <c r="D63" s="826"/>
      <c r="E63" s="824"/>
      <c r="F63" s="824"/>
      <c r="G63" s="824"/>
      <c r="H63" s="824"/>
      <c r="I63" s="826" t="s">
        <v>1506</v>
      </c>
      <c r="J63" s="826"/>
      <c r="K63" s="826" t="s">
        <v>1507</v>
      </c>
      <c r="L63" s="826"/>
      <c r="M63" s="826" t="s">
        <v>1508</v>
      </c>
      <c r="N63" s="826" t="s">
        <v>1509</v>
      </c>
      <c r="O63" s="824"/>
      <c r="P63" s="824"/>
      <c r="Q63" s="824"/>
      <c r="R63" s="826" t="s">
        <v>1510</v>
      </c>
      <c r="S63" s="824"/>
      <c r="T63" s="824" t="s">
        <v>1511</v>
      </c>
      <c r="U63" s="826" t="s">
        <v>1512</v>
      </c>
      <c r="V63" s="824" t="s">
        <v>1513</v>
      </c>
      <c r="W63" s="824" t="s">
        <v>1514</v>
      </c>
      <c r="X63" s="824" t="s">
        <v>1515</v>
      </c>
      <c r="Y63" s="824" t="s">
        <v>1516</v>
      </c>
      <c r="Z63" s="824"/>
      <c r="AA63" s="824"/>
      <c r="AB63" s="824"/>
      <c r="AC63" s="824"/>
      <c r="AD63" s="824"/>
      <c r="AE63" s="824"/>
      <c r="AF63" s="824"/>
      <c r="AG63" s="824"/>
      <c r="AH63" s="824"/>
      <c r="AI63" s="824"/>
      <c r="AJ63" s="824"/>
      <c r="AK63" s="824"/>
      <c r="AL63" s="824"/>
      <c r="AM63" s="824"/>
      <c r="AN63" s="824"/>
      <c r="AO63" s="824"/>
      <c r="AP63" s="824"/>
      <c r="AQ63" s="824"/>
      <c r="AR63" s="824"/>
      <c r="AS63" s="824"/>
      <c r="AT63" s="824"/>
      <c r="AU63" s="824"/>
      <c r="AV63" s="824"/>
      <c r="AW63" s="824"/>
      <c r="AX63" s="824"/>
      <c r="AY63" s="824"/>
      <c r="AZ63" s="824"/>
      <c r="BA63" s="824"/>
      <c r="BB63" s="824"/>
      <c r="BC63" s="824"/>
      <c r="BD63" s="824"/>
      <c r="BE63" s="824"/>
      <c r="BF63" s="824"/>
      <c r="BG63" s="824"/>
      <c r="BH63" s="824"/>
      <c r="BI63" s="824"/>
      <c r="BJ63" s="824"/>
      <c r="BK63" s="824"/>
      <c r="BL63" s="824"/>
      <c r="BM63" s="824"/>
      <c r="BN63" s="824"/>
      <c r="BO63" s="824"/>
      <c r="BP63" s="824"/>
      <c r="BQ63" s="824"/>
      <c r="BR63" s="824"/>
      <c r="BS63" s="824"/>
      <c r="BT63" s="824"/>
      <c r="BU63" s="824"/>
      <c r="BV63" s="824"/>
      <c r="BW63" s="824"/>
      <c r="BX63" s="824"/>
      <c r="BY63" s="824"/>
      <c r="BZ63" s="824"/>
      <c r="CA63" s="824"/>
      <c r="CB63" s="824"/>
      <c r="CC63" s="824"/>
      <c r="CD63" s="824"/>
      <c r="CE63" s="824"/>
      <c r="CF63" s="824"/>
      <c r="CG63" s="824"/>
      <c r="CH63" s="824"/>
      <c r="CI63" s="824"/>
      <c r="CJ63" s="824"/>
      <c r="CK63" s="824"/>
      <c r="CL63" s="824"/>
      <c r="CM63" s="824"/>
      <c r="CN63" s="824"/>
      <c r="CO63" s="824"/>
      <c r="CP63" s="824"/>
      <c r="CQ63" s="824"/>
      <c r="CR63" s="824"/>
      <c r="CS63" s="824"/>
      <c r="CT63" s="824"/>
      <c r="CU63" s="824"/>
      <c r="CV63" s="824"/>
      <c r="CW63" s="824"/>
      <c r="CX63" s="824"/>
      <c r="CY63" s="824"/>
      <c r="CZ63" s="824"/>
      <c r="DA63" s="824"/>
      <c r="DB63" s="824"/>
      <c r="DC63" s="824"/>
      <c r="DD63" s="824"/>
      <c r="DE63" s="824"/>
      <c r="DF63" s="824"/>
      <c r="DG63" s="824"/>
      <c r="DH63" s="824"/>
      <c r="DI63" s="824"/>
      <c r="DJ63" s="824"/>
      <c r="DK63" s="824"/>
      <c r="DL63" s="824"/>
      <c r="DM63" s="825">
        <v>0</v>
      </c>
      <c r="DN63" s="825">
        <v>0</v>
      </c>
      <c r="DO63" s="825">
        <v>0</v>
      </c>
      <c r="DP63" s="825">
        <v>0</v>
      </c>
      <c r="DQ63" s="825">
        <v>0</v>
      </c>
      <c r="DR63" s="825">
        <v>9</v>
      </c>
      <c r="DS63" s="825">
        <v>0</v>
      </c>
      <c r="DT63" s="825">
        <v>7.4</v>
      </c>
      <c r="DU63" s="825">
        <v>0</v>
      </c>
      <c r="DV63" s="825">
        <v>6.1</v>
      </c>
      <c r="DW63" s="825">
        <v>9.8000000000000007</v>
      </c>
      <c r="DX63" s="825">
        <v>0</v>
      </c>
      <c r="DY63" s="825">
        <v>0</v>
      </c>
      <c r="DZ63" s="825">
        <v>0</v>
      </c>
      <c r="EA63" s="825">
        <v>11</v>
      </c>
      <c r="EB63" s="825">
        <v>0</v>
      </c>
      <c r="EC63" s="825">
        <v>0</v>
      </c>
      <c r="ED63" s="825">
        <v>12.1</v>
      </c>
      <c r="EE63" s="825">
        <v>0</v>
      </c>
      <c r="EF63" s="825">
        <v>0</v>
      </c>
      <c r="EG63" s="825">
        <v>11.2</v>
      </c>
      <c r="EH63" s="825">
        <v>12.5</v>
      </c>
      <c r="EI63" s="825">
        <v>0</v>
      </c>
      <c r="EJ63" s="825">
        <v>0</v>
      </c>
      <c r="EK63" s="825">
        <v>0</v>
      </c>
      <c r="EL63" s="825">
        <v>0</v>
      </c>
      <c r="EM63" s="825">
        <v>0</v>
      </c>
      <c r="EN63" s="825">
        <v>0</v>
      </c>
      <c r="EO63" s="825">
        <v>0</v>
      </c>
      <c r="EP63" s="825">
        <v>0</v>
      </c>
      <c r="EQ63" s="825">
        <v>0</v>
      </c>
      <c r="ER63" s="825">
        <v>0</v>
      </c>
      <c r="ES63" s="825">
        <v>0</v>
      </c>
      <c r="ET63" s="825">
        <v>0</v>
      </c>
      <c r="EU63" s="825">
        <v>0</v>
      </c>
      <c r="EV63" s="825">
        <v>0</v>
      </c>
      <c r="EW63" s="825">
        <v>0</v>
      </c>
      <c r="EX63" s="825">
        <v>0</v>
      </c>
      <c r="EY63" s="825">
        <v>0</v>
      </c>
      <c r="EZ63" s="825">
        <v>0</v>
      </c>
      <c r="FA63" s="825">
        <v>0</v>
      </c>
      <c r="FB63" s="825">
        <v>0</v>
      </c>
      <c r="FC63" s="825">
        <v>0</v>
      </c>
      <c r="FD63" s="825">
        <v>0</v>
      </c>
      <c r="FE63" s="825">
        <v>0</v>
      </c>
      <c r="FF63" s="825">
        <v>0</v>
      </c>
      <c r="FG63" s="825">
        <v>0</v>
      </c>
      <c r="FH63" s="825">
        <v>0</v>
      </c>
      <c r="FI63" s="825">
        <v>0</v>
      </c>
      <c r="FJ63" s="825">
        <v>0</v>
      </c>
      <c r="FK63" s="825">
        <v>0</v>
      </c>
      <c r="FL63" s="825">
        <v>0</v>
      </c>
      <c r="FM63" s="825">
        <v>0</v>
      </c>
      <c r="FN63" s="825">
        <v>0</v>
      </c>
      <c r="FO63" s="825">
        <v>0</v>
      </c>
      <c r="FP63" s="825">
        <v>0</v>
      </c>
      <c r="FQ63" s="825">
        <v>0</v>
      </c>
      <c r="FR63" s="825">
        <v>0</v>
      </c>
      <c r="FS63" s="825">
        <v>0</v>
      </c>
      <c r="FT63" s="825">
        <v>0</v>
      </c>
      <c r="FU63" s="825">
        <v>0</v>
      </c>
      <c r="FV63" s="825">
        <v>0</v>
      </c>
      <c r="FW63" s="825">
        <v>0</v>
      </c>
      <c r="FX63" s="825">
        <v>0</v>
      </c>
      <c r="FY63" s="825">
        <v>0</v>
      </c>
      <c r="FZ63" s="825">
        <v>0</v>
      </c>
      <c r="GA63" s="825">
        <v>0</v>
      </c>
      <c r="GB63" s="825">
        <v>0</v>
      </c>
      <c r="GC63" s="825">
        <v>0</v>
      </c>
      <c r="GD63" s="825">
        <v>0</v>
      </c>
      <c r="GE63" s="825">
        <v>0</v>
      </c>
      <c r="GF63" s="825">
        <v>0</v>
      </c>
      <c r="GG63" s="825">
        <v>0</v>
      </c>
      <c r="GH63" s="825">
        <v>0</v>
      </c>
      <c r="GI63" s="825">
        <v>0</v>
      </c>
      <c r="GJ63" s="825">
        <v>0</v>
      </c>
      <c r="GK63" s="825">
        <v>0</v>
      </c>
      <c r="GL63" s="825">
        <v>0</v>
      </c>
      <c r="GM63" s="825">
        <v>0</v>
      </c>
      <c r="GN63" s="825">
        <v>0</v>
      </c>
      <c r="GO63" s="825">
        <v>0</v>
      </c>
      <c r="GP63" s="825">
        <v>0</v>
      </c>
      <c r="GQ63" s="825">
        <v>0</v>
      </c>
      <c r="GR63" s="825">
        <v>0</v>
      </c>
      <c r="GS63" s="825">
        <v>0</v>
      </c>
      <c r="GT63" s="825">
        <v>0</v>
      </c>
      <c r="GU63" s="825">
        <v>0</v>
      </c>
      <c r="GV63" s="825">
        <v>0</v>
      </c>
      <c r="GW63" s="825">
        <v>0</v>
      </c>
      <c r="GX63" s="825">
        <v>0</v>
      </c>
      <c r="GY63" s="825">
        <v>0</v>
      </c>
      <c r="GZ63" s="825">
        <v>0</v>
      </c>
      <c r="HA63" s="825">
        <v>0</v>
      </c>
      <c r="HB63" s="825">
        <v>0</v>
      </c>
      <c r="HC63" s="825">
        <v>0</v>
      </c>
      <c r="HD63" s="825">
        <v>0</v>
      </c>
      <c r="HE63" s="825">
        <v>0</v>
      </c>
      <c r="HF63" s="825">
        <v>0</v>
      </c>
      <c r="HG63" s="825">
        <v>0</v>
      </c>
      <c r="HH63" s="825">
        <v>0</v>
      </c>
      <c r="HI63" s="825">
        <v>0</v>
      </c>
      <c r="HJ63" s="825">
        <v>0</v>
      </c>
      <c r="HK63" s="825">
        <v>0</v>
      </c>
      <c r="HL63" s="825">
        <v>0</v>
      </c>
      <c r="HM63" s="825">
        <v>0</v>
      </c>
      <c r="HN63" s="825">
        <v>0</v>
      </c>
      <c r="HO63" s="825">
        <v>0</v>
      </c>
      <c r="HP63" s="825">
        <v>0</v>
      </c>
      <c r="HQ63" s="825">
        <v>0</v>
      </c>
      <c r="HR63" s="825">
        <v>0</v>
      </c>
      <c r="HS63" s="825">
        <v>0</v>
      </c>
      <c r="HT63" s="825">
        <v>0</v>
      </c>
      <c r="HU63" s="825">
        <v>0</v>
      </c>
    </row>
    <row r="64" spans="1:229" ht="102">
      <c r="A64" s="823" t="s">
        <v>515</v>
      </c>
      <c r="B64" s="823" t="s">
        <v>1517</v>
      </c>
      <c r="C64" s="823" t="s">
        <v>1518</v>
      </c>
      <c r="D64" s="826" t="s">
        <v>1519</v>
      </c>
      <c r="E64" s="824"/>
      <c r="F64" s="824"/>
      <c r="G64" s="826" t="s">
        <v>1520</v>
      </c>
      <c r="H64" s="826" t="s">
        <v>1521</v>
      </c>
      <c r="I64" s="824"/>
      <c r="J64" s="826" t="s">
        <v>1522</v>
      </c>
      <c r="K64" s="824" t="s">
        <v>1523</v>
      </c>
      <c r="L64" s="824"/>
      <c r="M64" s="824"/>
      <c r="N64" s="824"/>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4"/>
      <c r="AO64" s="824"/>
      <c r="AP64" s="824"/>
      <c r="AQ64" s="824"/>
      <c r="AR64" s="824"/>
      <c r="AS64" s="824"/>
      <c r="AT64" s="824"/>
      <c r="AU64" s="824"/>
      <c r="AV64" s="824"/>
      <c r="AW64" s="824"/>
      <c r="AX64" s="824"/>
      <c r="AY64" s="824"/>
      <c r="AZ64" s="824"/>
      <c r="BA64" s="824"/>
      <c r="BB64" s="824"/>
      <c r="BC64" s="824"/>
      <c r="BD64" s="824"/>
      <c r="BE64" s="824"/>
      <c r="BF64" s="824"/>
      <c r="BG64" s="824"/>
      <c r="BH64" s="824"/>
      <c r="BI64" s="824"/>
      <c r="BJ64" s="824"/>
      <c r="BK64" s="824"/>
      <c r="BL64" s="824"/>
      <c r="BM64" s="824"/>
      <c r="BN64" s="824"/>
      <c r="BO64" s="824"/>
      <c r="BP64" s="824"/>
      <c r="BQ64" s="824"/>
      <c r="BR64" s="824"/>
      <c r="BS64" s="824"/>
      <c r="BT64" s="824"/>
      <c r="BU64" s="824"/>
      <c r="BV64" s="824"/>
      <c r="BW64" s="824"/>
      <c r="BX64" s="824"/>
      <c r="BY64" s="824"/>
      <c r="BZ64" s="824"/>
      <c r="CA64" s="824"/>
      <c r="CB64" s="824"/>
      <c r="CC64" s="824"/>
      <c r="CD64" s="824"/>
      <c r="CE64" s="824"/>
      <c r="CF64" s="824"/>
      <c r="CG64" s="824"/>
      <c r="CH64" s="824"/>
      <c r="CI64" s="824"/>
      <c r="CJ64" s="824"/>
      <c r="CK64" s="824"/>
      <c r="CL64" s="824"/>
      <c r="CM64" s="824"/>
      <c r="CN64" s="824"/>
      <c r="CO64" s="824"/>
      <c r="CP64" s="824"/>
      <c r="CQ64" s="824"/>
      <c r="CR64" s="824"/>
      <c r="CS64" s="824"/>
      <c r="CT64" s="824"/>
      <c r="CU64" s="824"/>
      <c r="CV64" s="824"/>
      <c r="CW64" s="824"/>
      <c r="CX64" s="824"/>
      <c r="CY64" s="824"/>
      <c r="CZ64" s="824"/>
      <c r="DA64" s="824"/>
      <c r="DB64" s="824"/>
      <c r="DC64" s="824"/>
      <c r="DD64" s="824"/>
      <c r="DE64" s="824"/>
      <c r="DF64" s="824"/>
      <c r="DG64" s="824"/>
      <c r="DH64" s="824"/>
      <c r="DI64" s="824"/>
      <c r="DJ64" s="824"/>
      <c r="DK64" s="824"/>
      <c r="DL64" s="824"/>
      <c r="DM64" s="825">
        <v>11.1</v>
      </c>
      <c r="DN64" s="825">
        <v>0</v>
      </c>
      <c r="DO64" s="825">
        <v>0</v>
      </c>
      <c r="DP64" s="825">
        <v>6.4</v>
      </c>
      <c r="DQ64" s="825">
        <v>6.4</v>
      </c>
      <c r="DR64" s="825">
        <v>0</v>
      </c>
      <c r="DS64" s="825">
        <v>11.1</v>
      </c>
      <c r="DT64" s="825">
        <v>18.399999999999999</v>
      </c>
      <c r="DU64" s="825">
        <v>0</v>
      </c>
      <c r="DV64" s="825">
        <v>0</v>
      </c>
      <c r="DW64" s="825">
        <v>0</v>
      </c>
      <c r="DX64" s="825">
        <v>0</v>
      </c>
      <c r="DY64" s="825">
        <v>0</v>
      </c>
      <c r="DZ64" s="825">
        <v>0</v>
      </c>
      <c r="EA64" s="825">
        <v>0</v>
      </c>
      <c r="EB64" s="825">
        <v>0</v>
      </c>
      <c r="EC64" s="825">
        <v>0</v>
      </c>
      <c r="ED64" s="825">
        <v>0</v>
      </c>
      <c r="EE64" s="825">
        <v>0</v>
      </c>
      <c r="EF64" s="825">
        <v>0</v>
      </c>
      <c r="EG64" s="825">
        <v>0</v>
      </c>
      <c r="EH64" s="825">
        <v>0</v>
      </c>
      <c r="EI64" s="825">
        <v>0</v>
      </c>
      <c r="EJ64" s="825">
        <v>0</v>
      </c>
      <c r="EK64" s="825">
        <v>0</v>
      </c>
      <c r="EL64" s="825">
        <v>0</v>
      </c>
      <c r="EM64" s="825">
        <v>0</v>
      </c>
      <c r="EN64" s="825">
        <v>0</v>
      </c>
      <c r="EO64" s="825">
        <v>0</v>
      </c>
      <c r="EP64" s="825">
        <v>0</v>
      </c>
      <c r="EQ64" s="825">
        <v>0</v>
      </c>
      <c r="ER64" s="825">
        <v>0</v>
      </c>
      <c r="ES64" s="825">
        <v>0</v>
      </c>
      <c r="ET64" s="825">
        <v>0</v>
      </c>
      <c r="EU64" s="825">
        <v>0</v>
      </c>
      <c r="EV64" s="825">
        <v>0</v>
      </c>
      <c r="EW64" s="825">
        <v>0</v>
      </c>
      <c r="EX64" s="825">
        <v>0</v>
      </c>
      <c r="EY64" s="825">
        <v>0</v>
      </c>
      <c r="EZ64" s="825">
        <v>0</v>
      </c>
      <c r="FA64" s="825">
        <v>0</v>
      </c>
      <c r="FB64" s="825">
        <v>0</v>
      </c>
      <c r="FC64" s="825">
        <v>0</v>
      </c>
      <c r="FD64" s="825">
        <v>0</v>
      </c>
      <c r="FE64" s="825">
        <v>0</v>
      </c>
      <c r="FF64" s="825">
        <v>0</v>
      </c>
      <c r="FG64" s="825">
        <v>0</v>
      </c>
      <c r="FH64" s="825">
        <v>0</v>
      </c>
      <c r="FI64" s="825">
        <v>0</v>
      </c>
      <c r="FJ64" s="825">
        <v>0</v>
      </c>
      <c r="FK64" s="825">
        <v>0</v>
      </c>
      <c r="FL64" s="825">
        <v>0</v>
      </c>
      <c r="FM64" s="825">
        <v>0</v>
      </c>
      <c r="FN64" s="825">
        <v>0</v>
      </c>
      <c r="FO64" s="825">
        <v>0</v>
      </c>
      <c r="FP64" s="825">
        <v>0</v>
      </c>
      <c r="FQ64" s="825">
        <v>0</v>
      </c>
      <c r="FR64" s="825">
        <v>0</v>
      </c>
      <c r="FS64" s="825">
        <v>0</v>
      </c>
      <c r="FT64" s="825">
        <v>0</v>
      </c>
      <c r="FU64" s="825">
        <v>0</v>
      </c>
      <c r="FV64" s="825">
        <v>0</v>
      </c>
      <c r="FW64" s="825">
        <v>0</v>
      </c>
      <c r="FX64" s="825">
        <v>0</v>
      </c>
      <c r="FY64" s="825">
        <v>0</v>
      </c>
      <c r="FZ64" s="825">
        <v>0</v>
      </c>
      <c r="GA64" s="825">
        <v>0</v>
      </c>
      <c r="GB64" s="825">
        <v>0</v>
      </c>
      <c r="GC64" s="825">
        <v>0</v>
      </c>
      <c r="GD64" s="825">
        <v>0</v>
      </c>
      <c r="GE64" s="825">
        <v>0</v>
      </c>
      <c r="GF64" s="825">
        <v>0</v>
      </c>
      <c r="GG64" s="825">
        <v>0</v>
      </c>
      <c r="GH64" s="825">
        <v>0</v>
      </c>
      <c r="GI64" s="825">
        <v>0</v>
      </c>
      <c r="GJ64" s="825">
        <v>0</v>
      </c>
      <c r="GK64" s="825">
        <v>0</v>
      </c>
      <c r="GL64" s="825">
        <v>0</v>
      </c>
      <c r="GM64" s="825">
        <v>0</v>
      </c>
      <c r="GN64" s="825">
        <v>0</v>
      </c>
      <c r="GO64" s="825">
        <v>0</v>
      </c>
      <c r="GP64" s="825">
        <v>0</v>
      </c>
      <c r="GQ64" s="825">
        <v>0</v>
      </c>
      <c r="GR64" s="825">
        <v>0</v>
      </c>
      <c r="GS64" s="825">
        <v>0</v>
      </c>
      <c r="GT64" s="825">
        <v>0</v>
      </c>
      <c r="GU64" s="825">
        <v>0</v>
      </c>
      <c r="GV64" s="825">
        <v>0</v>
      </c>
      <c r="GW64" s="825">
        <v>0</v>
      </c>
      <c r="GX64" s="825">
        <v>0</v>
      </c>
      <c r="GY64" s="825">
        <v>0</v>
      </c>
      <c r="GZ64" s="825">
        <v>0</v>
      </c>
      <c r="HA64" s="825">
        <v>0</v>
      </c>
      <c r="HB64" s="825">
        <v>0</v>
      </c>
      <c r="HC64" s="825">
        <v>0</v>
      </c>
      <c r="HD64" s="825">
        <v>0</v>
      </c>
      <c r="HE64" s="825">
        <v>0</v>
      </c>
      <c r="HF64" s="825">
        <v>0</v>
      </c>
      <c r="HG64" s="825">
        <v>0</v>
      </c>
      <c r="HH64" s="825">
        <v>0</v>
      </c>
      <c r="HI64" s="825">
        <v>0</v>
      </c>
      <c r="HJ64" s="825">
        <v>0</v>
      </c>
      <c r="HK64" s="825">
        <v>0</v>
      </c>
      <c r="HL64" s="825">
        <v>0</v>
      </c>
      <c r="HM64" s="825">
        <v>0</v>
      </c>
      <c r="HN64" s="825">
        <v>0</v>
      </c>
      <c r="HO64" s="825">
        <v>0</v>
      </c>
      <c r="HP64" s="825">
        <v>0</v>
      </c>
      <c r="HQ64" s="825">
        <v>0</v>
      </c>
      <c r="HR64" s="825">
        <v>0</v>
      </c>
      <c r="HS64" s="825">
        <v>0</v>
      </c>
      <c r="HT64" s="825">
        <v>0</v>
      </c>
      <c r="HU64" s="825">
        <v>0</v>
      </c>
    </row>
    <row r="65" spans="1:229" ht="38.25">
      <c r="A65" s="823" t="s">
        <v>515</v>
      </c>
      <c r="B65" s="823" t="s">
        <v>1524</v>
      </c>
      <c r="C65" s="823" t="s">
        <v>1525</v>
      </c>
      <c r="D65" s="824" t="s">
        <v>1526</v>
      </c>
      <c r="E65" s="824"/>
      <c r="F65" s="824"/>
      <c r="G65" s="824"/>
      <c r="H65" s="824"/>
      <c r="I65" s="824"/>
      <c r="J65" s="824"/>
      <c r="K65" s="824"/>
      <c r="L65" s="824"/>
      <c r="M65" s="824"/>
      <c r="N65" s="824"/>
      <c r="O65" s="824"/>
      <c r="P65" s="824"/>
      <c r="Q65" s="824"/>
      <c r="R65" s="824"/>
      <c r="S65" s="824"/>
      <c r="T65" s="824"/>
      <c r="U65" s="824"/>
      <c r="V65" s="824"/>
      <c r="W65" s="824"/>
      <c r="X65" s="824"/>
      <c r="Y65" s="824"/>
      <c r="Z65" s="824"/>
      <c r="AA65" s="824"/>
      <c r="AB65" s="824"/>
      <c r="AC65" s="824"/>
      <c r="AD65" s="824"/>
      <c r="AE65" s="824"/>
      <c r="AF65" s="824"/>
      <c r="AG65" s="824"/>
      <c r="AH65" s="824"/>
      <c r="AI65" s="824"/>
      <c r="AJ65" s="824"/>
      <c r="AK65" s="824"/>
      <c r="AL65" s="824"/>
      <c r="AM65" s="824"/>
      <c r="AN65" s="824"/>
      <c r="AO65" s="824"/>
      <c r="AP65" s="824"/>
      <c r="AQ65" s="824"/>
      <c r="AR65" s="824"/>
      <c r="AS65" s="824"/>
      <c r="AT65" s="824"/>
      <c r="AU65" s="824"/>
      <c r="AV65" s="824"/>
      <c r="AW65" s="824"/>
      <c r="AX65" s="824"/>
      <c r="AY65" s="824"/>
      <c r="AZ65" s="824"/>
      <c r="BA65" s="824"/>
      <c r="BB65" s="824"/>
      <c r="BC65" s="824"/>
      <c r="BD65" s="824"/>
      <c r="BE65" s="824"/>
      <c r="BF65" s="824"/>
      <c r="BG65" s="824"/>
      <c r="BH65" s="824"/>
      <c r="BI65" s="824"/>
      <c r="BJ65" s="824"/>
      <c r="BK65" s="824"/>
      <c r="BL65" s="824"/>
      <c r="BM65" s="824"/>
      <c r="BN65" s="824"/>
      <c r="BO65" s="824"/>
      <c r="BP65" s="824"/>
      <c r="BQ65" s="824"/>
      <c r="BR65" s="824"/>
      <c r="BS65" s="824"/>
      <c r="BT65" s="824"/>
      <c r="BU65" s="824"/>
      <c r="BV65" s="824"/>
      <c r="BW65" s="824"/>
      <c r="BX65" s="824"/>
      <c r="BY65" s="824"/>
      <c r="BZ65" s="824"/>
      <c r="CA65" s="824"/>
      <c r="CB65" s="824"/>
      <c r="CC65" s="824"/>
      <c r="CD65" s="824"/>
      <c r="CE65" s="824"/>
      <c r="CF65" s="824"/>
      <c r="CG65" s="824"/>
      <c r="CH65" s="824"/>
      <c r="CI65" s="824"/>
      <c r="CJ65" s="824"/>
      <c r="CK65" s="824"/>
      <c r="CL65" s="824"/>
      <c r="CM65" s="824"/>
      <c r="CN65" s="824"/>
      <c r="CO65" s="824"/>
      <c r="CP65" s="824"/>
      <c r="CQ65" s="824"/>
      <c r="CR65" s="824"/>
      <c r="CS65" s="824"/>
      <c r="CT65" s="824"/>
      <c r="CU65" s="824"/>
      <c r="CV65" s="824"/>
      <c r="CW65" s="824"/>
      <c r="CX65" s="824"/>
      <c r="CY65" s="824"/>
      <c r="CZ65" s="824"/>
      <c r="DA65" s="824"/>
      <c r="DB65" s="824"/>
      <c r="DC65" s="824"/>
      <c r="DD65" s="824"/>
      <c r="DE65" s="824"/>
      <c r="DF65" s="824"/>
      <c r="DG65" s="824"/>
      <c r="DH65" s="824"/>
      <c r="DI65" s="824"/>
      <c r="DJ65" s="824"/>
      <c r="DK65" s="824"/>
      <c r="DL65" s="824"/>
      <c r="DM65" s="825">
        <v>12.5</v>
      </c>
      <c r="DN65" s="825">
        <v>0</v>
      </c>
      <c r="DO65" s="825">
        <v>0</v>
      </c>
      <c r="DP65" s="825">
        <v>0</v>
      </c>
      <c r="DQ65" s="825">
        <v>0</v>
      </c>
      <c r="DR65" s="825">
        <v>0</v>
      </c>
      <c r="DS65" s="825">
        <v>0</v>
      </c>
      <c r="DT65" s="825">
        <v>0</v>
      </c>
      <c r="DU65" s="825">
        <v>0</v>
      </c>
      <c r="DV65" s="825">
        <v>0</v>
      </c>
      <c r="DW65" s="825">
        <v>0</v>
      </c>
      <c r="DX65" s="825">
        <v>0</v>
      </c>
      <c r="DY65" s="825">
        <v>0</v>
      </c>
      <c r="DZ65" s="825">
        <v>0</v>
      </c>
      <c r="EA65" s="825">
        <v>0</v>
      </c>
      <c r="EB65" s="825">
        <v>0</v>
      </c>
      <c r="EC65" s="825">
        <v>0</v>
      </c>
      <c r="ED65" s="825">
        <v>0</v>
      </c>
      <c r="EE65" s="825">
        <v>0</v>
      </c>
      <c r="EF65" s="825">
        <v>0</v>
      </c>
      <c r="EG65" s="825">
        <v>0</v>
      </c>
      <c r="EH65" s="825">
        <v>0</v>
      </c>
      <c r="EI65" s="825">
        <v>0</v>
      </c>
      <c r="EJ65" s="825">
        <v>0</v>
      </c>
      <c r="EK65" s="825">
        <v>0</v>
      </c>
      <c r="EL65" s="825">
        <v>0</v>
      </c>
      <c r="EM65" s="825">
        <v>0</v>
      </c>
      <c r="EN65" s="825">
        <v>0</v>
      </c>
      <c r="EO65" s="825">
        <v>0</v>
      </c>
      <c r="EP65" s="825">
        <v>0</v>
      </c>
      <c r="EQ65" s="825">
        <v>0</v>
      </c>
      <c r="ER65" s="825">
        <v>0</v>
      </c>
      <c r="ES65" s="825">
        <v>0</v>
      </c>
      <c r="ET65" s="825">
        <v>0</v>
      </c>
      <c r="EU65" s="825">
        <v>0</v>
      </c>
      <c r="EV65" s="825">
        <v>0</v>
      </c>
      <c r="EW65" s="825">
        <v>0</v>
      </c>
      <c r="EX65" s="825">
        <v>0</v>
      </c>
      <c r="EY65" s="825">
        <v>0</v>
      </c>
      <c r="EZ65" s="825">
        <v>0</v>
      </c>
      <c r="FA65" s="825">
        <v>0</v>
      </c>
      <c r="FB65" s="825">
        <v>0</v>
      </c>
      <c r="FC65" s="825">
        <v>0</v>
      </c>
      <c r="FD65" s="825">
        <v>0</v>
      </c>
      <c r="FE65" s="825">
        <v>0</v>
      </c>
      <c r="FF65" s="825">
        <v>0</v>
      </c>
      <c r="FG65" s="825">
        <v>0</v>
      </c>
      <c r="FH65" s="825">
        <v>0</v>
      </c>
      <c r="FI65" s="825">
        <v>0</v>
      </c>
      <c r="FJ65" s="825">
        <v>0</v>
      </c>
      <c r="FK65" s="825">
        <v>0</v>
      </c>
      <c r="FL65" s="825">
        <v>0</v>
      </c>
      <c r="FM65" s="825">
        <v>0</v>
      </c>
      <c r="FN65" s="825">
        <v>0</v>
      </c>
      <c r="FO65" s="825">
        <v>0</v>
      </c>
      <c r="FP65" s="825">
        <v>0</v>
      </c>
      <c r="FQ65" s="825">
        <v>0</v>
      </c>
      <c r="FR65" s="825">
        <v>0</v>
      </c>
      <c r="FS65" s="825">
        <v>0</v>
      </c>
      <c r="FT65" s="825">
        <v>0</v>
      </c>
      <c r="FU65" s="825">
        <v>0</v>
      </c>
      <c r="FV65" s="825">
        <v>0</v>
      </c>
      <c r="FW65" s="825">
        <v>0</v>
      </c>
      <c r="FX65" s="825">
        <v>0</v>
      </c>
      <c r="FY65" s="825">
        <v>0</v>
      </c>
      <c r="FZ65" s="825">
        <v>0</v>
      </c>
      <c r="GA65" s="825">
        <v>0</v>
      </c>
      <c r="GB65" s="825">
        <v>0</v>
      </c>
      <c r="GC65" s="825">
        <v>0</v>
      </c>
      <c r="GD65" s="825">
        <v>0</v>
      </c>
      <c r="GE65" s="825">
        <v>0</v>
      </c>
      <c r="GF65" s="825">
        <v>0</v>
      </c>
      <c r="GG65" s="825">
        <v>0</v>
      </c>
      <c r="GH65" s="825">
        <v>0</v>
      </c>
      <c r="GI65" s="825">
        <v>0</v>
      </c>
      <c r="GJ65" s="825">
        <v>0</v>
      </c>
      <c r="GK65" s="825">
        <v>0</v>
      </c>
      <c r="GL65" s="825">
        <v>0</v>
      </c>
      <c r="GM65" s="825">
        <v>0</v>
      </c>
      <c r="GN65" s="825">
        <v>0</v>
      </c>
      <c r="GO65" s="825">
        <v>0</v>
      </c>
      <c r="GP65" s="825">
        <v>0</v>
      </c>
      <c r="GQ65" s="825">
        <v>0</v>
      </c>
      <c r="GR65" s="825">
        <v>0</v>
      </c>
      <c r="GS65" s="825">
        <v>0</v>
      </c>
      <c r="GT65" s="825">
        <v>0</v>
      </c>
      <c r="GU65" s="825">
        <v>0</v>
      </c>
      <c r="GV65" s="825">
        <v>0</v>
      </c>
      <c r="GW65" s="825">
        <v>0</v>
      </c>
      <c r="GX65" s="825">
        <v>0</v>
      </c>
      <c r="GY65" s="825">
        <v>0</v>
      </c>
      <c r="GZ65" s="825">
        <v>0</v>
      </c>
      <c r="HA65" s="825">
        <v>0</v>
      </c>
      <c r="HB65" s="825">
        <v>0</v>
      </c>
      <c r="HC65" s="825">
        <v>0</v>
      </c>
      <c r="HD65" s="825">
        <v>0</v>
      </c>
      <c r="HE65" s="825">
        <v>0</v>
      </c>
      <c r="HF65" s="825">
        <v>0</v>
      </c>
      <c r="HG65" s="825">
        <v>0</v>
      </c>
      <c r="HH65" s="825">
        <v>0</v>
      </c>
      <c r="HI65" s="825">
        <v>0</v>
      </c>
      <c r="HJ65" s="825">
        <v>0</v>
      </c>
      <c r="HK65" s="825">
        <v>0</v>
      </c>
      <c r="HL65" s="825">
        <v>0</v>
      </c>
      <c r="HM65" s="825">
        <v>0</v>
      </c>
      <c r="HN65" s="825">
        <v>0</v>
      </c>
      <c r="HO65" s="825">
        <v>0</v>
      </c>
      <c r="HP65" s="825">
        <v>0</v>
      </c>
      <c r="HQ65" s="825">
        <v>0</v>
      </c>
      <c r="HR65" s="825">
        <v>0</v>
      </c>
      <c r="HS65" s="825">
        <v>0</v>
      </c>
      <c r="HT65" s="825">
        <v>0</v>
      </c>
      <c r="HU65" s="825">
        <v>0</v>
      </c>
    </row>
    <row r="66" spans="1:229" ht="102">
      <c r="A66" s="823" t="s">
        <v>515</v>
      </c>
      <c r="B66" s="823" t="s">
        <v>1524</v>
      </c>
      <c r="C66" s="823" t="s">
        <v>1527</v>
      </c>
      <c r="D66" s="824" t="s">
        <v>1528</v>
      </c>
      <c r="E66" s="824"/>
      <c r="F66" s="826" t="s">
        <v>1529</v>
      </c>
      <c r="G66" s="824"/>
      <c r="H66" s="824"/>
      <c r="I66" s="824"/>
      <c r="J66" s="824"/>
      <c r="K66" s="824"/>
      <c r="L66" s="824"/>
      <c r="M66" s="824"/>
      <c r="N66" s="824"/>
      <c r="O66" s="824"/>
      <c r="P66" s="824"/>
      <c r="Q66" s="824"/>
      <c r="R66" s="824"/>
      <c r="S66" s="824"/>
      <c r="T66" s="824"/>
      <c r="U66" s="824"/>
      <c r="V66" s="824"/>
      <c r="W66" s="824"/>
      <c r="X66" s="824"/>
      <c r="Y66" s="824"/>
      <c r="Z66" s="824"/>
      <c r="AA66" s="824"/>
      <c r="AB66" s="824"/>
      <c r="AC66" s="824"/>
      <c r="AD66" s="824"/>
      <c r="AE66" s="824"/>
      <c r="AF66" s="824"/>
      <c r="AG66" s="824"/>
      <c r="AH66" s="824"/>
      <c r="AI66" s="824"/>
      <c r="AJ66" s="824"/>
      <c r="AK66" s="824"/>
      <c r="AL66" s="824"/>
      <c r="AM66" s="824"/>
      <c r="AN66" s="824"/>
      <c r="AO66" s="824"/>
      <c r="AP66" s="824"/>
      <c r="AQ66" s="824"/>
      <c r="AR66" s="824"/>
      <c r="AS66" s="824"/>
      <c r="AT66" s="824"/>
      <c r="AU66" s="824"/>
      <c r="AV66" s="824"/>
      <c r="AW66" s="824"/>
      <c r="AX66" s="824"/>
      <c r="AY66" s="824"/>
      <c r="AZ66" s="824"/>
      <c r="BA66" s="824"/>
      <c r="BB66" s="824"/>
      <c r="BC66" s="824"/>
      <c r="BD66" s="824"/>
      <c r="BE66" s="824"/>
      <c r="BF66" s="824"/>
      <c r="BG66" s="824"/>
      <c r="BH66" s="824"/>
      <c r="BI66" s="824"/>
      <c r="BJ66" s="824"/>
      <c r="BK66" s="824"/>
      <c r="BL66" s="824"/>
      <c r="BM66" s="824"/>
      <c r="BN66" s="824"/>
      <c r="BO66" s="824"/>
      <c r="BP66" s="824"/>
      <c r="BQ66" s="824"/>
      <c r="BR66" s="824"/>
      <c r="BS66" s="824"/>
      <c r="BT66" s="824"/>
      <c r="BU66" s="824"/>
      <c r="BV66" s="824"/>
      <c r="BW66" s="824"/>
      <c r="BX66" s="824"/>
      <c r="BY66" s="824"/>
      <c r="BZ66" s="824"/>
      <c r="CA66" s="824"/>
      <c r="CB66" s="824"/>
      <c r="CC66" s="824"/>
      <c r="CD66" s="824"/>
      <c r="CE66" s="824"/>
      <c r="CF66" s="824"/>
      <c r="CG66" s="824"/>
      <c r="CH66" s="824"/>
      <c r="CI66" s="824"/>
      <c r="CJ66" s="824"/>
      <c r="CK66" s="824"/>
      <c r="CL66" s="824"/>
      <c r="CM66" s="824"/>
      <c r="CN66" s="824"/>
      <c r="CO66" s="824"/>
      <c r="CP66" s="824"/>
      <c r="CQ66" s="824"/>
      <c r="CR66" s="824"/>
      <c r="CS66" s="824"/>
      <c r="CT66" s="824"/>
      <c r="CU66" s="824"/>
      <c r="CV66" s="824"/>
      <c r="CW66" s="824"/>
      <c r="CX66" s="824"/>
      <c r="CY66" s="824"/>
      <c r="CZ66" s="824"/>
      <c r="DA66" s="824"/>
      <c r="DB66" s="824"/>
      <c r="DC66" s="824"/>
      <c r="DD66" s="824"/>
      <c r="DE66" s="824"/>
      <c r="DF66" s="824"/>
      <c r="DG66" s="824"/>
      <c r="DH66" s="824"/>
      <c r="DI66" s="824"/>
      <c r="DJ66" s="824"/>
      <c r="DK66" s="824"/>
      <c r="DL66" s="824"/>
      <c r="DM66" s="825">
        <v>11.9</v>
      </c>
      <c r="DN66" s="825">
        <v>0</v>
      </c>
      <c r="DO66" s="825">
        <v>3.6</v>
      </c>
      <c r="DP66" s="825">
        <v>0</v>
      </c>
      <c r="DQ66" s="825">
        <v>0</v>
      </c>
      <c r="DR66" s="825">
        <v>0</v>
      </c>
      <c r="DS66" s="825">
        <v>0</v>
      </c>
      <c r="DT66" s="825">
        <v>0</v>
      </c>
      <c r="DU66" s="825">
        <v>0</v>
      </c>
      <c r="DV66" s="825">
        <v>0</v>
      </c>
      <c r="DW66" s="825">
        <v>0</v>
      </c>
      <c r="DX66" s="825">
        <v>0</v>
      </c>
      <c r="DY66" s="825">
        <v>0</v>
      </c>
      <c r="DZ66" s="825">
        <v>0</v>
      </c>
      <c r="EA66" s="825">
        <v>0</v>
      </c>
      <c r="EB66" s="825">
        <v>0</v>
      </c>
      <c r="EC66" s="825">
        <v>0</v>
      </c>
      <c r="ED66" s="825">
        <v>0</v>
      </c>
      <c r="EE66" s="825">
        <v>0</v>
      </c>
      <c r="EF66" s="825">
        <v>0</v>
      </c>
      <c r="EG66" s="825">
        <v>0</v>
      </c>
      <c r="EH66" s="825">
        <v>0</v>
      </c>
      <c r="EI66" s="825">
        <v>0</v>
      </c>
      <c r="EJ66" s="825">
        <v>0</v>
      </c>
      <c r="EK66" s="825">
        <v>0</v>
      </c>
      <c r="EL66" s="825">
        <v>0</v>
      </c>
      <c r="EM66" s="825">
        <v>0</v>
      </c>
      <c r="EN66" s="825">
        <v>0</v>
      </c>
      <c r="EO66" s="825">
        <v>0</v>
      </c>
      <c r="EP66" s="825">
        <v>0</v>
      </c>
      <c r="EQ66" s="825">
        <v>0</v>
      </c>
      <c r="ER66" s="825">
        <v>0</v>
      </c>
      <c r="ES66" s="825">
        <v>0</v>
      </c>
      <c r="ET66" s="825">
        <v>0</v>
      </c>
      <c r="EU66" s="825">
        <v>0</v>
      </c>
      <c r="EV66" s="825">
        <v>0</v>
      </c>
      <c r="EW66" s="825">
        <v>0</v>
      </c>
      <c r="EX66" s="825">
        <v>0</v>
      </c>
      <c r="EY66" s="825">
        <v>0</v>
      </c>
      <c r="EZ66" s="825">
        <v>0</v>
      </c>
      <c r="FA66" s="825">
        <v>0</v>
      </c>
      <c r="FB66" s="825">
        <v>0</v>
      </c>
      <c r="FC66" s="825">
        <v>0</v>
      </c>
      <c r="FD66" s="825">
        <v>0</v>
      </c>
      <c r="FE66" s="825">
        <v>0</v>
      </c>
      <c r="FF66" s="825">
        <v>0</v>
      </c>
      <c r="FG66" s="825">
        <v>0</v>
      </c>
      <c r="FH66" s="825">
        <v>0</v>
      </c>
      <c r="FI66" s="825">
        <v>0</v>
      </c>
      <c r="FJ66" s="825">
        <v>0</v>
      </c>
      <c r="FK66" s="825">
        <v>0</v>
      </c>
      <c r="FL66" s="825">
        <v>0</v>
      </c>
      <c r="FM66" s="825">
        <v>0</v>
      </c>
      <c r="FN66" s="825">
        <v>0</v>
      </c>
      <c r="FO66" s="825">
        <v>0</v>
      </c>
      <c r="FP66" s="825">
        <v>0</v>
      </c>
      <c r="FQ66" s="825">
        <v>0</v>
      </c>
      <c r="FR66" s="825">
        <v>0</v>
      </c>
      <c r="FS66" s="825">
        <v>0</v>
      </c>
      <c r="FT66" s="825">
        <v>0</v>
      </c>
      <c r="FU66" s="825">
        <v>0</v>
      </c>
      <c r="FV66" s="825">
        <v>0</v>
      </c>
      <c r="FW66" s="825">
        <v>0</v>
      </c>
      <c r="FX66" s="825">
        <v>0</v>
      </c>
      <c r="FY66" s="825">
        <v>0</v>
      </c>
      <c r="FZ66" s="825">
        <v>0</v>
      </c>
      <c r="GA66" s="825">
        <v>0</v>
      </c>
      <c r="GB66" s="825">
        <v>0</v>
      </c>
      <c r="GC66" s="825">
        <v>0</v>
      </c>
      <c r="GD66" s="825">
        <v>0</v>
      </c>
      <c r="GE66" s="825">
        <v>0</v>
      </c>
      <c r="GF66" s="825">
        <v>0</v>
      </c>
      <c r="GG66" s="825">
        <v>0</v>
      </c>
      <c r="GH66" s="825">
        <v>0</v>
      </c>
      <c r="GI66" s="825">
        <v>0</v>
      </c>
      <c r="GJ66" s="825">
        <v>0</v>
      </c>
      <c r="GK66" s="825">
        <v>0</v>
      </c>
      <c r="GL66" s="825">
        <v>0</v>
      </c>
      <c r="GM66" s="825">
        <v>0</v>
      </c>
      <c r="GN66" s="825">
        <v>0</v>
      </c>
      <c r="GO66" s="825">
        <v>0</v>
      </c>
      <c r="GP66" s="825">
        <v>0</v>
      </c>
      <c r="GQ66" s="825">
        <v>0</v>
      </c>
      <c r="GR66" s="825">
        <v>0</v>
      </c>
      <c r="GS66" s="825">
        <v>0</v>
      </c>
      <c r="GT66" s="825">
        <v>0</v>
      </c>
      <c r="GU66" s="825">
        <v>0</v>
      </c>
      <c r="GV66" s="825">
        <v>0</v>
      </c>
      <c r="GW66" s="825">
        <v>0</v>
      </c>
      <c r="GX66" s="825">
        <v>0</v>
      </c>
      <c r="GY66" s="825">
        <v>0</v>
      </c>
      <c r="GZ66" s="825">
        <v>0</v>
      </c>
      <c r="HA66" s="825">
        <v>0</v>
      </c>
      <c r="HB66" s="825">
        <v>0</v>
      </c>
      <c r="HC66" s="825">
        <v>0</v>
      </c>
      <c r="HD66" s="825">
        <v>0</v>
      </c>
      <c r="HE66" s="825">
        <v>0</v>
      </c>
      <c r="HF66" s="825">
        <v>0</v>
      </c>
      <c r="HG66" s="825">
        <v>0</v>
      </c>
      <c r="HH66" s="825">
        <v>0</v>
      </c>
      <c r="HI66" s="825">
        <v>0</v>
      </c>
      <c r="HJ66" s="825">
        <v>0</v>
      </c>
      <c r="HK66" s="825">
        <v>0</v>
      </c>
      <c r="HL66" s="825">
        <v>0</v>
      </c>
      <c r="HM66" s="825">
        <v>0</v>
      </c>
      <c r="HN66" s="825">
        <v>0</v>
      </c>
      <c r="HO66" s="825">
        <v>0</v>
      </c>
      <c r="HP66" s="825">
        <v>0</v>
      </c>
      <c r="HQ66" s="825">
        <v>0</v>
      </c>
      <c r="HR66" s="825">
        <v>0</v>
      </c>
      <c r="HS66" s="825">
        <v>0</v>
      </c>
      <c r="HT66" s="825">
        <v>0</v>
      </c>
      <c r="HU66" s="825">
        <v>0</v>
      </c>
    </row>
    <row r="67" spans="1:229" ht="51">
      <c r="A67" s="823" t="s">
        <v>515</v>
      </c>
      <c r="B67" s="823" t="s">
        <v>1530</v>
      </c>
      <c r="C67" s="823" t="s">
        <v>1531</v>
      </c>
      <c r="D67" s="824"/>
      <c r="E67" s="826" t="s">
        <v>1532</v>
      </c>
      <c r="F67" s="824" t="s">
        <v>1533</v>
      </c>
      <c r="G67" s="824"/>
      <c r="H67" s="824"/>
      <c r="I67" s="824"/>
      <c r="J67" s="824"/>
      <c r="K67" s="824"/>
      <c r="L67" s="824"/>
      <c r="M67" s="824"/>
      <c r="N67" s="824"/>
      <c r="O67" s="824"/>
      <c r="P67" s="824"/>
      <c r="Q67" s="824"/>
      <c r="R67" s="824"/>
      <c r="S67" s="824"/>
      <c r="T67" s="824"/>
      <c r="U67" s="824"/>
      <c r="V67" s="824"/>
      <c r="W67" s="824"/>
      <c r="X67" s="824"/>
      <c r="Y67" s="824"/>
      <c r="Z67" s="824"/>
      <c r="AA67" s="824"/>
      <c r="AB67" s="824"/>
      <c r="AC67" s="824"/>
      <c r="AD67" s="824"/>
      <c r="AE67" s="824"/>
      <c r="AF67" s="824"/>
      <c r="AG67" s="824"/>
      <c r="AH67" s="824"/>
      <c r="AI67" s="824"/>
      <c r="AJ67" s="824"/>
      <c r="AK67" s="824"/>
      <c r="AL67" s="824"/>
      <c r="AM67" s="824"/>
      <c r="AN67" s="824"/>
      <c r="AO67" s="824"/>
      <c r="AP67" s="824"/>
      <c r="AQ67" s="824"/>
      <c r="AR67" s="824"/>
      <c r="AS67" s="824"/>
      <c r="AT67" s="824"/>
      <c r="AU67" s="824"/>
      <c r="AV67" s="824"/>
      <c r="AW67" s="824"/>
      <c r="AX67" s="824"/>
      <c r="AY67" s="824"/>
      <c r="AZ67" s="824"/>
      <c r="BA67" s="824"/>
      <c r="BB67" s="824"/>
      <c r="BC67" s="824"/>
      <c r="BD67" s="824"/>
      <c r="BE67" s="824"/>
      <c r="BF67" s="824"/>
      <c r="BG67" s="824"/>
      <c r="BH67" s="824"/>
      <c r="BI67" s="824"/>
      <c r="BJ67" s="824"/>
      <c r="BK67" s="824"/>
      <c r="BL67" s="824"/>
      <c r="BM67" s="824"/>
      <c r="BN67" s="824"/>
      <c r="BO67" s="824"/>
      <c r="BP67" s="824"/>
      <c r="BQ67" s="824"/>
      <c r="BR67" s="824"/>
      <c r="BS67" s="824"/>
      <c r="BT67" s="824"/>
      <c r="BU67" s="824"/>
      <c r="BV67" s="824"/>
      <c r="BW67" s="824"/>
      <c r="BX67" s="824"/>
      <c r="BY67" s="824"/>
      <c r="BZ67" s="824"/>
      <c r="CA67" s="824"/>
      <c r="CB67" s="824"/>
      <c r="CC67" s="824"/>
      <c r="CD67" s="824"/>
      <c r="CE67" s="824"/>
      <c r="CF67" s="824"/>
      <c r="CG67" s="824"/>
      <c r="CH67" s="824"/>
      <c r="CI67" s="824"/>
      <c r="CJ67" s="824"/>
      <c r="CK67" s="824"/>
      <c r="CL67" s="824"/>
      <c r="CM67" s="824"/>
      <c r="CN67" s="824"/>
      <c r="CO67" s="824"/>
      <c r="CP67" s="824"/>
      <c r="CQ67" s="824"/>
      <c r="CR67" s="824"/>
      <c r="CS67" s="824"/>
      <c r="CT67" s="824"/>
      <c r="CU67" s="824"/>
      <c r="CV67" s="824"/>
      <c r="CW67" s="824"/>
      <c r="CX67" s="824"/>
      <c r="CY67" s="824"/>
      <c r="CZ67" s="824"/>
      <c r="DA67" s="824"/>
      <c r="DB67" s="824"/>
      <c r="DC67" s="824"/>
      <c r="DD67" s="824"/>
      <c r="DE67" s="824"/>
      <c r="DF67" s="824"/>
      <c r="DG67" s="824"/>
      <c r="DH67" s="824"/>
      <c r="DI67" s="824"/>
      <c r="DJ67" s="824"/>
      <c r="DK67" s="824"/>
      <c r="DL67" s="824"/>
      <c r="DM67" s="825">
        <v>0</v>
      </c>
      <c r="DN67" s="825">
        <v>4.4000000000000004</v>
      </c>
      <c r="DO67" s="825">
        <v>4.4000000000000004</v>
      </c>
      <c r="DP67" s="825">
        <v>0</v>
      </c>
      <c r="DQ67" s="825">
        <v>0</v>
      </c>
      <c r="DR67" s="825">
        <v>0</v>
      </c>
      <c r="DS67" s="825">
        <v>0</v>
      </c>
      <c r="DT67" s="825">
        <v>0</v>
      </c>
      <c r="DU67" s="825">
        <v>0</v>
      </c>
      <c r="DV67" s="825">
        <v>0</v>
      </c>
      <c r="DW67" s="825">
        <v>0</v>
      </c>
      <c r="DX67" s="825">
        <v>0</v>
      </c>
      <c r="DY67" s="825">
        <v>0</v>
      </c>
      <c r="DZ67" s="825">
        <v>0</v>
      </c>
      <c r="EA67" s="825">
        <v>0</v>
      </c>
      <c r="EB67" s="825">
        <v>0</v>
      </c>
      <c r="EC67" s="825">
        <v>0</v>
      </c>
      <c r="ED67" s="825">
        <v>0</v>
      </c>
      <c r="EE67" s="825">
        <v>0</v>
      </c>
      <c r="EF67" s="825">
        <v>0</v>
      </c>
      <c r="EG67" s="825">
        <v>0</v>
      </c>
      <c r="EH67" s="825">
        <v>0</v>
      </c>
      <c r="EI67" s="825">
        <v>0</v>
      </c>
      <c r="EJ67" s="825">
        <v>0</v>
      </c>
      <c r="EK67" s="825">
        <v>0</v>
      </c>
      <c r="EL67" s="825">
        <v>0</v>
      </c>
      <c r="EM67" s="825">
        <v>0</v>
      </c>
      <c r="EN67" s="825">
        <v>0</v>
      </c>
      <c r="EO67" s="825">
        <v>0</v>
      </c>
      <c r="EP67" s="825">
        <v>0</v>
      </c>
      <c r="EQ67" s="825">
        <v>0</v>
      </c>
      <c r="ER67" s="825">
        <v>0</v>
      </c>
      <c r="ES67" s="825">
        <v>0</v>
      </c>
      <c r="ET67" s="825">
        <v>0</v>
      </c>
      <c r="EU67" s="825">
        <v>0</v>
      </c>
      <c r="EV67" s="825">
        <v>0</v>
      </c>
      <c r="EW67" s="825">
        <v>0</v>
      </c>
      <c r="EX67" s="825">
        <v>0</v>
      </c>
      <c r="EY67" s="825">
        <v>0</v>
      </c>
      <c r="EZ67" s="825">
        <v>0</v>
      </c>
      <c r="FA67" s="825">
        <v>0</v>
      </c>
      <c r="FB67" s="825">
        <v>0</v>
      </c>
      <c r="FC67" s="825">
        <v>0</v>
      </c>
      <c r="FD67" s="825">
        <v>0</v>
      </c>
      <c r="FE67" s="825">
        <v>0</v>
      </c>
      <c r="FF67" s="825">
        <v>0</v>
      </c>
      <c r="FG67" s="825">
        <v>0</v>
      </c>
      <c r="FH67" s="825">
        <v>0</v>
      </c>
      <c r="FI67" s="825">
        <v>0</v>
      </c>
      <c r="FJ67" s="825">
        <v>0</v>
      </c>
      <c r="FK67" s="825">
        <v>0</v>
      </c>
      <c r="FL67" s="825">
        <v>0</v>
      </c>
      <c r="FM67" s="825">
        <v>0</v>
      </c>
      <c r="FN67" s="825">
        <v>0</v>
      </c>
      <c r="FO67" s="825">
        <v>0</v>
      </c>
      <c r="FP67" s="825">
        <v>0</v>
      </c>
      <c r="FQ67" s="825">
        <v>0</v>
      </c>
      <c r="FR67" s="825">
        <v>0</v>
      </c>
      <c r="FS67" s="825">
        <v>0</v>
      </c>
      <c r="FT67" s="825">
        <v>0</v>
      </c>
      <c r="FU67" s="825">
        <v>0</v>
      </c>
      <c r="FV67" s="825">
        <v>0</v>
      </c>
      <c r="FW67" s="825">
        <v>0</v>
      </c>
      <c r="FX67" s="825">
        <v>0</v>
      </c>
      <c r="FY67" s="825">
        <v>0</v>
      </c>
      <c r="FZ67" s="825">
        <v>0</v>
      </c>
      <c r="GA67" s="825">
        <v>0</v>
      </c>
      <c r="GB67" s="825">
        <v>0</v>
      </c>
      <c r="GC67" s="825">
        <v>0</v>
      </c>
      <c r="GD67" s="825">
        <v>0</v>
      </c>
      <c r="GE67" s="825">
        <v>0</v>
      </c>
      <c r="GF67" s="825">
        <v>0</v>
      </c>
      <c r="GG67" s="825">
        <v>0</v>
      </c>
      <c r="GH67" s="825">
        <v>0</v>
      </c>
      <c r="GI67" s="825">
        <v>0</v>
      </c>
      <c r="GJ67" s="825">
        <v>0</v>
      </c>
      <c r="GK67" s="825">
        <v>0</v>
      </c>
      <c r="GL67" s="825">
        <v>0</v>
      </c>
      <c r="GM67" s="825">
        <v>0</v>
      </c>
      <c r="GN67" s="825">
        <v>0</v>
      </c>
      <c r="GO67" s="825">
        <v>0</v>
      </c>
      <c r="GP67" s="825">
        <v>0</v>
      </c>
      <c r="GQ67" s="825">
        <v>0</v>
      </c>
      <c r="GR67" s="825">
        <v>0</v>
      </c>
      <c r="GS67" s="825">
        <v>0</v>
      </c>
      <c r="GT67" s="825">
        <v>0</v>
      </c>
      <c r="GU67" s="825">
        <v>0</v>
      </c>
      <c r="GV67" s="825">
        <v>0</v>
      </c>
      <c r="GW67" s="825">
        <v>0</v>
      </c>
      <c r="GX67" s="825">
        <v>0</v>
      </c>
      <c r="GY67" s="825">
        <v>0</v>
      </c>
      <c r="GZ67" s="825">
        <v>0</v>
      </c>
      <c r="HA67" s="825">
        <v>0</v>
      </c>
      <c r="HB67" s="825">
        <v>0</v>
      </c>
      <c r="HC67" s="825">
        <v>0</v>
      </c>
      <c r="HD67" s="825">
        <v>0</v>
      </c>
      <c r="HE67" s="825">
        <v>0</v>
      </c>
      <c r="HF67" s="825">
        <v>0</v>
      </c>
      <c r="HG67" s="825">
        <v>0</v>
      </c>
      <c r="HH67" s="825">
        <v>0</v>
      </c>
      <c r="HI67" s="825">
        <v>0</v>
      </c>
      <c r="HJ67" s="825">
        <v>0</v>
      </c>
      <c r="HK67" s="825">
        <v>0</v>
      </c>
      <c r="HL67" s="825">
        <v>0</v>
      </c>
      <c r="HM67" s="825">
        <v>0</v>
      </c>
      <c r="HN67" s="825">
        <v>0</v>
      </c>
      <c r="HO67" s="825">
        <v>0</v>
      </c>
      <c r="HP67" s="825">
        <v>0</v>
      </c>
      <c r="HQ67" s="825">
        <v>0</v>
      </c>
      <c r="HR67" s="825">
        <v>0</v>
      </c>
      <c r="HS67" s="825">
        <v>0</v>
      </c>
      <c r="HT67" s="825">
        <v>0</v>
      </c>
      <c r="HU67" s="825">
        <v>0</v>
      </c>
    </row>
    <row r="68" spans="1:229" ht="114.75">
      <c r="A68" s="823" t="s">
        <v>515</v>
      </c>
      <c r="B68" s="823" t="s">
        <v>1534</v>
      </c>
      <c r="C68" s="823" t="s">
        <v>1535</v>
      </c>
      <c r="D68" s="826" t="s">
        <v>1536</v>
      </c>
      <c r="E68" s="824" t="s">
        <v>1537</v>
      </c>
      <c r="F68" s="826" t="s">
        <v>1538</v>
      </c>
      <c r="G68" s="824" t="s">
        <v>1539</v>
      </c>
      <c r="H68" s="826" t="s">
        <v>1540</v>
      </c>
      <c r="I68" s="824"/>
      <c r="J68" s="824"/>
      <c r="K68" s="824"/>
      <c r="L68" s="824"/>
      <c r="M68" s="824"/>
      <c r="N68" s="824"/>
      <c r="O68" s="824"/>
      <c r="P68" s="824"/>
      <c r="Q68" s="824"/>
      <c r="R68" s="824"/>
      <c r="S68" s="824"/>
      <c r="T68" s="824"/>
      <c r="U68" s="824"/>
      <c r="V68" s="824"/>
      <c r="W68" s="824"/>
      <c r="X68" s="824"/>
      <c r="Y68" s="824"/>
      <c r="Z68" s="824"/>
      <c r="AA68" s="824"/>
      <c r="AB68" s="824"/>
      <c r="AC68" s="824"/>
      <c r="AD68" s="824"/>
      <c r="AE68" s="824"/>
      <c r="AF68" s="824"/>
      <c r="AG68" s="824"/>
      <c r="AH68" s="824"/>
      <c r="AI68" s="824"/>
      <c r="AJ68" s="824"/>
      <c r="AK68" s="824"/>
      <c r="AL68" s="824"/>
      <c r="AM68" s="824"/>
      <c r="AN68" s="824"/>
      <c r="AO68" s="824"/>
      <c r="AP68" s="824"/>
      <c r="AQ68" s="824"/>
      <c r="AR68" s="824"/>
      <c r="AS68" s="824"/>
      <c r="AT68" s="824"/>
      <c r="AU68" s="824"/>
      <c r="AV68" s="824"/>
      <c r="AW68" s="824"/>
      <c r="AX68" s="824"/>
      <c r="AY68" s="824"/>
      <c r="AZ68" s="824"/>
      <c r="BA68" s="824"/>
      <c r="BB68" s="824"/>
      <c r="BC68" s="824"/>
      <c r="BD68" s="824"/>
      <c r="BE68" s="824"/>
      <c r="BF68" s="824"/>
      <c r="BG68" s="824"/>
      <c r="BH68" s="824"/>
      <c r="BI68" s="824"/>
      <c r="BJ68" s="824"/>
      <c r="BK68" s="824"/>
      <c r="BL68" s="824"/>
      <c r="BM68" s="824"/>
      <c r="BN68" s="824"/>
      <c r="BO68" s="824"/>
      <c r="BP68" s="824"/>
      <c r="BQ68" s="824"/>
      <c r="BR68" s="824"/>
      <c r="BS68" s="824"/>
      <c r="BT68" s="824"/>
      <c r="BU68" s="824"/>
      <c r="BV68" s="824"/>
      <c r="BW68" s="824"/>
      <c r="BX68" s="824"/>
      <c r="BY68" s="824"/>
      <c r="BZ68" s="824"/>
      <c r="CA68" s="824"/>
      <c r="CB68" s="824"/>
      <c r="CC68" s="824"/>
      <c r="CD68" s="824"/>
      <c r="CE68" s="824"/>
      <c r="CF68" s="824"/>
      <c r="CG68" s="824"/>
      <c r="CH68" s="824"/>
      <c r="CI68" s="824"/>
      <c r="CJ68" s="824"/>
      <c r="CK68" s="824"/>
      <c r="CL68" s="824"/>
      <c r="CM68" s="824"/>
      <c r="CN68" s="824"/>
      <c r="CO68" s="824"/>
      <c r="CP68" s="824"/>
      <c r="CQ68" s="824"/>
      <c r="CR68" s="824"/>
      <c r="CS68" s="824"/>
      <c r="CT68" s="824"/>
      <c r="CU68" s="824"/>
      <c r="CV68" s="824"/>
      <c r="CW68" s="824"/>
      <c r="CX68" s="824"/>
      <c r="CY68" s="824"/>
      <c r="CZ68" s="824"/>
      <c r="DA68" s="824"/>
      <c r="DB68" s="824"/>
      <c r="DC68" s="824"/>
      <c r="DD68" s="824"/>
      <c r="DE68" s="824"/>
      <c r="DF68" s="824"/>
      <c r="DG68" s="824"/>
      <c r="DH68" s="824"/>
      <c r="DI68" s="824"/>
      <c r="DJ68" s="824"/>
      <c r="DK68" s="824"/>
      <c r="DL68" s="824"/>
      <c r="DM68" s="825">
        <v>7.2</v>
      </c>
      <c r="DN68" s="825">
        <v>7.2</v>
      </c>
      <c r="DO68" s="825">
        <v>8.1</v>
      </c>
      <c r="DP68" s="825">
        <v>8.5</v>
      </c>
      <c r="DQ68" s="825">
        <v>7.4</v>
      </c>
      <c r="DR68" s="825">
        <v>0</v>
      </c>
      <c r="DS68" s="825">
        <v>0</v>
      </c>
      <c r="DT68" s="825">
        <v>0</v>
      </c>
      <c r="DU68" s="825">
        <v>0</v>
      </c>
      <c r="DV68" s="825">
        <v>0</v>
      </c>
      <c r="DW68" s="825">
        <v>0</v>
      </c>
      <c r="DX68" s="825">
        <v>0</v>
      </c>
      <c r="DY68" s="825">
        <v>0</v>
      </c>
      <c r="DZ68" s="825">
        <v>0</v>
      </c>
      <c r="EA68" s="825">
        <v>0</v>
      </c>
      <c r="EB68" s="825">
        <v>0</v>
      </c>
      <c r="EC68" s="825">
        <v>0</v>
      </c>
      <c r="ED68" s="825">
        <v>0</v>
      </c>
      <c r="EE68" s="825">
        <v>0</v>
      </c>
      <c r="EF68" s="825">
        <v>0</v>
      </c>
      <c r="EG68" s="825">
        <v>0</v>
      </c>
      <c r="EH68" s="825">
        <v>0</v>
      </c>
      <c r="EI68" s="825">
        <v>0</v>
      </c>
      <c r="EJ68" s="825">
        <v>0</v>
      </c>
      <c r="EK68" s="825">
        <v>0</v>
      </c>
      <c r="EL68" s="825">
        <v>0</v>
      </c>
      <c r="EM68" s="825">
        <v>0</v>
      </c>
      <c r="EN68" s="825">
        <v>0</v>
      </c>
      <c r="EO68" s="825">
        <v>0</v>
      </c>
      <c r="EP68" s="825">
        <v>0</v>
      </c>
      <c r="EQ68" s="825">
        <v>0</v>
      </c>
      <c r="ER68" s="825">
        <v>0</v>
      </c>
      <c r="ES68" s="825">
        <v>0</v>
      </c>
      <c r="ET68" s="825">
        <v>0</v>
      </c>
      <c r="EU68" s="825">
        <v>0</v>
      </c>
      <c r="EV68" s="825">
        <v>0</v>
      </c>
      <c r="EW68" s="825">
        <v>0</v>
      </c>
      <c r="EX68" s="825">
        <v>0</v>
      </c>
      <c r="EY68" s="825">
        <v>0</v>
      </c>
      <c r="EZ68" s="825">
        <v>0</v>
      </c>
      <c r="FA68" s="825">
        <v>0</v>
      </c>
      <c r="FB68" s="825">
        <v>0</v>
      </c>
      <c r="FC68" s="825">
        <v>0</v>
      </c>
      <c r="FD68" s="825">
        <v>0</v>
      </c>
      <c r="FE68" s="825">
        <v>0</v>
      </c>
      <c r="FF68" s="825">
        <v>0</v>
      </c>
      <c r="FG68" s="825">
        <v>0</v>
      </c>
      <c r="FH68" s="825">
        <v>0</v>
      </c>
      <c r="FI68" s="825">
        <v>0</v>
      </c>
      <c r="FJ68" s="825">
        <v>0</v>
      </c>
      <c r="FK68" s="825">
        <v>0</v>
      </c>
      <c r="FL68" s="825">
        <v>0</v>
      </c>
      <c r="FM68" s="825">
        <v>0</v>
      </c>
      <c r="FN68" s="825">
        <v>0</v>
      </c>
      <c r="FO68" s="825">
        <v>0</v>
      </c>
      <c r="FP68" s="825">
        <v>0</v>
      </c>
      <c r="FQ68" s="825">
        <v>0</v>
      </c>
      <c r="FR68" s="825">
        <v>0</v>
      </c>
      <c r="FS68" s="825">
        <v>0</v>
      </c>
      <c r="FT68" s="825">
        <v>0</v>
      </c>
      <c r="FU68" s="825">
        <v>0</v>
      </c>
      <c r="FV68" s="825">
        <v>0</v>
      </c>
      <c r="FW68" s="825">
        <v>0</v>
      </c>
      <c r="FX68" s="825">
        <v>0</v>
      </c>
      <c r="FY68" s="825">
        <v>0</v>
      </c>
      <c r="FZ68" s="825">
        <v>0</v>
      </c>
      <c r="GA68" s="825">
        <v>0</v>
      </c>
      <c r="GB68" s="825">
        <v>0</v>
      </c>
      <c r="GC68" s="825">
        <v>0</v>
      </c>
      <c r="GD68" s="825">
        <v>0</v>
      </c>
      <c r="GE68" s="825">
        <v>0</v>
      </c>
      <c r="GF68" s="825">
        <v>0</v>
      </c>
      <c r="GG68" s="825">
        <v>0</v>
      </c>
      <c r="GH68" s="825">
        <v>0</v>
      </c>
      <c r="GI68" s="825">
        <v>0</v>
      </c>
      <c r="GJ68" s="825">
        <v>0</v>
      </c>
      <c r="GK68" s="825">
        <v>0</v>
      </c>
      <c r="GL68" s="825">
        <v>0</v>
      </c>
      <c r="GM68" s="825">
        <v>0</v>
      </c>
      <c r="GN68" s="825">
        <v>0</v>
      </c>
      <c r="GO68" s="825">
        <v>0</v>
      </c>
      <c r="GP68" s="825">
        <v>0</v>
      </c>
      <c r="GQ68" s="825">
        <v>0</v>
      </c>
      <c r="GR68" s="825">
        <v>0</v>
      </c>
      <c r="GS68" s="825">
        <v>0</v>
      </c>
      <c r="GT68" s="825">
        <v>0</v>
      </c>
      <c r="GU68" s="825">
        <v>0</v>
      </c>
      <c r="GV68" s="825">
        <v>0</v>
      </c>
      <c r="GW68" s="825">
        <v>0</v>
      </c>
      <c r="GX68" s="825">
        <v>0</v>
      </c>
      <c r="GY68" s="825">
        <v>0</v>
      </c>
      <c r="GZ68" s="825">
        <v>0</v>
      </c>
      <c r="HA68" s="825">
        <v>0</v>
      </c>
      <c r="HB68" s="825">
        <v>0</v>
      </c>
      <c r="HC68" s="825">
        <v>0</v>
      </c>
      <c r="HD68" s="825">
        <v>0</v>
      </c>
      <c r="HE68" s="825">
        <v>0</v>
      </c>
      <c r="HF68" s="825">
        <v>0</v>
      </c>
      <c r="HG68" s="825">
        <v>0</v>
      </c>
      <c r="HH68" s="825">
        <v>0</v>
      </c>
      <c r="HI68" s="825">
        <v>0</v>
      </c>
      <c r="HJ68" s="825">
        <v>0</v>
      </c>
      <c r="HK68" s="825">
        <v>0</v>
      </c>
      <c r="HL68" s="825">
        <v>0</v>
      </c>
      <c r="HM68" s="825">
        <v>0</v>
      </c>
      <c r="HN68" s="825">
        <v>0</v>
      </c>
      <c r="HO68" s="825">
        <v>0</v>
      </c>
      <c r="HP68" s="825">
        <v>0</v>
      </c>
      <c r="HQ68" s="825">
        <v>0</v>
      </c>
      <c r="HR68" s="825">
        <v>0</v>
      </c>
      <c r="HS68" s="825">
        <v>0</v>
      </c>
      <c r="HT68" s="825">
        <v>0</v>
      </c>
      <c r="HU68" s="825">
        <v>0</v>
      </c>
    </row>
    <row r="69" spans="1:229" ht="204">
      <c r="A69" s="823" t="s">
        <v>515</v>
      </c>
      <c r="B69" s="823" t="s">
        <v>1541</v>
      </c>
      <c r="C69" s="823" t="s">
        <v>1542</v>
      </c>
      <c r="D69" s="826" t="s">
        <v>1543</v>
      </c>
      <c r="E69" s="824"/>
      <c r="F69" s="824" t="s">
        <v>1544</v>
      </c>
      <c r="G69" s="824"/>
      <c r="H69" s="824"/>
      <c r="I69" s="824"/>
      <c r="J69" s="824"/>
      <c r="K69" s="824"/>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4"/>
      <c r="AO69" s="824"/>
      <c r="AP69" s="824"/>
      <c r="AQ69" s="824"/>
      <c r="AR69" s="824"/>
      <c r="AS69" s="824"/>
      <c r="AT69" s="824"/>
      <c r="AU69" s="824"/>
      <c r="AV69" s="824"/>
      <c r="AW69" s="824"/>
      <c r="AX69" s="824"/>
      <c r="AY69" s="824"/>
      <c r="AZ69" s="824"/>
      <c r="BA69" s="824"/>
      <c r="BB69" s="824"/>
      <c r="BC69" s="824"/>
      <c r="BD69" s="824"/>
      <c r="BE69" s="824"/>
      <c r="BF69" s="824"/>
      <c r="BG69" s="824"/>
      <c r="BH69" s="824"/>
      <c r="BI69" s="824"/>
      <c r="BJ69" s="824"/>
      <c r="BK69" s="824"/>
      <c r="BL69" s="824"/>
      <c r="BM69" s="824"/>
      <c r="BN69" s="824"/>
      <c r="BO69" s="824"/>
      <c r="BP69" s="824"/>
      <c r="BQ69" s="824"/>
      <c r="BR69" s="824"/>
      <c r="BS69" s="824"/>
      <c r="BT69" s="824"/>
      <c r="BU69" s="824"/>
      <c r="BV69" s="824"/>
      <c r="BW69" s="824"/>
      <c r="BX69" s="824"/>
      <c r="BY69" s="824"/>
      <c r="BZ69" s="824"/>
      <c r="CA69" s="824"/>
      <c r="CB69" s="824"/>
      <c r="CC69" s="824"/>
      <c r="CD69" s="824"/>
      <c r="CE69" s="824"/>
      <c r="CF69" s="824"/>
      <c r="CG69" s="824"/>
      <c r="CH69" s="824"/>
      <c r="CI69" s="824"/>
      <c r="CJ69" s="824"/>
      <c r="CK69" s="824"/>
      <c r="CL69" s="824"/>
      <c r="CM69" s="824"/>
      <c r="CN69" s="824"/>
      <c r="CO69" s="824"/>
      <c r="CP69" s="824"/>
      <c r="CQ69" s="824"/>
      <c r="CR69" s="824"/>
      <c r="CS69" s="824"/>
      <c r="CT69" s="824"/>
      <c r="CU69" s="824"/>
      <c r="CV69" s="824"/>
      <c r="CW69" s="824"/>
      <c r="CX69" s="824"/>
      <c r="CY69" s="824"/>
      <c r="CZ69" s="824"/>
      <c r="DA69" s="824"/>
      <c r="DB69" s="824"/>
      <c r="DC69" s="824"/>
      <c r="DD69" s="824"/>
      <c r="DE69" s="824"/>
      <c r="DF69" s="824"/>
      <c r="DG69" s="824"/>
      <c r="DH69" s="824"/>
      <c r="DI69" s="824"/>
      <c r="DJ69" s="824"/>
      <c r="DK69" s="824"/>
      <c r="DL69" s="824"/>
      <c r="DM69" s="825">
        <v>7.1</v>
      </c>
      <c r="DN69" s="825">
        <v>0</v>
      </c>
      <c r="DO69" s="825">
        <v>7.1</v>
      </c>
      <c r="DP69" s="825">
        <v>0</v>
      </c>
      <c r="DQ69" s="825">
        <v>0</v>
      </c>
      <c r="DR69" s="825">
        <v>0</v>
      </c>
      <c r="DS69" s="825">
        <v>0</v>
      </c>
      <c r="DT69" s="825">
        <v>0</v>
      </c>
      <c r="DU69" s="825">
        <v>0</v>
      </c>
      <c r="DV69" s="825">
        <v>0</v>
      </c>
      <c r="DW69" s="825">
        <v>0</v>
      </c>
      <c r="DX69" s="825">
        <v>0</v>
      </c>
      <c r="DY69" s="825">
        <v>0</v>
      </c>
      <c r="DZ69" s="825">
        <v>0</v>
      </c>
      <c r="EA69" s="825">
        <v>0</v>
      </c>
      <c r="EB69" s="825">
        <v>0</v>
      </c>
      <c r="EC69" s="825">
        <v>0</v>
      </c>
      <c r="ED69" s="825">
        <v>0</v>
      </c>
      <c r="EE69" s="825">
        <v>0</v>
      </c>
      <c r="EF69" s="825">
        <v>0</v>
      </c>
      <c r="EG69" s="825">
        <v>0</v>
      </c>
      <c r="EH69" s="825">
        <v>0</v>
      </c>
      <c r="EI69" s="825">
        <v>0</v>
      </c>
      <c r="EJ69" s="825">
        <v>0</v>
      </c>
      <c r="EK69" s="825">
        <v>0</v>
      </c>
      <c r="EL69" s="825">
        <v>0</v>
      </c>
      <c r="EM69" s="825">
        <v>0</v>
      </c>
      <c r="EN69" s="825">
        <v>0</v>
      </c>
      <c r="EO69" s="825">
        <v>0</v>
      </c>
      <c r="EP69" s="825">
        <v>0</v>
      </c>
      <c r="EQ69" s="825">
        <v>0</v>
      </c>
      <c r="ER69" s="825">
        <v>0</v>
      </c>
      <c r="ES69" s="825">
        <v>0</v>
      </c>
      <c r="ET69" s="825">
        <v>0</v>
      </c>
      <c r="EU69" s="825">
        <v>0</v>
      </c>
      <c r="EV69" s="825">
        <v>0</v>
      </c>
      <c r="EW69" s="825">
        <v>0</v>
      </c>
      <c r="EX69" s="825">
        <v>0</v>
      </c>
      <c r="EY69" s="825">
        <v>0</v>
      </c>
      <c r="EZ69" s="825">
        <v>0</v>
      </c>
      <c r="FA69" s="825">
        <v>0</v>
      </c>
      <c r="FB69" s="825">
        <v>0</v>
      </c>
      <c r="FC69" s="825">
        <v>0</v>
      </c>
      <c r="FD69" s="825">
        <v>0</v>
      </c>
      <c r="FE69" s="825">
        <v>0</v>
      </c>
      <c r="FF69" s="825">
        <v>0</v>
      </c>
      <c r="FG69" s="825">
        <v>0</v>
      </c>
      <c r="FH69" s="825">
        <v>0</v>
      </c>
      <c r="FI69" s="825">
        <v>0</v>
      </c>
      <c r="FJ69" s="825">
        <v>0</v>
      </c>
      <c r="FK69" s="825">
        <v>0</v>
      </c>
      <c r="FL69" s="825">
        <v>0</v>
      </c>
      <c r="FM69" s="825">
        <v>0</v>
      </c>
      <c r="FN69" s="825">
        <v>0</v>
      </c>
      <c r="FO69" s="825">
        <v>0</v>
      </c>
      <c r="FP69" s="825">
        <v>0</v>
      </c>
      <c r="FQ69" s="825">
        <v>0</v>
      </c>
      <c r="FR69" s="825">
        <v>0</v>
      </c>
      <c r="FS69" s="825">
        <v>0</v>
      </c>
      <c r="FT69" s="825">
        <v>0</v>
      </c>
      <c r="FU69" s="825">
        <v>0</v>
      </c>
      <c r="FV69" s="825">
        <v>0</v>
      </c>
      <c r="FW69" s="825">
        <v>0</v>
      </c>
      <c r="FX69" s="825">
        <v>0</v>
      </c>
      <c r="FY69" s="825">
        <v>0</v>
      </c>
      <c r="FZ69" s="825">
        <v>0</v>
      </c>
      <c r="GA69" s="825">
        <v>0</v>
      </c>
      <c r="GB69" s="825">
        <v>0</v>
      </c>
      <c r="GC69" s="825">
        <v>0</v>
      </c>
      <c r="GD69" s="825">
        <v>0</v>
      </c>
      <c r="GE69" s="825">
        <v>0</v>
      </c>
      <c r="GF69" s="825">
        <v>0</v>
      </c>
      <c r="GG69" s="825">
        <v>0</v>
      </c>
      <c r="GH69" s="825">
        <v>0</v>
      </c>
      <c r="GI69" s="825">
        <v>0</v>
      </c>
      <c r="GJ69" s="825">
        <v>0</v>
      </c>
      <c r="GK69" s="825">
        <v>0</v>
      </c>
      <c r="GL69" s="825">
        <v>0</v>
      </c>
      <c r="GM69" s="825">
        <v>0</v>
      </c>
      <c r="GN69" s="825">
        <v>0</v>
      </c>
      <c r="GO69" s="825">
        <v>0</v>
      </c>
      <c r="GP69" s="825">
        <v>0</v>
      </c>
      <c r="GQ69" s="825">
        <v>0</v>
      </c>
      <c r="GR69" s="825">
        <v>0</v>
      </c>
      <c r="GS69" s="825">
        <v>0</v>
      </c>
      <c r="GT69" s="825">
        <v>0</v>
      </c>
      <c r="GU69" s="825">
        <v>0</v>
      </c>
      <c r="GV69" s="825">
        <v>0</v>
      </c>
      <c r="GW69" s="825">
        <v>0</v>
      </c>
      <c r="GX69" s="825">
        <v>0</v>
      </c>
      <c r="GY69" s="825">
        <v>0</v>
      </c>
      <c r="GZ69" s="825">
        <v>0</v>
      </c>
      <c r="HA69" s="825">
        <v>0</v>
      </c>
      <c r="HB69" s="825">
        <v>0</v>
      </c>
      <c r="HC69" s="825">
        <v>0</v>
      </c>
      <c r="HD69" s="825">
        <v>0</v>
      </c>
      <c r="HE69" s="825">
        <v>0</v>
      </c>
      <c r="HF69" s="825">
        <v>0</v>
      </c>
      <c r="HG69" s="825">
        <v>0</v>
      </c>
      <c r="HH69" s="825">
        <v>0</v>
      </c>
      <c r="HI69" s="825">
        <v>0</v>
      </c>
      <c r="HJ69" s="825">
        <v>0</v>
      </c>
      <c r="HK69" s="825">
        <v>0</v>
      </c>
      <c r="HL69" s="825">
        <v>0</v>
      </c>
      <c r="HM69" s="825">
        <v>0</v>
      </c>
      <c r="HN69" s="825">
        <v>0</v>
      </c>
      <c r="HO69" s="825">
        <v>0</v>
      </c>
      <c r="HP69" s="825">
        <v>0</v>
      </c>
      <c r="HQ69" s="825">
        <v>0</v>
      </c>
      <c r="HR69" s="825">
        <v>0</v>
      </c>
      <c r="HS69" s="825">
        <v>0</v>
      </c>
      <c r="HT69" s="825">
        <v>0</v>
      </c>
      <c r="HU69" s="825">
        <v>0</v>
      </c>
    </row>
    <row r="70" spans="1:229" ht="25.5">
      <c r="A70" s="823" t="s">
        <v>515</v>
      </c>
      <c r="B70" s="823" t="s">
        <v>1545</v>
      </c>
      <c r="C70" s="823" t="s">
        <v>1546</v>
      </c>
      <c r="D70" s="824" t="s">
        <v>1547</v>
      </c>
      <c r="E70" s="824"/>
      <c r="F70" s="824"/>
      <c r="G70" s="824"/>
      <c r="H70" s="824"/>
      <c r="I70" s="824"/>
      <c r="J70" s="824"/>
      <c r="K70" s="824"/>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4"/>
      <c r="AO70" s="824"/>
      <c r="AP70" s="824"/>
      <c r="AQ70" s="824"/>
      <c r="AR70" s="824"/>
      <c r="AS70" s="824"/>
      <c r="AT70" s="824"/>
      <c r="AU70" s="824"/>
      <c r="AV70" s="824"/>
      <c r="AW70" s="824"/>
      <c r="AX70" s="824"/>
      <c r="AY70" s="824"/>
      <c r="AZ70" s="824"/>
      <c r="BA70" s="824"/>
      <c r="BB70" s="824"/>
      <c r="BC70" s="824"/>
      <c r="BD70" s="824"/>
      <c r="BE70" s="824"/>
      <c r="BF70" s="824"/>
      <c r="BG70" s="824"/>
      <c r="BH70" s="824"/>
      <c r="BI70" s="824"/>
      <c r="BJ70" s="824"/>
      <c r="BK70" s="824"/>
      <c r="BL70" s="824"/>
      <c r="BM70" s="824"/>
      <c r="BN70" s="824"/>
      <c r="BO70" s="824"/>
      <c r="BP70" s="824"/>
      <c r="BQ70" s="824"/>
      <c r="BR70" s="824"/>
      <c r="BS70" s="824"/>
      <c r="BT70" s="824"/>
      <c r="BU70" s="824"/>
      <c r="BV70" s="824"/>
      <c r="BW70" s="824"/>
      <c r="BX70" s="824"/>
      <c r="BY70" s="824"/>
      <c r="BZ70" s="824"/>
      <c r="CA70" s="824"/>
      <c r="CB70" s="824"/>
      <c r="CC70" s="824"/>
      <c r="CD70" s="824"/>
      <c r="CE70" s="824"/>
      <c r="CF70" s="824"/>
      <c r="CG70" s="824"/>
      <c r="CH70" s="824"/>
      <c r="CI70" s="824"/>
      <c r="CJ70" s="824"/>
      <c r="CK70" s="824"/>
      <c r="CL70" s="824"/>
      <c r="CM70" s="824"/>
      <c r="CN70" s="824"/>
      <c r="CO70" s="824"/>
      <c r="CP70" s="824"/>
      <c r="CQ70" s="824"/>
      <c r="CR70" s="824"/>
      <c r="CS70" s="824"/>
      <c r="CT70" s="824"/>
      <c r="CU70" s="824"/>
      <c r="CV70" s="824"/>
      <c r="CW70" s="824"/>
      <c r="CX70" s="824"/>
      <c r="CY70" s="824"/>
      <c r="CZ70" s="824"/>
      <c r="DA70" s="824"/>
      <c r="DB70" s="824"/>
      <c r="DC70" s="824"/>
      <c r="DD70" s="824"/>
      <c r="DE70" s="824"/>
      <c r="DF70" s="824"/>
      <c r="DG70" s="824"/>
      <c r="DH70" s="824"/>
      <c r="DI70" s="824"/>
      <c r="DJ70" s="824"/>
      <c r="DK70" s="824"/>
      <c r="DL70" s="824"/>
      <c r="DM70" s="825">
        <v>8.9</v>
      </c>
      <c r="DN70" s="825">
        <v>0</v>
      </c>
      <c r="DO70" s="825">
        <v>0</v>
      </c>
      <c r="DP70" s="825">
        <v>0</v>
      </c>
      <c r="DQ70" s="825">
        <v>0</v>
      </c>
      <c r="DR70" s="825">
        <v>0</v>
      </c>
      <c r="DS70" s="825">
        <v>0</v>
      </c>
      <c r="DT70" s="825">
        <v>0</v>
      </c>
      <c r="DU70" s="825">
        <v>0</v>
      </c>
      <c r="DV70" s="825">
        <v>0</v>
      </c>
      <c r="DW70" s="825">
        <v>0</v>
      </c>
      <c r="DX70" s="825">
        <v>0</v>
      </c>
      <c r="DY70" s="825">
        <v>0</v>
      </c>
      <c r="DZ70" s="825">
        <v>0</v>
      </c>
      <c r="EA70" s="825">
        <v>0</v>
      </c>
      <c r="EB70" s="825">
        <v>0</v>
      </c>
      <c r="EC70" s="825">
        <v>0</v>
      </c>
      <c r="ED70" s="825">
        <v>0</v>
      </c>
      <c r="EE70" s="825">
        <v>0</v>
      </c>
      <c r="EF70" s="825">
        <v>0</v>
      </c>
      <c r="EG70" s="825">
        <v>0</v>
      </c>
      <c r="EH70" s="825">
        <v>0</v>
      </c>
      <c r="EI70" s="825">
        <v>0</v>
      </c>
      <c r="EJ70" s="825">
        <v>0</v>
      </c>
      <c r="EK70" s="825">
        <v>0</v>
      </c>
      <c r="EL70" s="825">
        <v>0</v>
      </c>
      <c r="EM70" s="825">
        <v>0</v>
      </c>
      <c r="EN70" s="825">
        <v>0</v>
      </c>
      <c r="EO70" s="825">
        <v>0</v>
      </c>
      <c r="EP70" s="825">
        <v>0</v>
      </c>
      <c r="EQ70" s="825">
        <v>0</v>
      </c>
      <c r="ER70" s="825">
        <v>0</v>
      </c>
      <c r="ES70" s="825">
        <v>0</v>
      </c>
      <c r="ET70" s="825">
        <v>0</v>
      </c>
      <c r="EU70" s="825">
        <v>0</v>
      </c>
      <c r="EV70" s="825">
        <v>0</v>
      </c>
      <c r="EW70" s="825">
        <v>0</v>
      </c>
      <c r="EX70" s="825">
        <v>0</v>
      </c>
      <c r="EY70" s="825">
        <v>0</v>
      </c>
      <c r="EZ70" s="825">
        <v>0</v>
      </c>
      <c r="FA70" s="825">
        <v>0</v>
      </c>
      <c r="FB70" s="825">
        <v>0</v>
      </c>
      <c r="FC70" s="825">
        <v>0</v>
      </c>
      <c r="FD70" s="825">
        <v>0</v>
      </c>
      <c r="FE70" s="825">
        <v>0</v>
      </c>
      <c r="FF70" s="825">
        <v>0</v>
      </c>
      <c r="FG70" s="825">
        <v>0</v>
      </c>
      <c r="FH70" s="825">
        <v>0</v>
      </c>
      <c r="FI70" s="825">
        <v>0</v>
      </c>
      <c r="FJ70" s="825">
        <v>0</v>
      </c>
      <c r="FK70" s="825">
        <v>0</v>
      </c>
      <c r="FL70" s="825">
        <v>0</v>
      </c>
      <c r="FM70" s="825">
        <v>0</v>
      </c>
      <c r="FN70" s="825">
        <v>0</v>
      </c>
      <c r="FO70" s="825">
        <v>0</v>
      </c>
      <c r="FP70" s="825">
        <v>0</v>
      </c>
      <c r="FQ70" s="825">
        <v>0</v>
      </c>
      <c r="FR70" s="825">
        <v>0</v>
      </c>
      <c r="FS70" s="825">
        <v>0</v>
      </c>
      <c r="FT70" s="825">
        <v>0</v>
      </c>
      <c r="FU70" s="825">
        <v>0</v>
      </c>
      <c r="FV70" s="825">
        <v>0</v>
      </c>
      <c r="FW70" s="825">
        <v>0</v>
      </c>
      <c r="FX70" s="825">
        <v>0</v>
      </c>
      <c r="FY70" s="825">
        <v>0</v>
      </c>
      <c r="FZ70" s="825">
        <v>0</v>
      </c>
      <c r="GA70" s="825">
        <v>0</v>
      </c>
      <c r="GB70" s="825">
        <v>0</v>
      </c>
      <c r="GC70" s="825">
        <v>0</v>
      </c>
      <c r="GD70" s="825">
        <v>0</v>
      </c>
      <c r="GE70" s="825">
        <v>0</v>
      </c>
      <c r="GF70" s="825">
        <v>0</v>
      </c>
      <c r="GG70" s="825">
        <v>0</v>
      </c>
      <c r="GH70" s="825">
        <v>0</v>
      </c>
      <c r="GI70" s="825">
        <v>0</v>
      </c>
      <c r="GJ70" s="825">
        <v>0</v>
      </c>
      <c r="GK70" s="825">
        <v>0</v>
      </c>
      <c r="GL70" s="825">
        <v>0</v>
      </c>
      <c r="GM70" s="825">
        <v>0</v>
      </c>
      <c r="GN70" s="825">
        <v>0</v>
      </c>
      <c r="GO70" s="825">
        <v>0</v>
      </c>
      <c r="GP70" s="825">
        <v>0</v>
      </c>
      <c r="GQ70" s="825">
        <v>0</v>
      </c>
      <c r="GR70" s="825">
        <v>0</v>
      </c>
      <c r="GS70" s="825">
        <v>0</v>
      </c>
      <c r="GT70" s="825">
        <v>0</v>
      </c>
      <c r="GU70" s="825">
        <v>0</v>
      </c>
      <c r="GV70" s="825">
        <v>0</v>
      </c>
      <c r="GW70" s="825">
        <v>0</v>
      </c>
      <c r="GX70" s="825">
        <v>0</v>
      </c>
      <c r="GY70" s="825">
        <v>0</v>
      </c>
      <c r="GZ70" s="825">
        <v>0</v>
      </c>
      <c r="HA70" s="825">
        <v>0</v>
      </c>
      <c r="HB70" s="825">
        <v>0</v>
      </c>
      <c r="HC70" s="825">
        <v>0</v>
      </c>
      <c r="HD70" s="825">
        <v>0</v>
      </c>
      <c r="HE70" s="825">
        <v>0</v>
      </c>
      <c r="HF70" s="825">
        <v>0</v>
      </c>
      <c r="HG70" s="825">
        <v>0</v>
      </c>
      <c r="HH70" s="825">
        <v>0</v>
      </c>
      <c r="HI70" s="825">
        <v>0</v>
      </c>
      <c r="HJ70" s="825">
        <v>0</v>
      </c>
      <c r="HK70" s="825">
        <v>0</v>
      </c>
      <c r="HL70" s="825">
        <v>0</v>
      </c>
      <c r="HM70" s="825">
        <v>0</v>
      </c>
      <c r="HN70" s="825">
        <v>0</v>
      </c>
      <c r="HO70" s="825">
        <v>0</v>
      </c>
      <c r="HP70" s="825">
        <v>0</v>
      </c>
      <c r="HQ70" s="825">
        <v>0</v>
      </c>
      <c r="HR70" s="825">
        <v>0</v>
      </c>
      <c r="HS70" s="825">
        <v>0</v>
      </c>
      <c r="HT70" s="825">
        <v>0</v>
      </c>
      <c r="HU70" s="825">
        <v>0</v>
      </c>
    </row>
    <row r="71" spans="1:229" ht="165.75">
      <c r="A71" s="823" t="s">
        <v>515</v>
      </c>
      <c r="B71" s="823" t="s">
        <v>1548</v>
      </c>
      <c r="C71" s="823" t="s">
        <v>1549</v>
      </c>
      <c r="D71" s="824" t="s">
        <v>1550</v>
      </c>
      <c r="E71" s="826" t="s">
        <v>1551</v>
      </c>
      <c r="F71" s="824" t="s">
        <v>1552</v>
      </c>
      <c r="G71" s="824"/>
      <c r="H71" s="826" t="s">
        <v>1553</v>
      </c>
      <c r="I71" s="824"/>
      <c r="J71" s="824" t="s">
        <v>1554</v>
      </c>
      <c r="K71" s="824" t="s">
        <v>1555</v>
      </c>
      <c r="L71" s="824" t="s">
        <v>1556</v>
      </c>
      <c r="M71" s="826" t="s">
        <v>1557</v>
      </c>
      <c r="N71" s="824" t="s">
        <v>1558</v>
      </c>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4"/>
      <c r="AO71" s="824"/>
      <c r="AP71" s="824"/>
      <c r="AQ71" s="824"/>
      <c r="AR71" s="824"/>
      <c r="AS71" s="824"/>
      <c r="AT71" s="824"/>
      <c r="AU71" s="824"/>
      <c r="AV71" s="824"/>
      <c r="AW71" s="824"/>
      <c r="AX71" s="824"/>
      <c r="AY71" s="824"/>
      <c r="AZ71" s="824"/>
      <c r="BA71" s="824"/>
      <c r="BB71" s="824"/>
      <c r="BC71" s="824"/>
      <c r="BD71" s="824"/>
      <c r="BE71" s="824"/>
      <c r="BF71" s="824"/>
      <c r="BG71" s="824"/>
      <c r="BH71" s="824"/>
      <c r="BI71" s="824"/>
      <c r="BJ71" s="824"/>
      <c r="BK71" s="824"/>
      <c r="BL71" s="824"/>
      <c r="BM71" s="824"/>
      <c r="BN71" s="824"/>
      <c r="BO71" s="824"/>
      <c r="BP71" s="824"/>
      <c r="BQ71" s="824"/>
      <c r="BR71" s="824"/>
      <c r="BS71" s="824"/>
      <c r="BT71" s="824"/>
      <c r="BU71" s="824"/>
      <c r="BV71" s="824"/>
      <c r="BW71" s="824"/>
      <c r="BX71" s="824"/>
      <c r="BY71" s="824"/>
      <c r="BZ71" s="824"/>
      <c r="CA71" s="824"/>
      <c r="CB71" s="824"/>
      <c r="CC71" s="824"/>
      <c r="CD71" s="824"/>
      <c r="CE71" s="824"/>
      <c r="CF71" s="824"/>
      <c r="CG71" s="824"/>
      <c r="CH71" s="824"/>
      <c r="CI71" s="824"/>
      <c r="CJ71" s="824"/>
      <c r="CK71" s="824"/>
      <c r="CL71" s="824"/>
      <c r="CM71" s="824"/>
      <c r="CN71" s="824"/>
      <c r="CO71" s="824"/>
      <c r="CP71" s="824"/>
      <c r="CQ71" s="824"/>
      <c r="CR71" s="824"/>
      <c r="CS71" s="824"/>
      <c r="CT71" s="824"/>
      <c r="CU71" s="824"/>
      <c r="CV71" s="824"/>
      <c r="CW71" s="824"/>
      <c r="CX71" s="824"/>
      <c r="CY71" s="824"/>
      <c r="CZ71" s="824"/>
      <c r="DA71" s="824"/>
      <c r="DB71" s="824"/>
      <c r="DC71" s="824"/>
      <c r="DD71" s="824"/>
      <c r="DE71" s="824"/>
      <c r="DF71" s="824"/>
      <c r="DG71" s="824"/>
      <c r="DH71" s="824"/>
      <c r="DI71" s="824"/>
      <c r="DJ71" s="824"/>
      <c r="DK71" s="824"/>
      <c r="DL71" s="824"/>
      <c r="DM71" s="825">
        <v>8.4</v>
      </c>
      <c r="DN71" s="825">
        <v>7.8</v>
      </c>
      <c r="DO71" s="825">
        <v>5.5</v>
      </c>
      <c r="DP71" s="825">
        <v>0</v>
      </c>
      <c r="DQ71" s="825">
        <v>5.6</v>
      </c>
      <c r="DR71" s="825">
        <v>0</v>
      </c>
      <c r="DS71" s="825">
        <v>5.8</v>
      </c>
      <c r="DT71" s="825">
        <v>4.5999999999999996</v>
      </c>
      <c r="DU71" s="825">
        <v>7.4</v>
      </c>
      <c r="DV71" s="825">
        <v>6.5</v>
      </c>
      <c r="DW71" s="825">
        <v>6.9</v>
      </c>
      <c r="DX71" s="825">
        <v>0</v>
      </c>
      <c r="DY71" s="825">
        <v>0</v>
      </c>
      <c r="DZ71" s="825">
        <v>0</v>
      </c>
      <c r="EA71" s="825">
        <v>0</v>
      </c>
      <c r="EB71" s="825">
        <v>0</v>
      </c>
      <c r="EC71" s="825">
        <v>0</v>
      </c>
      <c r="ED71" s="825">
        <v>0</v>
      </c>
      <c r="EE71" s="825">
        <v>0</v>
      </c>
      <c r="EF71" s="825">
        <v>0</v>
      </c>
      <c r="EG71" s="825">
        <v>0</v>
      </c>
      <c r="EH71" s="825">
        <v>0</v>
      </c>
      <c r="EI71" s="825">
        <v>0</v>
      </c>
      <c r="EJ71" s="825">
        <v>0</v>
      </c>
      <c r="EK71" s="825">
        <v>0</v>
      </c>
      <c r="EL71" s="825">
        <v>0</v>
      </c>
      <c r="EM71" s="825">
        <v>0</v>
      </c>
      <c r="EN71" s="825">
        <v>0</v>
      </c>
      <c r="EO71" s="825">
        <v>0</v>
      </c>
      <c r="EP71" s="825">
        <v>0</v>
      </c>
      <c r="EQ71" s="825">
        <v>0</v>
      </c>
      <c r="ER71" s="825">
        <v>0</v>
      </c>
      <c r="ES71" s="825">
        <v>0</v>
      </c>
      <c r="ET71" s="825">
        <v>0</v>
      </c>
      <c r="EU71" s="825">
        <v>0</v>
      </c>
      <c r="EV71" s="825">
        <v>0</v>
      </c>
      <c r="EW71" s="825">
        <v>0</v>
      </c>
      <c r="EX71" s="825">
        <v>0</v>
      </c>
      <c r="EY71" s="825">
        <v>0</v>
      </c>
      <c r="EZ71" s="825">
        <v>0</v>
      </c>
      <c r="FA71" s="825">
        <v>0</v>
      </c>
      <c r="FB71" s="825">
        <v>0</v>
      </c>
      <c r="FC71" s="825">
        <v>0</v>
      </c>
      <c r="FD71" s="825">
        <v>0</v>
      </c>
      <c r="FE71" s="825">
        <v>0</v>
      </c>
      <c r="FF71" s="825">
        <v>0</v>
      </c>
      <c r="FG71" s="825">
        <v>0</v>
      </c>
      <c r="FH71" s="825">
        <v>0</v>
      </c>
      <c r="FI71" s="825">
        <v>0</v>
      </c>
      <c r="FJ71" s="825">
        <v>0</v>
      </c>
      <c r="FK71" s="825">
        <v>0</v>
      </c>
      <c r="FL71" s="825">
        <v>0</v>
      </c>
      <c r="FM71" s="825">
        <v>0</v>
      </c>
      <c r="FN71" s="825">
        <v>0</v>
      </c>
      <c r="FO71" s="825">
        <v>0</v>
      </c>
      <c r="FP71" s="825">
        <v>0</v>
      </c>
      <c r="FQ71" s="825">
        <v>0</v>
      </c>
      <c r="FR71" s="825">
        <v>0</v>
      </c>
      <c r="FS71" s="825">
        <v>0</v>
      </c>
      <c r="FT71" s="825">
        <v>0</v>
      </c>
      <c r="FU71" s="825">
        <v>0</v>
      </c>
      <c r="FV71" s="825">
        <v>0</v>
      </c>
      <c r="FW71" s="825">
        <v>0</v>
      </c>
      <c r="FX71" s="825">
        <v>0</v>
      </c>
      <c r="FY71" s="825">
        <v>0</v>
      </c>
      <c r="FZ71" s="825">
        <v>0</v>
      </c>
      <c r="GA71" s="825">
        <v>0</v>
      </c>
      <c r="GB71" s="825">
        <v>0</v>
      </c>
      <c r="GC71" s="825">
        <v>0</v>
      </c>
      <c r="GD71" s="825">
        <v>0</v>
      </c>
      <c r="GE71" s="825">
        <v>0</v>
      </c>
      <c r="GF71" s="825">
        <v>0</v>
      </c>
      <c r="GG71" s="825">
        <v>0</v>
      </c>
      <c r="GH71" s="825">
        <v>0</v>
      </c>
      <c r="GI71" s="825">
        <v>0</v>
      </c>
      <c r="GJ71" s="825">
        <v>0</v>
      </c>
      <c r="GK71" s="825">
        <v>0</v>
      </c>
      <c r="GL71" s="825">
        <v>0</v>
      </c>
      <c r="GM71" s="825">
        <v>0</v>
      </c>
      <c r="GN71" s="825">
        <v>0</v>
      </c>
      <c r="GO71" s="825">
        <v>0</v>
      </c>
      <c r="GP71" s="825">
        <v>0</v>
      </c>
      <c r="GQ71" s="825">
        <v>0</v>
      </c>
      <c r="GR71" s="825">
        <v>0</v>
      </c>
      <c r="GS71" s="825">
        <v>0</v>
      </c>
      <c r="GT71" s="825">
        <v>0</v>
      </c>
      <c r="GU71" s="825">
        <v>0</v>
      </c>
      <c r="GV71" s="825">
        <v>0</v>
      </c>
      <c r="GW71" s="825">
        <v>0</v>
      </c>
      <c r="GX71" s="825">
        <v>0</v>
      </c>
      <c r="GY71" s="825">
        <v>0</v>
      </c>
      <c r="GZ71" s="825">
        <v>0</v>
      </c>
      <c r="HA71" s="825">
        <v>0</v>
      </c>
      <c r="HB71" s="825">
        <v>0</v>
      </c>
      <c r="HC71" s="825">
        <v>0</v>
      </c>
      <c r="HD71" s="825">
        <v>0</v>
      </c>
      <c r="HE71" s="825">
        <v>0</v>
      </c>
      <c r="HF71" s="825">
        <v>0</v>
      </c>
      <c r="HG71" s="825">
        <v>0</v>
      </c>
      <c r="HH71" s="825">
        <v>0</v>
      </c>
      <c r="HI71" s="825">
        <v>0</v>
      </c>
      <c r="HJ71" s="825">
        <v>0</v>
      </c>
      <c r="HK71" s="825">
        <v>0</v>
      </c>
      <c r="HL71" s="825">
        <v>0</v>
      </c>
      <c r="HM71" s="825">
        <v>0</v>
      </c>
      <c r="HN71" s="825">
        <v>0</v>
      </c>
      <c r="HO71" s="825">
        <v>0</v>
      </c>
      <c r="HP71" s="825">
        <v>0</v>
      </c>
      <c r="HQ71" s="825">
        <v>0</v>
      </c>
      <c r="HR71" s="825">
        <v>0</v>
      </c>
      <c r="HS71" s="825">
        <v>0</v>
      </c>
      <c r="HT71" s="825">
        <v>0</v>
      </c>
      <c r="HU71" s="825">
        <v>0</v>
      </c>
    </row>
    <row r="72" spans="1:229" ht="63.75">
      <c r="A72" s="823" t="s">
        <v>515</v>
      </c>
      <c r="B72" s="823" t="s">
        <v>1559</v>
      </c>
      <c r="C72" s="823" t="s">
        <v>1560</v>
      </c>
      <c r="D72" s="826" t="s">
        <v>1561</v>
      </c>
      <c r="E72" s="824" t="s">
        <v>1562</v>
      </c>
      <c r="F72" s="824" t="s">
        <v>1563</v>
      </c>
      <c r="G72" s="824"/>
      <c r="H72" s="824"/>
      <c r="I72" s="824"/>
      <c r="J72" s="824"/>
      <c r="K72" s="824"/>
      <c r="L72" s="824"/>
      <c r="M72" s="824"/>
      <c r="N72" s="824"/>
      <c r="O72" s="824"/>
      <c r="P72" s="824"/>
      <c r="Q72" s="824"/>
      <c r="R72" s="824"/>
      <c r="S72" s="824"/>
      <c r="T72" s="824"/>
      <c r="U72" s="824"/>
      <c r="V72" s="824"/>
      <c r="W72" s="824"/>
      <c r="X72" s="824"/>
      <c r="Y72" s="824"/>
      <c r="Z72" s="824"/>
      <c r="AA72" s="824"/>
      <c r="AB72" s="824"/>
      <c r="AC72" s="824"/>
      <c r="AD72" s="824"/>
      <c r="AE72" s="824"/>
      <c r="AF72" s="824"/>
      <c r="AG72" s="824"/>
      <c r="AH72" s="824"/>
      <c r="AI72" s="824"/>
      <c r="AJ72" s="824"/>
      <c r="AK72" s="824"/>
      <c r="AL72" s="824"/>
      <c r="AM72" s="824"/>
      <c r="AN72" s="824"/>
      <c r="AO72" s="824"/>
      <c r="AP72" s="824"/>
      <c r="AQ72" s="824"/>
      <c r="AR72" s="824"/>
      <c r="AS72" s="824"/>
      <c r="AT72" s="824"/>
      <c r="AU72" s="824"/>
      <c r="AV72" s="824"/>
      <c r="AW72" s="824"/>
      <c r="AX72" s="824"/>
      <c r="AY72" s="824"/>
      <c r="AZ72" s="824"/>
      <c r="BA72" s="824"/>
      <c r="BB72" s="824"/>
      <c r="BC72" s="824"/>
      <c r="BD72" s="824"/>
      <c r="BE72" s="824"/>
      <c r="BF72" s="824"/>
      <c r="BG72" s="824"/>
      <c r="BH72" s="824"/>
      <c r="BI72" s="824"/>
      <c r="BJ72" s="824"/>
      <c r="BK72" s="824"/>
      <c r="BL72" s="824"/>
      <c r="BM72" s="824"/>
      <c r="BN72" s="824"/>
      <c r="BO72" s="824"/>
      <c r="BP72" s="824"/>
      <c r="BQ72" s="824"/>
      <c r="BR72" s="824"/>
      <c r="BS72" s="824"/>
      <c r="BT72" s="824"/>
      <c r="BU72" s="824"/>
      <c r="BV72" s="824"/>
      <c r="BW72" s="824"/>
      <c r="BX72" s="824"/>
      <c r="BY72" s="824"/>
      <c r="BZ72" s="824"/>
      <c r="CA72" s="824"/>
      <c r="CB72" s="824"/>
      <c r="CC72" s="824"/>
      <c r="CD72" s="824"/>
      <c r="CE72" s="824"/>
      <c r="CF72" s="824"/>
      <c r="CG72" s="824"/>
      <c r="CH72" s="824"/>
      <c r="CI72" s="824"/>
      <c r="CJ72" s="824"/>
      <c r="CK72" s="824"/>
      <c r="CL72" s="824"/>
      <c r="CM72" s="824"/>
      <c r="CN72" s="824"/>
      <c r="CO72" s="824"/>
      <c r="CP72" s="824"/>
      <c r="CQ72" s="824"/>
      <c r="CR72" s="824"/>
      <c r="CS72" s="824"/>
      <c r="CT72" s="824"/>
      <c r="CU72" s="824"/>
      <c r="CV72" s="824"/>
      <c r="CW72" s="824"/>
      <c r="CX72" s="824"/>
      <c r="CY72" s="824"/>
      <c r="CZ72" s="824"/>
      <c r="DA72" s="824"/>
      <c r="DB72" s="824"/>
      <c r="DC72" s="824"/>
      <c r="DD72" s="824"/>
      <c r="DE72" s="824"/>
      <c r="DF72" s="824"/>
      <c r="DG72" s="824"/>
      <c r="DH72" s="824"/>
      <c r="DI72" s="824"/>
      <c r="DJ72" s="824"/>
      <c r="DK72" s="824"/>
      <c r="DL72" s="824"/>
      <c r="DM72" s="825">
        <v>7.5</v>
      </c>
      <c r="DN72" s="825">
        <v>7.5</v>
      </c>
      <c r="DO72" s="825">
        <v>7</v>
      </c>
      <c r="DP72" s="825">
        <v>0</v>
      </c>
      <c r="DQ72" s="825">
        <v>0</v>
      </c>
      <c r="DR72" s="825">
        <v>0</v>
      </c>
      <c r="DS72" s="825">
        <v>0</v>
      </c>
      <c r="DT72" s="825">
        <v>0</v>
      </c>
      <c r="DU72" s="825">
        <v>0</v>
      </c>
      <c r="DV72" s="825">
        <v>0</v>
      </c>
      <c r="DW72" s="825">
        <v>0</v>
      </c>
      <c r="DX72" s="825">
        <v>0</v>
      </c>
      <c r="DY72" s="825">
        <v>0</v>
      </c>
      <c r="DZ72" s="825">
        <v>0</v>
      </c>
      <c r="EA72" s="825">
        <v>0</v>
      </c>
      <c r="EB72" s="825">
        <v>0</v>
      </c>
      <c r="EC72" s="825">
        <v>0</v>
      </c>
      <c r="ED72" s="825">
        <v>0</v>
      </c>
      <c r="EE72" s="825">
        <v>0</v>
      </c>
      <c r="EF72" s="825">
        <v>0</v>
      </c>
      <c r="EG72" s="825">
        <v>0</v>
      </c>
      <c r="EH72" s="825">
        <v>0</v>
      </c>
      <c r="EI72" s="825">
        <v>0</v>
      </c>
      <c r="EJ72" s="825">
        <v>0</v>
      </c>
      <c r="EK72" s="825">
        <v>0</v>
      </c>
      <c r="EL72" s="825">
        <v>0</v>
      </c>
      <c r="EM72" s="825">
        <v>0</v>
      </c>
      <c r="EN72" s="825">
        <v>0</v>
      </c>
      <c r="EO72" s="825">
        <v>0</v>
      </c>
      <c r="EP72" s="825">
        <v>0</v>
      </c>
      <c r="EQ72" s="825">
        <v>0</v>
      </c>
      <c r="ER72" s="825">
        <v>0</v>
      </c>
      <c r="ES72" s="825">
        <v>0</v>
      </c>
      <c r="ET72" s="825">
        <v>0</v>
      </c>
      <c r="EU72" s="825">
        <v>0</v>
      </c>
      <c r="EV72" s="825">
        <v>0</v>
      </c>
      <c r="EW72" s="825">
        <v>0</v>
      </c>
      <c r="EX72" s="825">
        <v>0</v>
      </c>
      <c r="EY72" s="825">
        <v>0</v>
      </c>
      <c r="EZ72" s="825">
        <v>0</v>
      </c>
      <c r="FA72" s="825">
        <v>0</v>
      </c>
      <c r="FB72" s="825">
        <v>0</v>
      </c>
      <c r="FC72" s="825">
        <v>0</v>
      </c>
      <c r="FD72" s="825">
        <v>0</v>
      </c>
      <c r="FE72" s="825">
        <v>0</v>
      </c>
      <c r="FF72" s="825">
        <v>0</v>
      </c>
      <c r="FG72" s="825">
        <v>0</v>
      </c>
      <c r="FH72" s="825">
        <v>0</v>
      </c>
      <c r="FI72" s="825">
        <v>0</v>
      </c>
      <c r="FJ72" s="825">
        <v>0</v>
      </c>
      <c r="FK72" s="825">
        <v>0</v>
      </c>
      <c r="FL72" s="825">
        <v>0</v>
      </c>
      <c r="FM72" s="825">
        <v>0</v>
      </c>
      <c r="FN72" s="825">
        <v>0</v>
      </c>
      <c r="FO72" s="825">
        <v>0</v>
      </c>
      <c r="FP72" s="825">
        <v>0</v>
      </c>
      <c r="FQ72" s="825">
        <v>0</v>
      </c>
      <c r="FR72" s="825">
        <v>0</v>
      </c>
      <c r="FS72" s="825">
        <v>0</v>
      </c>
      <c r="FT72" s="825">
        <v>0</v>
      </c>
      <c r="FU72" s="825">
        <v>0</v>
      </c>
      <c r="FV72" s="825">
        <v>0</v>
      </c>
      <c r="FW72" s="825">
        <v>0</v>
      </c>
      <c r="FX72" s="825">
        <v>0</v>
      </c>
      <c r="FY72" s="825">
        <v>0</v>
      </c>
      <c r="FZ72" s="825">
        <v>0</v>
      </c>
      <c r="GA72" s="825">
        <v>0</v>
      </c>
      <c r="GB72" s="825">
        <v>0</v>
      </c>
      <c r="GC72" s="825">
        <v>0</v>
      </c>
      <c r="GD72" s="825">
        <v>0</v>
      </c>
      <c r="GE72" s="825">
        <v>0</v>
      </c>
      <c r="GF72" s="825">
        <v>0</v>
      </c>
      <c r="GG72" s="825">
        <v>0</v>
      </c>
      <c r="GH72" s="825">
        <v>0</v>
      </c>
      <c r="GI72" s="825">
        <v>0</v>
      </c>
      <c r="GJ72" s="825">
        <v>0</v>
      </c>
      <c r="GK72" s="825">
        <v>0</v>
      </c>
      <c r="GL72" s="825">
        <v>0</v>
      </c>
      <c r="GM72" s="825">
        <v>0</v>
      </c>
      <c r="GN72" s="825">
        <v>0</v>
      </c>
      <c r="GO72" s="825">
        <v>0</v>
      </c>
      <c r="GP72" s="825">
        <v>0</v>
      </c>
      <c r="GQ72" s="825">
        <v>0</v>
      </c>
      <c r="GR72" s="825">
        <v>0</v>
      </c>
      <c r="GS72" s="825">
        <v>0</v>
      </c>
      <c r="GT72" s="825">
        <v>0</v>
      </c>
      <c r="GU72" s="825">
        <v>0</v>
      </c>
      <c r="GV72" s="825">
        <v>0</v>
      </c>
      <c r="GW72" s="825">
        <v>0</v>
      </c>
      <c r="GX72" s="825">
        <v>0</v>
      </c>
      <c r="GY72" s="825">
        <v>0</v>
      </c>
      <c r="GZ72" s="825">
        <v>0</v>
      </c>
      <c r="HA72" s="825">
        <v>0</v>
      </c>
      <c r="HB72" s="825">
        <v>0</v>
      </c>
      <c r="HC72" s="825">
        <v>0</v>
      </c>
      <c r="HD72" s="825">
        <v>0</v>
      </c>
      <c r="HE72" s="825">
        <v>0</v>
      </c>
      <c r="HF72" s="825">
        <v>0</v>
      </c>
      <c r="HG72" s="825">
        <v>0</v>
      </c>
      <c r="HH72" s="825">
        <v>0</v>
      </c>
      <c r="HI72" s="825">
        <v>0</v>
      </c>
      <c r="HJ72" s="825">
        <v>0</v>
      </c>
      <c r="HK72" s="825">
        <v>0</v>
      </c>
      <c r="HL72" s="825">
        <v>0</v>
      </c>
      <c r="HM72" s="825">
        <v>0</v>
      </c>
      <c r="HN72" s="825">
        <v>0</v>
      </c>
      <c r="HO72" s="825">
        <v>0</v>
      </c>
      <c r="HP72" s="825">
        <v>0</v>
      </c>
      <c r="HQ72" s="825">
        <v>0</v>
      </c>
      <c r="HR72" s="825">
        <v>0</v>
      </c>
      <c r="HS72" s="825">
        <v>0</v>
      </c>
      <c r="HT72" s="825">
        <v>0</v>
      </c>
      <c r="HU72" s="825">
        <v>0</v>
      </c>
    </row>
    <row r="73" spans="1:229" ht="127.5">
      <c r="A73" s="823" t="s">
        <v>515</v>
      </c>
      <c r="B73" s="823" t="s">
        <v>1564</v>
      </c>
      <c r="C73" s="823" t="s">
        <v>1565</v>
      </c>
      <c r="D73" s="824" t="s">
        <v>1566</v>
      </c>
      <c r="E73" s="826" t="s">
        <v>1567</v>
      </c>
      <c r="F73" s="824" t="s">
        <v>1568</v>
      </c>
      <c r="G73" s="824"/>
      <c r="H73" s="826"/>
      <c r="I73" s="824"/>
      <c r="J73" s="826" t="s">
        <v>1569</v>
      </c>
      <c r="K73" s="824" t="s">
        <v>1570</v>
      </c>
      <c r="L73" s="824"/>
      <c r="M73" s="824" t="s">
        <v>1571</v>
      </c>
      <c r="N73" s="824"/>
      <c r="O73" s="824" t="s">
        <v>1572</v>
      </c>
      <c r="P73" s="826" t="s">
        <v>1573</v>
      </c>
      <c r="Q73" s="826" t="s">
        <v>1574</v>
      </c>
      <c r="R73" s="826" t="s">
        <v>1575</v>
      </c>
      <c r="S73" s="824" t="s">
        <v>1576</v>
      </c>
      <c r="T73" s="826" t="s">
        <v>1577</v>
      </c>
      <c r="U73" s="824" t="s">
        <v>1578</v>
      </c>
      <c r="V73" s="824" t="s">
        <v>1579</v>
      </c>
      <c r="W73" s="824" t="s">
        <v>1580</v>
      </c>
      <c r="X73" s="824" t="s">
        <v>1581</v>
      </c>
      <c r="Y73" s="824" t="s">
        <v>1582</v>
      </c>
      <c r="Z73" s="824" t="s">
        <v>1583</v>
      </c>
      <c r="AA73" s="824" t="s">
        <v>1584</v>
      </c>
      <c r="AB73" s="824" t="s">
        <v>1585</v>
      </c>
      <c r="AC73" s="824" t="s">
        <v>1586</v>
      </c>
      <c r="AD73" s="824" t="s">
        <v>1587</v>
      </c>
      <c r="AE73" s="824"/>
      <c r="AF73" s="824"/>
      <c r="AG73" s="824"/>
      <c r="AH73" s="824"/>
      <c r="AI73" s="824"/>
      <c r="AJ73" s="824"/>
      <c r="AK73" s="824"/>
      <c r="AL73" s="824"/>
      <c r="AM73" s="824"/>
      <c r="AN73" s="824"/>
      <c r="AO73" s="824"/>
      <c r="AP73" s="824"/>
      <c r="AQ73" s="824"/>
      <c r="AR73" s="824"/>
      <c r="AS73" s="824"/>
      <c r="AT73" s="824"/>
      <c r="AU73" s="824"/>
      <c r="AV73" s="824"/>
      <c r="AW73" s="824"/>
      <c r="AX73" s="824"/>
      <c r="AY73" s="824"/>
      <c r="AZ73" s="824"/>
      <c r="BA73" s="824"/>
      <c r="BB73" s="824"/>
      <c r="BC73" s="824"/>
      <c r="BD73" s="824"/>
      <c r="BE73" s="824"/>
      <c r="BF73" s="824"/>
      <c r="BG73" s="824"/>
      <c r="BH73" s="824"/>
      <c r="BI73" s="824"/>
      <c r="BJ73" s="824"/>
      <c r="BK73" s="824"/>
      <c r="BL73" s="824"/>
      <c r="BM73" s="824"/>
      <c r="BN73" s="824"/>
      <c r="BO73" s="824"/>
      <c r="BP73" s="824"/>
      <c r="BQ73" s="824"/>
      <c r="BR73" s="824"/>
      <c r="BS73" s="824"/>
      <c r="BT73" s="824"/>
      <c r="BU73" s="824"/>
      <c r="BV73" s="824"/>
      <c r="BW73" s="824"/>
      <c r="BX73" s="824"/>
      <c r="BY73" s="824"/>
      <c r="BZ73" s="824"/>
      <c r="CA73" s="824"/>
      <c r="CB73" s="824"/>
      <c r="CC73" s="824"/>
      <c r="CD73" s="824"/>
      <c r="CE73" s="824"/>
      <c r="CF73" s="824"/>
      <c r="CG73" s="824"/>
      <c r="CH73" s="824"/>
      <c r="CI73" s="824"/>
      <c r="CJ73" s="824"/>
      <c r="CK73" s="824"/>
      <c r="CL73" s="824"/>
      <c r="CM73" s="824"/>
      <c r="CN73" s="824"/>
      <c r="CO73" s="824"/>
      <c r="CP73" s="824"/>
      <c r="CQ73" s="824"/>
      <c r="CR73" s="824"/>
      <c r="CS73" s="824"/>
      <c r="CT73" s="824"/>
      <c r="CU73" s="824"/>
      <c r="CV73" s="824"/>
      <c r="CW73" s="824"/>
      <c r="CX73" s="824"/>
      <c r="CY73" s="824"/>
      <c r="CZ73" s="824"/>
      <c r="DA73" s="824"/>
      <c r="DB73" s="824"/>
      <c r="DC73" s="824"/>
      <c r="DD73" s="824"/>
      <c r="DE73" s="824"/>
      <c r="DF73" s="824"/>
      <c r="DG73" s="824"/>
      <c r="DH73" s="824"/>
      <c r="DI73" s="824"/>
      <c r="DJ73" s="824"/>
      <c r="DK73" s="824"/>
      <c r="DL73" s="824"/>
      <c r="DM73" s="825">
        <v>6.2</v>
      </c>
      <c r="DN73" s="825">
        <v>7.4</v>
      </c>
      <c r="DO73" s="825">
        <v>6.8</v>
      </c>
      <c r="DP73" s="825">
        <v>0</v>
      </c>
      <c r="DQ73" s="825">
        <v>0</v>
      </c>
      <c r="DR73" s="825">
        <v>0</v>
      </c>
      <c r="DS73" s="825">
        <v>5.3</v>
      </c>
      <c r="DT73" s="825">
        <v>5.3</v>
      </c>
      <c r="DU73" s="825">
        <v>0</v>
      </c>
      <c r="DV73" s="825">
        <v>5.7</v>
      </c>
      <c r="DW73" s="825">
        <v>0</v>
      </c>
      <c r="DX73" s="825">
        <v>14.6</v>
      </c>
      <c r="DY73" s="825">
        <v>6.6</v>
      </c>
      <c r="DZ73" s="825">
        <v>6.2</v>
      </c>
      <c r="EA73" s="825">
        <v>8</v>
      </c>
      <c r="EB73" s="825">
        <v>8</v>
      </c>
      <c r="EC73" s="825">
        <v>9.6999999999999993</v>
      </c>
      <c r="ED73" s="825">
        <v>4.5999999999999996</v>
      </c>
      <c r="EE73" s="825">
        <v>10.5</v>
      </c>
      <c r="EF73" s="825">
        <v>6.2</v>
      </c>
      <c r="EG73" s="825">
        <v>6.7</v>
      </c>
      <c r="EH73" s="825">
        <v>0</v>
      </c>
      <c r="EI73" s="825">
        <v>0</v>
      </c>
      <c r="EJ73" s="825">
        <v>0</v>
      </c>
      <c r="EK73" s="825">
        <v>8.5</v>
      </c>
      <c r="EL73" s="825">
        <v>0</v>
      </c>
      <c r="EM73" s="825">
        <v>10.9</v>
      </c>
      <c r="EN73" s="825">
        <v>0</v>
      </c>
      <c r="EO73" s="825">
        <v>0</v>
      </c>
      <c r="EP73" s="825">
        <v>0</v>
      </c>
      <c r="EQ73" s="825">
        <v>0</v>
      </c>
      <c r="ER73" s="825">
        <v>0</v>
      </c>
      <c r="ES73" s="825">
        <v>0</v>
      </c>
      <c r="ET73" s="825">
        <v>0</v>
      </c>
      <c r="EU73" s="825">
        <v>0</v>
      </c>
      <c r="EV73" s="825">
        <v>0</v>
      </c>
      <c r="EW73" s="825">
        <v>0</v>
      </c>
      <c r="EX73" s="825">
        <v>0</v>
      </c>
      <c r="EY73" s="825">
        <v>0</v>
      </c>
      <c r="EZ73" s="825">
        <v>0</v>
      </c>
      <c r="FA73" s="825">
        <v>0</v>
      </c>
      <c r="FB73" s="825">
        <v>0</v>
      </c>
      <c r="FC73" s="825">
        <v>0</v>
      </c>
      <c r="FD73" s="825">
        <v>0</v>
      </c>
      <c r="FE73" s="825">
        <v>0</v>
      </c>
      <c r="FF73" s="825">
        <v>0</v>
      </c>
      <c r="FG73" s="825">
        <v>0</v>
      </c>
      <c r="FH73" s="825">
        <v>0</v>
      </c>
      <c r="FI73" s="825">
        <v>0</v>
      </c>
      <c r="FJ73" s="825">
        <v>0</v>
      </c>
      <c r="FK73" s="825">
        <v>0</v>
      </c>
      <c r="FL73" s="825">
        <v>0</v>
      </c>
      <c r="FM73" s="825">
        <v>0</v>
      </c>
      <c r="FN73" s="825">
        <v>0</v>
      </c>
      <c r="FO73" s="825">
        <v>0</v>
      </c>
      <c r="FP73" s="825">
        <v>0</v>
      </c>
      <c r="FQ73" s="825">
        <v>0</v>
      </c>
      <c r="FR73" s="825">
        <v>0</v>
      </c>
      <c r="FS73" s="825">
        <v>0</v>
      </c>
      <c r="FT73" s="825">
        <v>0</v>
      </c>
      <c r="FU73" s="825">
        <v>0</v>
      </c>
      <c r="FV73" s="825">
        <v>0</v>
      </c>
      <c r="FW73" s="825">
        <v>0</v>
      </c>
      <c r="FX73" s="825">
        <v>0</v>
      </c>
      <c r="FY73" s="825">
        <v>0</v>
      </c>
      <c r="FZ73" s="825">
        <v>0</v>
      </c>
      <c r="GA73" s="825">
        <v>0</v>
      </c>
      <c r="GB73" s="825">
        <v>0</v>
      </c>
      <c r="GC73" s="825">
        <v>0</v>
      </c>
      <c r="GD73" s="825">
        <v>0</v>
      </c>
      <c r="GE73" s="825">
        <v>0</v>
      </c>
      <c r="GF73" s="825">
        <v>0</v>
      </c>
      <c r="GG73" s="825">
        <v>0</v>
      </c>
      <c r="GH73" s="825">
        <v>0</v>
      </c>
      <c r="GI73" s="825">
        <v>0</v>
      </c>
      <c r="GJ73" s="825">
        <v>0</v>
      </c>
      <c r="GK73" s="825">
        <v>0</v>
      </c>
      <c r="GL73" s="825">
        <v>0</v>
      </c>
      <c r="GM73" s="825">
        <v>0</v>
      </c>
      <c r="GN73" s="825">
        <v>0</v>
      </c>
      <c r="GO73" s="825">
        <v>0</v>
      </c>
      <c r="GP73" s="825">
        <v>0</v>
      </c>
      <c r="GQ73" s="825">
        <v>0</v>
      </c>
      <c r="GR73" s="825">
        <v>0</v>
      </c>
      <c r="GS73" s="825">
        <v>0</v>
      </c>
      <c r="GT73" s="825">
        <v>0</v>
      </c>
      <c r="GU73" s="825">
        <v>0</v>
      </c>
      <c r="GV73" s="825">
        <v>0</v>
      </c>
      <c r="GW73" s="825">
        <v>0</v>
      </c>
      <c r="GX73" s="825">
        <v>0</v>
      </c>
      <c r="GY73" s="825">
        <v>0</v>
      </c>
      <c r="GZ73" s="825">
        <v>0</v>
      </c>
      <c r="HA73" s="825">
        <v>0</v>
      </c>
      <c r="HB73" s="825">
        <v>0</v>
      </c>
      <c r="HC73" s="825">
        <v>0</v>
      </c>
      <c r="HD73" s="825">
        <v>0</v>
      </c>
      <c r="HE73" s="825">
        <v>0</v>
      </c>
      <c r="HF73" s="825">
        <v>0</v>
      </c>
      <c r="HG73" s="825">
        <v>0</v>
      </c>
      <c r="HH73" s="825">
        <v>0</v>
      </c>
      <c r="HI73" s="825">
        <v>0</v>
      </c>
      <c r="HJ73" s="825">
        <v>0</v>
      </c>
      <c r="HK73" s="825">
        <v>0</v>
      </c>
      <c r="HL73" s="825">
        <v>0</v>
      </c>
      <c r="HM73" s="825">
        <v>0</v>
      </c>
      <c r="HN73" s="825">
        <v>0</v>
      </c>
      <c r="HO73" s="825">
        <v>0</v>
      </c>
      <c r="HP73" s="825">
        <v>0</v>
      </c>
      <c r="HQ73" s="825">
        <v>0</v>
      </c>
      <c r="HR73" s="825">
        <v>0</v>
      </c>
      <c r="HS73" s="825">
        <v>0</v>
      </c>
      <c r="HT73" s="825">
        <v>0</v>
      </c>
      <c r="HU73" s="825">
        <v>0</v>
      </c>
    </row>
    <row r="74" spans="1:229" ht="38.25">
      <c r="A74" s="823" t="s">
        <v>515</v>
      </c>
      <c r="B74" s="823" t="s">
        <v>1588</v>
      </c>
      <c r="C74" s="823" t="s">
        <v>1589</v>
      </c>
      <c r="D74" s="826" t="s">
        <v>1590</v>
      </c>
      <c r="E74" s="824" t="s">
        <v>1591</v>
      </c>
      <c r="F74" s="824" t="s">
        <v>1592</v>
      </c>
      <c r="G74" s="824"/>
      <c r="H74" s="824"/>
      <c r="I74" s="824"/>
      <c r="J74" s="824"/>
      <c r="K74" s="824"/>
      <c r="L74" s="824"/>
      <c r="M74" s="824"/>
      <c r="N74" s="824"/>
      <c r="O74" s="824"/>
      <c r="P74" s="824"/>
      <c r="Q74" s="824"/>
      <c r="R74" s="824"/>
      <c r="S74" s="824"/>
      <c r="T74" s="824"/>
      <c r="U74" s="824"/>
      <c r="V74" s="824"/>
      <c r="W74" s="824"/>
      <c r="X74" s="824"/>
      <c r="Y74" s="824"/>
      <c r="Z74" s="824"/>
      <c r="AA74" s="824"/>
      <c r="AB74" s="824"/>
      <c r="AC74" s="824"/>
      <c r="AD74" s="824"/>
      <c r="AE74" s="824"/>
      <c r="AF74" s="824"/>
      <c r="AG74" s="824"/>
      <c r="AH74" s="824"/>
      <c r="AI74" s="824"/>
      <c r="AJ74" s="824"/>
      <c r="AK74" s="824"/>
      <c r="AL74" s="824"/>
      <c r="AM74" s="824"/>
      <c r="AN74" s="824"/>
      <c r="AO74" s="824"/>
      <c r="AP74" s="824"/>
      <c r="AQ74" s="824"/>
      <c r="AR74" s="824"/>
      <c r="AS74" s="824"/>
      <c r="AT74" s="824"/>
      <c r="AU74" s="824"/>
      <c r="AV74" s="824"/>
      <c r="AW74" s="824"/>
      <c r="AX74" s="824"/>
      <c r="AY74" s="824"/>
      <c r="AZ74" s="824"/>
      <c r="BA74" s="824"/>
      <c r="BB74" s="824"/>
      <c r="BC74" s="824"/>
      <c r="BD74" s="824"/>
      <c r="BE74" s="824"/>
      <c r="BF74" s="824"/>
      <c r="BG74" s="824"/>
      <c r="BH74" s="824"/>
      <c r="BI74" s="824"/>
      <c r="BJ74" s="824"/>
      <c r="BK74" s="824"/>
      <c r="BL74" s="824"/>
      <c r="BM74" s="824"/>
      <c r="BN74" s="824"/>
      <c r="BO74" s="824"/>
      <c r="BP74" s="824"/>
      <c r="BQ74" s="824"/>
      <c r="BR74" s="824"/>
      <c r="BS74" s="824"/>
      <c r="BT74" s="824"/>
      <c r="BU74" s="824"/>
      <c r="BV74" s="824"/>
      <c r="BW74" s="824"/>
      <c r="BX74" s="824"/>
      <c r="BY74" s="824"/>
      <c r="BZ74" s="824"/>
      <c r="CA74" s="824"/>
      <c r="CB74" s="824"/>
      <c r="CC74" s="824"/>
      <c r="CD74" s="824"/>
      <c r="CE74" s="824"/>
      <c r="CF74" s="824"/>
      <c r="CG74" s="824"/>
      <c r="CH74" s="824"/>
      <c r="CI74" s="824"/>
      <c r="CJ74" s="824"/>
      <c r="CK74" s="824"/>
      <c r="CL74" s="824"/>
      <c r="CM74" s="824"/>
      <c r="CN74" s="824"/>
      <c r="CO74" s="824"/>
      <c r="CP74" s="824"/>
      <c r="CQ74" s="824"/>
      <c r="CR74" s="824"/>
      <c r="CS74" s="824"/>
      <c r="CT74" s="824"/>
      <c r="CU74" s="824"/>
      <c r="CV74" s="824"/>
      <c r="CW74" s="824"/>
      <c r="CX74" s="824"/>
      <c r="CY74" s="824"/>
      <c r="CZ74" s="824"/>
      <c r="DA74" s="824"/>
      <c r="DB74" s="824"/>
      <c r="DC74" s="824"/>
      <c r="DD74" s="824"/>
      <c r="DE74" s="824"/>
      <c r="DF74" s="824"/>
      <c r="DG74" s="824"/>
      <c r="DH74" s="824"/>
      <c r="DI74" s="824"/>
      <c r="DJ74" s="824"/>
      <c r="DK74" s="824"/>
      <c r="DL74" s="824"/>
      <c r="DM74" s="825">
        <v>3.2</v>
      </c>
      <c r="DN74" s="825">
        <v>3.3</v>
      </c>
      <c r="DO74" s="825">
        <v>3.4</v>
      </c>
      <c r="DP74" s="825">
        <v>0</v>
      </c>
      <c r="DQ74" s="825">
        <v>0</v>
      </c>
      <c r="DR74" s="825">
        <v>0</v>
      </c>
      <c r="DS74" s="825">
        <v>0</v>
      </c>
      <c r="DT74" s="825">
        <v>0</v>
      </c>
      <c r="DU74" s="825">
        <v>0</v>
      </c>
      <c r="DV74" s="825">
        <v>0</v>
      </c>
      <c r="DW74" s="825">
        <v>0</v>
      </c>
      <c r="DX74" s="825">
        <v>0</v>
      </c>
      <c r="DY74" s="825">
        <v>0</v>
      </c>
      <c r="DZ74" s="825">
        <v>0</v>
      </c>
      <c r="EA74" s="825">
        <v>0</v>
      </c>
      <c r="EB74" s="825">
        <v>0</v>
      </c>
      <c r="EC74" s="825">
        <v>0</v>
      </c>
      <c r="ED74" s="825">
        <v>0</v>
      </c>
      <c r="EE74" s="825">
        <v>0</v>
      </c>
      <c r="EF74" s="825">
        <v>0</v>
      </c>
      <c r="EG74" s="825">
        <v>0</v>
      </c>
      <c r="EH74" s="825">
        <v>0</v>
      </c>
      <c r="EI74" s="825">
        <v>0</v>
      </c>
      <c r="EJ74" s="825">
        <v>0</v>
      </c>
      <c r="EK74" s="825">
        <v>0</v>
      </c>
      <c r="EL74" s="825">
        <v>0</v>
      </c>
      <c r="EM74" s="825">
        <v>0</v>
      </c>
      <c r="EN74" s="825">
        <v>0</v>
      </c>
      <c r="EO74" s="825">
        <v>0</v>
      </c>
      <c r="EP74" s="825">
        <v>0</v>
      </c>
      <c r="EQ74" s="825">
        <v>0</v>
      </c>
      <c r="ER74" s="825">
        <v>0</v>
      </c>
      <c r="ES74" s="825">
        <v>0</v>
      </c>
      <c r="ET74" s="825">
        <v>0</v>
      </c>
      <c r="EU74" s="825">
        <v>0</v>
      </c>
      <c r="EV74" s="825">
        <v>0</v>
      </c>
      <c r="EW74" s="825">
        <v>0</v>
      </c>
      <c r="EX74" s="825">
        <v>0</v>
      </c>
      <c r="EY74" s="825">
        <v>0</v>
      </c>
      <c r="EZ74" s="825">
        <v>0</v>
      </c>
      <c r="FA74" s="825">
        <v>0</v>
      </c>
      <c r="FB74" s="825">
        <v>0</v>
      </c>
      <c r="FC74" s="825">
        <v>0</v>
      </c>
      <c r="FD74" s="825">
        <v>0</v>
      </c>
      <c r="FE74" s="825">
        <v>0</v>
      </c>
      <c r="FF74" s="825">
        <v>0</v>
      </c>
      <c r="FG74" s="825">
        <v>0</v>
      </c>
      <c r="FH74" s="825">
        <v>0</v>
      </c>
      <c r="FI74" s="825">
        <v>0</v>
      </c>
      <c r="FJ74" s="825">
        <v>0</v>
      </c>
      <c r="FK74" s="825">
        <v>0</v>
      </c>
      <c r="FL74" s="825">
        <v>0</v>
      </c>
      <c r="FM74" s="825">
        <v>0</v>
      </c>
      <c r="FN74" s="825">
        <v>0</v>
      </c>
      <c r="FO74" s="825">
        <v>0</v>
      </c>
      <c r="FP74" s="825">
        <v>0</v>
      </c>
      <c r="FQ74" s="825">
        <v>0</v>
      </c>
      <c r="FR74" s="825">
        <v>0</v>
      </c>
      <c r="FS74" s="825">
        <v>0</v>
      </c>
      <c r="FT74" s="825">
        <v>0</v>
      </c>
      <c r="FU74" s="825">
        <v>0</v>
      </c>
      <c r="FV74" s="825">
        <v>0</v>
      </c>
      <c r="FW74" s="825">
        <v>0</v>
      </c>
      <c r="FX74" s="825">
        <v>0</v>
      </c>
      <c r="FY74" s="825">
        <v>0</v>
      </c>
      <c r="FZ74" s="825">
        <v>0</v>
      </c>
      <c r="GA74" s="825">
        <v>0</v>
      </c>
      <c r="GB74" s="825">
        <v>0</v>
      </c>
      <c r="GC74" s="825">
        <v>0</v>
      </c>
      <c r="GD74" s="825">
        <v>0</v>
      </c>
      <c r="GE74" s="825">
        <v>0</v>
      </c>
      <c r="GF74" s="825">
        <v>0</v>
      </c>
      <c r="GG74" s="825">
        <v>0</v>
      </c>
      <c r="GH74" s="825">
        <v>0</v>
      </c>
      <c r="GI74" s="825">
        <v>0</v>
      </c>
      <c r="GJ74" s="825">
        <v>0</v>
      </c>
      <c r="GK74" s="825">
        <v>0</v>
      </c>
      <c r="GL74" s="825">
        <v>0</v>
      </c>
      <c r="GM74" s="825">
        <v>0</v>
      </c>
      <c r="GN74" s="825">
        <v>0</v>
      </c>
      <c r="GO74" s="825">
        <v>0</v>
      </c>
      <c r="GP74" s="825">
        <v>0</v>
      </c>
      <c r="GQ74" s="825">
        <v>0</v>
      </c>
      <c r="GR74" s="825">
        <v>0</v>
      </c>
      <c r="GS74" s="825">
        <v>0</v>
      </c>
      <c r="GT74" s="825">
        <v>0</v>
      </c>
      <c r="GU74" s="825">
        <v>0</v>
      </c>
      <c r="GV74" s="825">
        <v>0</v>
      </c>
      <c r="GW74" s="825">
        <v>0</v>
      </c>
      <c r="GX74" s="825">
        <v>0</v>
      </c>
      <c r="GY74" s="825">
        <v>0</v>
      </c>
      <c r="GZ74" s="825">
        <v>0</v>
      </c>
      <c r="HA74" s="825">
        <v>0</v>
      </c>
      <c r="HB74" s="825">
        <v>0</v>
      </c>
      <c r="HC74" s="825">
        <v>0</v>
      </c>
      <c r="HD74" s="825">
        <v>0</v>
      </c>
      <c r="HE74" s="825">
        <v>0</v>
      </c>
      <c r="HF74" s="825">
        <v>0</v>
      </c>
      <c r="HG74" s="825">
        <v>0</v>
      </c>
      <c r="HH74" s="825">
        <v>0</v>
      </c>
      <c r="HI74" s="825">
        <v>0</v>
      </c>
      <c r="HJ74" s="825">
        <v>0</v>
      </c>
      <c r="HK74" s="825">
        <v>0</v>
      </c>
      <c r="HL74" s="825">
        <v>0</v>
      </c>
      <c r="HM74" s="825">
        <v>0</v>
      </c>
      <c r="HN74" s="825">
        <v>0</v>
      </c>
      <c r="HO74" s="825">
        <v>0</v>
      </c>
      <c r="HP74" s="825">
        <v>0</v>
      </c>
      <c r="HQ74" s="825">
        <v>0</v>
      </c>
      <c r="HR74" s="825">
        <v>0</v>
      </c>
      <c r="HS74" s="825">
        <v>0</v>
      </c>
      <c r="HT74" s="825">
        <v>0</v>
      </c>
      <c r="HU74" s="825">
        <v>0</v>
      </c>
    </row>
    <row r="75" spans="1:229" ht="63.75">
      <c r="A75" s="823" t="s">
        <v>515</v>
      </c>
      <c r="B75" s="823" t="s">
        <v>1593</v>
      </c>
      <c r="C75" s="823" t="s">
        <v>1594</v>
      </c>
      <c r="D75" s="826" t="s">
        <v>1595</v>
      </c>
      <c r="E75" s="824"/>
      <c r="F75" s="824"/>
      <c r="G75" s="826" t="s">
        <v>1596</v>
      </c>
      <c r="H75" s="824"/>
      <c r="I75" s="824"/>
      <c r="J75" s="824"/>
      <c r="K75" s="826" t="s">
        <v>1597</v>
      </c>
      <c r="L75" s="824" t="s">
        <v>1598</v>
      </c>
      <c r="M75" s="824"/>
      <c r="N75" s="824"/>
      <c r="O75" s="824"/>
      <c r="P75" s="824"/>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4"/>
      <c r="AO75" s="824"/>
      <c r="AP75" s="824"/>
      <c r="AQ75" s="824"/>
      <c r="AR75" s="824"/>
      <c r="AS75" s="824"/>
      <c r="AT75" s="824"/>
      <c r="AU75" s="824"/>
      <c r="AV75" s="824"/>
      <c r="AW75" s="824"/>
      <c r="AX75" s="824"/>
      <c r="AY75" s="824"/>
      <c r="AZ75" s="824"/>
      <c r="BA75" s="824"/>
      <c r="BB75" s="824"/>
      <c r="BC75" s="824"/>
      <c r="BD75" s="824"/>
      <c r="BE75" s="824"/>
      <c r="BF75" s="824"/>
      <c r="BG75" s="824"/>
      <c r="BH75" s="824"/>
      <c r="BI75" s="824"/>
      <c r="BJ75" s="824"/>
      <c r="BK75" s="824"/>
      <c r="BL75" s="824"/>
      <c r="BM75" s="824"/>
      <c r="BN75" s="824"/>
      <c r="BO75" s="824"/>
      <c r="BP75" s="824"/>
      <c r="BQ75" s="824"/>
      <c r="BR75" s="824"/>
      <c r="BS75" s="824"/>
      <c r="BT75" s="824"/>
      <c r="BU75" s="824"/>
      <c r="BV75" s="824"/>
      <c r="BW75" s="824"/>
      <c r="BX75" s="824"/>
      <c r="BY75" s="824"/>
      <c r="BZ75" s="824"/>
      <c r="CA75" s="824"/>
      <c r="CB75" s="824"/>
      <c r="CC75" s="824"/>
      <c r="CD75" s="824"/>
      <c r="CE75" s="824"/>
      <c r="CF75" s="824"/>
      <c r="CG75" s="824"/>
      <c r="CH75" s="824"/>
      <c r="CI75" s="824"/>
      <c r="CJ75" s="824"/>
      <c r="CK75" s="824"/>
      <c r="CL75" s="824"/>
      <c r="CM75" s="824"/>
      <c r="CN75" s="824"/>
      <c r="CO75" s="824"/>
      <c r="CP75" s="824"/>
      <c r="CQ75" s="824"/>
      <c r="CR75" s="824"/>
      <c r="CS75" s="824"/>
      <c r="CT75" s="824"/>
      <c r="CU75" s="824"/>
      <c r="CV75" s="824"/>
      <c r="CW75" s="824"/>
      <c r="CX75" s="824"/>
      <c r="CY75" s="824"/>
      <c r="CZ75" s="824"/>
      <c r="DA75" s="824"/>
      <c r="DB75" s="824"/>
      <c r="DC75" s="824"/>
      <c r="DD75" s="824"/>
      <c r="DE75" s="824"/>
      <c r="DF75" s="824"/>
      <c r="DG75" s="824"/>
      <c r="DH75" s="824"/>
      <c r="DI75" s="824"/>
      <c r="DJ75" s="824"/>
      <c r="DK75" s="824"/>
      <c r="DL75" s="824"/>
      <c r="DM75" s="825">
        <v>8.6999999999999993</v>
      </c>
      <c r="DN75" s="825">
        <v>0</v>
      </c>
      <c r="DO75" s="825">
        <v>0</v>
      </c>
      <c r="DP75" s="825">
        <v>7.5</v>
      </c>
      <c r="DQ75" s="825">
        <v>0</v>
      </c>
      <c r="DR75" s="825">
        <v>0</v>
      </c>
      <c r="DS75" s="825">
        <v>0</v>
      </c>
      <c r="DT75" s="825">
        <v>7.8</v>
      </c>
      <c r="DU75" s="825">
        <v>5.3</v>
      </c>
      <c r="DV75" s="825">
        <v>0</v>
      </c>
      <c r="DW75" s="825">
        <v>0</v>
      </c>
      <c r="DX75" s="825">
        <v>0</v>
      </c>
      <c r="DY75" s="825">
        <v>0</v>
      </c>
      <c r="DZ75" s="825">
        <v>0</v>
      </c>
      <c r="EA75" s="825">
        <v>0</v>
      </c>
      <c r="EB75" s="825">
        <v>0</v>
      </c>
      <c r="EC75" s="825">
        <v>0</v>
      </c>
      <c r="ED75" s="825">
        <v>0</v>
      </c>
      <c r="EE75" s="825">
        <v>0</v>
      </c>
      <c r="EF75" s="825">
        <v>0</v>
      </c>
      <c r="EG75" s="825">
        <v>0</v>
      </c>
      <c r="EH75" s="825">
        <v>0</v>
      </c>
      <c r="EI75" s="825">
        <v>0</v>
      </c>
      <c r="EJ75" s="825">
        <v>0</v>
      </c>
      <c r="EK75" s="825">
        <v>0</v>
      </c>
      <c r="EL75" s="825">
        <v>0</v>
      </c>
      <c r="EM75" s="825">
        <v>0</v>
      </c>
      <c r="EN75" s="825">
        <v>0</v>
      </c>
      <c r="EO75" s="825">
        <v>0</v>
      </c>
      <c r="EP75" s="825">
        <v>0</v>
      </c>
      <c r="EQ75" s="825">
        <v>0</v>
      </c>
      <c r="ER75" s="825">
        <v>0</v>
      </c>
      <c r="ES75" s="825">
        <v>0</v>
      </c>
      <c r="ET75" s="825">
        <v>0</v>
      </c>
      <c r="EU75" s="825">
        <v>0</v>
      </c>
      <c r="EV75" s="825">
        <v>0</v>
      </c>
      <c r="EW75" s="825">
        <v>0</v>
      </c>
      <c r="EX75" s="825">
        <v>0</v>
      </c>
      <c r="EY75" s="825">
        <v>0</v>
      </c>
      <c r="EZ75" s="825">
        <v>0</v>
      </c>
      <c r="FA75" s="825">
        <v>0</v>
      </c>
      <c r="FB75" s="825">
        <v>0</v>
      </c>
      <c r="FC75" s="825">
        <v>0</v>
      </c>
      <c r="FD75" s="825">
        <v>0</v>
      </c>
      <c r="FE75" s="825">
        <v>0</v>
      </c>
      <c r="FF75" s="825">
        <v>0</v>
      </c>
      <c r="FG75" s="825">
        <v>0</v>
      </c>
      <c r="FH75" s="825">
        <v>0</v>
      </c>
      <c r="FI75" s="825">
        <v>0</v>
      </c>
      <c r="FJ75" s="825">
        <v>0</v>
      </c>
      <c r="FK75" s="825">
        <v>0</v>
      </c>
      <c r="FL75" s="825">
        <v>0</v>
      </c>
      <c r="FM75" s="825">
        <v>0</v>
      </c>
      <c r="FN75" s="825">
        <v>0</v>
      </c>
      <c r="FO75" s="825">
        <v>0</v>
      </c>
      <c r="FP75" s="825">
        <v>0</v>
      </c>
      <c r="FQ75" s="825">
        <v>0</v>
      </c>
      <c r="FR75" s="825">
        <v>0</v>
      </c>
      <c r="FS75" s="825">
        <v>0</v>
      </c>
      <c r="FT75" s="825">
        <v>0</v>
      </c>
      <c r="FU75" s="825">
        <v>0</v>
      </c>
      <c r="FV75" s="825">
        <v>0</v>
      </c>
      <c r="FW75" s="825">
        <v>0</v>
      </c>
      <c r="FX75" s="825">
        <v>0</v>
      </c>
      <c r="FY75" s="825">
        <v>0</v>
      </c>
      <c r="FZ75" s="825">
        <v>0</v>
      </c>
      <c r="GA75" s="825">
        <v>0</v>
      </c>
      <c r="GB75" s="825">
        <v>0</v>
      </c>
      <c r="GC75" s="825">
        <v>0</v>
      </c>
      <c r="GD75" s="825">
        <v>0</v>
      </c>
      <c r="GE75" s="825">
        <v>0</v>
      </c>
      <c r="GF75" s="825">
        <v>0</v>
      </c>
      <c r="GG75" s="825">
        <v>0</v>
      </c>
      <c r="GH75" s="825">
        <v>0</v>
      </c>
      <c r="GI75" s="825">
        <v>0</v>
      </c>
      <c r="GJ75" s="825">
        <v>0</v>
      </c>
      <c r="GK75" s="825">
        <v>0</v>
      </c>
      <c r="GL75" s="825">
        <v>0</v>
      </c>
      <c r="GM75" s="825">
        <v>0</v>
      </c>
      <c r="GN75" s="825">
        <v>0</v>
      </c>
      <c r="GO75" s="825">
        <v>0</v>
      </c>
      <c r="GP75" s="825">
        <v>0</v>
      </c>
      <c r="GQ75" s="825">
        <v>0</v>
      </c>
      <c r="GR75" s="825">
        <v>0</v>
      </c>
      <c r="GS75" s="825">
        <v>0</v>
      </c>
      <c r="GT75" s="825">
        <v>0</v>
      </c>
      <c r="GU75" s="825">
        <v>0</v>
      </c>
      <c r="GV75" s="825">
        <v>0</v>
      </c>
      <c r="GW75" s="825">
        <v>0</v>
      </c>
      <c r="GX75" s="825">
        <v>0</v>
      </c>
      <c r="GY75" s="825">
        <v>0</v>
      </c>
      <c r="GZ75" s="825">
        <v>0</v>
      </c>
      <c r="HA75" s="825">
        <v>0</v>
      </c>
      <c r="HB75" s="825">
        <v>0</v>
      </c>
      <c r="HC75" s="825">
        <v>0</v>
      </c>
      <c r="HD75" s="825">
        <v>0</v>
      </c>
      <c r="HE75" s="825">
        <v>0</v>
      </c>
      <c r="HF75" s="825">
        <v>0</v>
      </c>
      <c r="HG75" s="825">
        <v>0</v>
      </c>
      <c r="HH75" s="825">
        <v>0</v>
      </c>
      <c r="HI75" s="825">
        <v>0</v>
      </c>
      <c r="HJ75" s="825">
        <v>0</v>
      </c>
      <c r="HK75" s="825">
        <v>0</v>
      </c>
      <c r="HL75" s="825">
        <v>0</v>
      </c>
      <c r="HM75" s="825">
        <v>0</v>
      </c>
      <c r="HN75" s="825">
        <v>0</v>
      </c>
      <c r="HO75" s="825">
        <v>0</v>
      </c>
      <c r="HP75" s="825">
        <v>0</v>
      </c>
      <c r="HQ75" s="825">
        <v>0</v>
      </c>
      <c r="HR75" s="825">
        <v>0</v>
      </c>
      <c r="HS75" s="825">
        <v>0</v>
      </c>
      <c r="HT75" s="825">
        <v>0</v>
      </c>
      <c r="HU75" s="825">
        <v>0</v>
      </c>
    </row>
    <row r="76" spans="1:229" ht="63.75">
      <c r="A76" s="823" t="s">
        <v>515</v>
      </c>
      <c r="B76" s="823" t="s">
        <v>1599</v>
      </c>
      <c r="C76" s="823" t="s">
        <v>1600</v>
      </c>
      <c r="D76" s="824"/>
      <c r="E76" s="824"/>
      <c r="F76" s="824"/>
      <c r="G76" s="826"/>
      <c r="H76" s="824"/>
      <c r="I76" s="824"/>
      <c r="J76" s="826"/>
      <c r="K76" s="824"/>
      <c r="L76" s="824"/>
      <c r="M76" s="824"/>
      <c r="N76" s="826" t="s">
        <v>1601</v>
      </c>
      <c r="O76" s="824" t="s">
        <v>1602</v>
      </c>
      <c r="P76" s="824" t="s">
        <v>1603</v>
      </c>
      <c r="Q76" s="826" t="s">
        <v>1604</v>
      </c>
      <c r="R76" s="826" t="s">
        <v>1605</v>
      </c>
      <c r="S76" s="824" t="s">
        <v>1606</v>
      </c>
      <c r="T76" s="824"/>
      <c r="U76" s="824"/>
      <c r="V76" s="824"/>
      <c r="W76" s="824"/>
      <c r="X76" s="824"/>
      <c r="Y76" s="824"/>
      <c r="Z76" s="824"/>
      <c r="AA76" s="824"/>
      <c r="AB76" s="824"/>
      <c r="AC76" s="824"/>
      <c r="AD76" s="824"/>
      <c r="AE76" s="824"/>
      <c r="AF76" s="824"/>
      <c r="AG76" s="824"/>
      <c r="AH76" s="824"/>
      <c r="AI76" s="824"/>
      <c r="AJ76" s="824"/>
      <c r="AK76" s="824"/>
      <c r="AL76" s="824"/>
      <c r="AM76" s="824"/>
      <c r="AN76" s="824"/>
      <c r="AO76" s="824"/>
      <c r="AP76" s="824"/>
      <c r="AQ76" s="824"/>
      <c r="AR76" s="824"/>
      <c r="AS76" s="824"/>
      <c r="AT76" s="824"/>
      <c r="AU76" s="824"/>
      <c r="AV76" s="824"/>
      <c r="AW76" s="824"/>
      <c r="AX76" s="824"/>
      <c r="AY76" s="824"/>
      <c r="AZ76" s="824"/>
      <c r="BA76" s="824"/>
      <c r="BB76" s="824"/>
      <c r="BC76" s="824"/>
      <c r="BD76" s="824"/>
      <c r="BE76" s="824"/>
      <c r="BF76" s="824"/>
      <c r="BG76" s="824"/>
      <c r="BH76" s="824"/>
      <c r="BI76" s="824"/>
      <c r="BJ76" s="824"/>
      <c r="BK76" s="824"/>
      <c r="BL76" s="824"/>
      <c r="BM76" s="824"/>
      <c r="BN76" s="824"/>
      <c r="BO76" s="824"/>
      <c r="BP76" s="824"/>
      <c r="BQ76" s="824"/>
      <c r="BR76" s="824"/>
      <c r="BS76" s="824"/>
      <c r="BT76" s="824"/>
      <c r="BU76" s="824"/>
      <c r="BV76" s="824"/>
      <c r="BW76" s="824"/>
      <c r="BX76" s="824"/>
      <c r="BY76" s="824"/>
      <c r="BZ76" s="824"/>
      <c r="CA76" s="824"/>
      <c r="CB76" s="824"/>
      <c r="CC76" s="824"/>
      <c r="CD76" s="824"/>
      <c r="CE76" s="824"/>
      <c r="CF76" s="824"/>
      <c r="CG76" s="824"/>
      <c r="CH76" s="824"/>
      <c r="CI76" s="824"/>
      <c r="CJ76" s="824"/>
      <c r="CK76" s="824"/>
      <c r="CL76" s="824"/>
      <c r="CM76" s="824"/>
      <c r="CN76" s="824"/>
      <c r="CO76" s="824"/>
      <c r="CP76" s="824"/>
      <c r="CQ76" s="824"/>
      <c r="CR76" s="824"/>
      <c r="CS76" s="824"/>
      <c r="CT76" s="824"/>
      <c r="CU76" s="824"/>
      <c r="CV76" s="824"/>
      <c r="CW76" s="824"/>
      <c r="CX76" s="824"/>
      <c r="CY76" s="824"/>
      <c r="CZ76" s="824"/>
      <c r="DA76" s="824"/>
      <c r="DB76" s="824"/>
      <c r="DC76" s="824"/>
      <c r="DD76" s="824"/>
      <c r="DE76" s="824"/>
      <c r="DF76" s="824"/>
      <c r="DG76" s="824"/>
      <c r="DH76" s="824"/>
      <c r="DI76" s="824"/>
      <c r="DJ76" s="824"/>
      <c r="DK76" s="824"/>
      <c r="DL76" s="824"/>
      <c r="DM76" s="825">
        <v>0</v>
      </c>
      <c r="DN76" s="825">
        <v>0</v>
      </c>
      <c r="DO76" s="825">
        <v>0</v>
      </c>
      <c r="DP76" s="825">
        <v>0</v>
      </c>
      <c r="DQ76" s="825">
        <v>0</v>
      </c>
      <c r="DR76" s="825">
        <v>0</v>
      </c>
      <c r="DS76" s="825">
        <v>0</v>
      </c>
      <c r="DT76" s="825">
        <v>0</v>
      </c>
      <c r="DU76" s="825">
        <v>0</v>
      </c>
      <c r="DV76" s="825">
        <v>0</v>
      </c>
      <c r="DW76" s="825">
        <v>5.9</v>
      </c>
      <c r="DX76" s="825">
        <v>3.6</v>
      </c>
      <c r="DY76" s="825">
        <v>6.8</v>
      </c>
      <c r="DZ76" s="825">
        <v>5.3</v>
      </c>
      <c r="EA76" s="825">
        <v>7.3</v>
      </c>
      <c r="EB76" s="825">
        <v>6.8</v>
      </c>
      <c r="EC76" s="825">
        <v>0</v>
      </c>
      <c r="ED76" s="825">
        <v>0</v>
      </c>
      <c r="EE76" s="825">
        <v>0</v>
      </c>
      <c r="EF76" s="825">
        <v>0</v>
      </c>
      <c r="EG76" s="825">
        <v>0</v>
      </c>
      <c r="EH76" s="825">
        <v>0</v>
      </c>
      <c r="EI76" s="825">
        <v>0</v>
      </c>
      <c r="EJ76" s="825">
        <v>0</v>
      </c>
      <c r="EK76" s="825">
        <v>0</v>
      </c>
      <c r="EL76" s="825">
        <v>0</v>
      </c>
      <c r="EM76" s="825">
        <v>0</v>
      </c>
      <c r="EN76" s="825">
        <v>0</v>
      </c>
      <c r="EO76" s="825">
        <v>0</v>
      </c>
      <c r="EP76" s="825">
        <v>0</v>
      </c>
      <c r="EQ76" s="825">
        <v>0</v>
      </c>
      <c r="ER76" s="825">
        <v>0</v>
      </c>
      <c r="ES76" s="825">
        <v>0</v>
      </c>
      <c r="ET76" s="825">
        <v>0</v>
      </c>
      <c r="EU76" s="825">
        <v>0</v>
      </c>
      <c r="EV76" s="825">
        <v>0</v>
      </c>
      <c r="EW76" s="825">
        <v>0</v>
      </c>
      <c r="EX76" s="825">
        <v>0</v>
      </c>
      <c r="EY76" s="825">
        <v>0</v>
      </c>
      <c r="EZ76" s="825">
        <v>0</v>
      </c>
      <c r="FA76" s="825">
        <v>0</v>
      </c>
      <c r="FB76" s="825">
        <v>0</v>
      </c>
      <c r="FC76" s="825">
        <v>0</v>
      </c>
      <c r="FD76" s="825">
        <v>0</v>
      </c>
      <c r="FE76" s="825">
        <v>0</v>
      </c>
      <c r="FF76" s="825">
        <v>0</v>
      </c>
      <c r="FG76" s="825">
        <v>0</v>
      </c>
      <c r="FH76" s="825">
        <v>0</v>
      </c>
      <c r="FI76" s="825">
        <v>0</v>
      </c>
      <c r="FJ76" s="825">
        <v>0</v>
      </c>
      <c r="FK76" s="825">
        <v>0</v>
      </c>
      <c r="FL76" s="825">
        <v>0</v>
      </c>
      <c r="FM76" s="825">
        <v>0</v>
      </c>
      <c r="FN76" s="825">
        <v>0</v>
      </c>
      <c r="FO76" s="825">
        <v>0</v>
      </c>
      <c r="FP76" s="825">
        <v>0</v>
      </c>
      <c r="FQ76" s="825">
        <v>0</v>
      </c>
      <c r="FR76" s="825">
        <v>0</v>
      </c>
      <c r="FS76" s="825">
        <v>0</v>
      </c>
      <c r="FT76" s="825">
        <v>0</v>
      </c>
      <c r="FU76" s="825">
        <v>0</v>
      </c>
      <c r="FV76" s="825">
        <v>0</v>
      </c>
      <c r="FW76" s="825">
        <v>0</v>
      </c>
      <c r="FX76" s="825">
        <v>0</v>
      </c>
      <c r="FY76" s="825">
        <v>0</v>
      </c>
      <c r="FZ76" s="825">
        <v>0</v>
      </c>
      <c r="GA76" s="825">
        <v>0</v>
      </c>
      <c r="GB76" s="825">
        <v>0</v>
      </c>
      <c r="GC76" s="825">
        <v>0</v>
      </c>
      <c r="GD76" s="825">
        <v>0</v>
      </c>
      <c r="GE76" s="825">
        <v>0</v>
      </c>
      <c r="GF76" s="825">
        <v>0</v>
      </c>
      <c r="GG76" s="825">
        <v>0</v>
      </c>
      <c r="GH76" s="825">
        <v>0</v>
      </c>
      <c r="GI76" s="825">
        <v>0</v>
      </c>
      <c r="GJ76" s="825">
        <v>0</v>
      </c>
      <c r="GK76" s="825">
        <v>0</v>
      </c>
      <c r="GL76" s="825">
        <v>0</v>
      </c>
      <c r="GM76" s="825">
        <v>0</v>
      </c>
      <c r="GN76" s="825">
        <v>0</v>
      </c>
      <c r="GO76" s="825">
        <v>0</v>
      </c>
      <c r="GP76" s="825">
        <v>0</v>
      </c>
      <c r="GQ76" s="825">
        <v>0</v>
      </c>
      <c r="GR76" s="825">
        <v>0</v>
      </c>
      <c r="GS76" s="825">
        <v>0</v>
      </c>
      <c r="GT76" s="825">
        <v>0</v>
      </c>
      <c r="GU76" s="825">
        <v>0</v>
      </c>
      <c r="GV76" s="825">
        <v>0</v>
      </c>
      <c r="GW76" s="825">
        <v>0</v>
      </c>
      <c r="GX76" s="825">
        <v>0</v>
      </c>
      <c r="GY76" s="825">
        <v>0</v>
      </c>
      <c r="GZ76" s="825">
        <v>0</v>
      </c>
      <c r="HA76" s="825">
        <v>0</v>
      </c>
      <c r="HB76" s="825">
        <v>0</v>
      </c>
      <c r="HC76" s="825">
        <v>0</v>
      </c>
      <c r="HD76" s="825">
        <v>0</v>
      </c>
      <c r="HE76" s="825">
        <v>0</v>
      </c>
      <c r="HF76" s="825">
        <v>0</v>
      </c>
      <c r="HG76" s="825">
        <v>0</v>
      </c>
      <c r="HH76" s="825">
        <v>0</v>
      </c>
      <c r="HI76" s="825">
        <v>0</v>
      </c>
      <c r="HJ76" s="825">
        <v>0</v>
      </c>
      <c r="HK76" s="825">
        <v>0</v>
      </c>
      <c r="HL76" s="825">
        <v>0</v>
      </c>
      <c r="HM76" s="825">
        <v>0</v>
      </c>
      <c r="HN76" s="825">
        <v>0</v>
      </c>
      <c r="HO76" s="825">
        <v>0</v>
      </c>
      <c r="HP76" s="825">
        <v>0</v>
      </c>
      <c r="HQ76" s="825">
        <v>0</v>
      </c>
      <c r="HR76" s="825">
        <v>0</v>
      </c>
      <c r="HS76" s="825">
        <v>0</v>
      </c>
      <c r="HT76" s="825">
        <v>0</v>
      </c>
      <c r="HU76" s="825">
        <v>0</v>
      </c>
    </row>
    <row r="77" spans="1:229" ht="89.25">
      <c r="A77" s="823" t="s">
        <v>515</v>
      </c>
      <c r="B77" s="823" t="s">
        <v>1599</v>
      </c>
      <c r="C77" s="823" t="s">
        <v>1607</v>
      </c>
      <c r="D77" s="824"/>
      <c r="E77" s="826" t="s">
        <v>1608</v>
      </c>
      <c r="F77" s="824"/>
      <c r="G77" s="824"/>
      <c r="H77" s="826" t="s">
        <v>1609</v>
      </c>
      <c r="I77" s="824"/>
      <c r="J77" s="824"/>
      <c r="K77" s="824"/>
      <c r="L77" s="826" t="s">
        <v>1610</v>
      </c>
      <c r="M77" s="824" t="s">
        <v>1611</v>
      </c>
      <c r="N77" s="824" t="s">
        <v>1612</v>
      </c>
      <c r="O77" s="824" t="s">
        <v>1613</v>
      </c>
      <c r="P77" s="824"/>
      <c r="Q77" s="824"/>
      <c r="R77" s="824"/>
      <c r="S77" s="824"/>
      <c r="T77" s="824"/>
      <c r="U77" s="824"/>
      <c r="V77" s="824"/>
      <c r="W77" s="824"/>
      <c r="X77" s="824"/>
      <c r="Y77" s="824"/>
      <c r="Z77" s="824"/>
      <c r="AA77" s="824"/>
      <c r="AB77" s="824"/>
      <c r="AC77" s="824"/>
      <c r="AD77" s="824"/>
      <c r="AE77" s="824"/>
      <c r="AF77" s="824"/>
      <c r="AG77" s="824"/>
      <c r="AH77" s="824"/>
      <c r="AI77" s="824"/>
      <c r="AJ77" s="824"/>
      <c r="AK77" s="824"/>
      <c r="AL77" s="824"/>
      <c r="AM77" s="824"/>
      <c r="AN77" s="824"/>
      <c r="AO77" s="824"/>
      <c r="AP77" s="824"/>
      <c r="AQ77" s="824"/>
      <c r="AR77" s="824"/>
      <c r="AS77" s="824"/>
      <c r="AT77" s="824"/>
      <c r="AU77" s="824"/>
      <c r="AV77" s="824"/>
      <c r="AW77" s="824"/>
      <c r="AX77" s="824"/>
      <c r="AY77" s="824"/>
      <c r="AZ77" s="824"/>
      <c r="BA77" s="824"/>
      <c r="BB77" s="824"/>
      <c r="BC77" s="824"/>
      <c r="BD77" s="824"/>
      <c r="BE77" s="824"/>
      <c r="BF77" s="824"/>
      <c r="BG77" s="824"/>
      <c r="BH77" s="824"/>
      <c r="BI77" s="824"/>
      <c r="BJ77" s="824"/>
      <c r="BK77" s="824"/>
      <c r="BL77" s="824"/>
      <c r="BM77" s="824"/>
      <c r="BN77" s="824"/>
      <c r="BO77" s="824"/>
      <c r="BP77" s="824"/>
      <c r="BQ77" s="824"/>
      <c r="BR77" s="824"/>
      <c r="BS77" s="824"/>
      <c r="BT77" s="824"/>
      <c r="BU77" s="824"/>
      <c r="BV77" s="824"/>
      <c r="BW77" s="824"/>
      <c r="BX77" s="824"/>
      <c r="BY77" s="824"/>
      <c r="BZ77" s="824"/>
      <c r="CA77" s="824"/>
      <c r="CB77" s="824"/>
      <c r="CC77" s="824"/>
      <c r="CD77" s="824"/>
      <c r="CE77" s="824"/>
      <c r="CF77" s="824"/>
      <c r="CG77" s="824"/>
      <c r="CH77" s="824"/>
      <c r="CI77" s="824"/>
      <c r="CJ77" s="824"/>
      <c r="CK77" s="824"/>
      <c r="CL77" s="824"/>
      <c r="CM77" s="824"/>
      <c r="CN77" s="824"/>
      <c r="CO77" s="824"/>
      <c r="CP77" s="824"/>
      <c r="CQ77" s="824"/>
      <c r="CR77" s="824"/>
      <c r="CS77" s="824"/>
      <c r="CT77" s="824"/>
      <c r="CU77" s="824"/>
      <c r="CV77" s="824"/>
      <c r="CW77" s="824"/>
      <c r="CX77" s="824"/>
      <c r="CY77" s="824"/>
      <c r="CZ77" s="824"/>
      <c r="DA77" s="824"/>
      <c r="DB77" s="824"/>
      <c r="DC77" s="824"/>
      <c r="DD77" s="824"/>
      <c r="DE77" s="824"/>
      <c r="DF77" s="824"/>
      <c r="DG77" s="824"/>
      <c r="DH77" s="824"/>
      <c r="DI77" s="824"/>
      <c r="DJ77" s="824"/>
      <c r="DK77" s="824"/>
      <c r="DL77" s="824"/>
      <c r="DM77" s="825">
        <v>0</v>
      </c>
      <c r="DN77" s="825">
        <v>8.3000000000000007</v>
      </c>
      <c r="DO77" s="825">
        <v>0</v>
      </c>
      <c r="DP77" s="825">
        <v>0</v>
      </c>
      <c r="DQ77" s="825">
        <v>11</v>
      </c>
      <c r="DR77" s="825">
        <v>0</v>
      </c>
      <c r="DS77" s="825">
        <v>0</v>
      </c>
      <c r="DT77" s="825">
        <v>0</v>
      </c>
      <c r="DU77" s="825">
        <v>6.2</v>
      </c>
      <c r="DV77" s="825">
        <v>7</v>
      </c>
      <c r="DW77" s="825">
        <v>7.4</v>
      </c>
      <c r="DX77" s="825">
        <v>3.6</v>
      </c>
      <c r="DY77" s="825">
        <v>0</v>
      </c>
      <c r="DZ77" s="825">
        <v>0</v>
      </c>
      <c r="EA77" s="825">
        <v>0</v>
      </c>
      <c r="EB77" s="825">
        <v>0</v>
      </c>
      <c r="EC77" s="825">
        <v>0</v>
      </c>
      <c r="ED77" s="825">
        <v>0</v>
      </c>
      <c r="EE77" s="825">
        <v>0</v>
      </c>
      <c r="EF77" s="825">
        <v>0</v>
      </c>
      <c r="EG77" s="825">
        <v>0</v>
      </c>
      <c r="EH77" s="825">
        <v>0</v>
      </c>
      <c r="EI77" s="825">
        <v>0</v>
      </c>
      <c r="EJ77" s="825">
        <v>0</v>
      </c>
      <c r="EK77" s="825">
        <v>0</v>
      </c>
      <c r="EL77" s="825">
        <v>0</v>
      </c>
      <c r="EM77" s="825">
        <v>0</v>
      </c>
      <c r="EN77" s="825">
        <v>0</v>
      </c>
      <c r="EO77" s="825">
        <v>0</v>
      </c>
      <c r="EP77" s="825">
        <v>0</v>
      </c>
      <c r="EQ77" s="825">
        <v>0</v>
      </c>
      <c r="ER77" s="825">
        <v>0</v>
      </c>
      <c r="ES77" s="825">
        <v>0</v>
      </c>
      <c r="ET77" s="825">
        <v>0</v>
      </c>
      <c r="EU77" s="825">
        <v>0</v>
      </c>
      <c r="EV77" s="825">
        <v>0</v>
      </c>
      <c r="EW77" s="825">
        <v>0</v>
      </c>
      <c r="EX77" s="825">
        <v>0</v>
      </c>
      <c r="EY77" s="825">
        <v>0</v>
      </c>
      <c r="EZ77" s="825">
        <v>0</v>
      </c>
      <c r="FA77" s="825">
        <v>0</v>
      </c>
      <c r="FB77" s="825">
        <v>0</v>
      </c>
      <c r="FC77" s="825">
        <v>0</v>
      </c>
      <c r="FD77" s="825">
        <v>0</v>
      </c>
      <c r="FE77" s="825">
        <v>0</v>
      </c>
      <c r="FF77" s="825">
        <v>0</v>
      </c>
      <c r="FG77" s="825">
        <v>0</v>
      </c>
      <c r="FH77" s="825">
        <v>0</v>
      </c>
      <c r="FI77" s="825">
        <v>0</v>
      </c>
      <c r="FJ77" s="825">
        <v>0</v>
      </c>
      <c r="FK77" s="825">
        <v>0</v>
      </c>
      <c r="FL77" s="825">
        <v>0</v>
      </c>
      <c r="FM77" s="825">
        <v>0</v>
      </c>
      <c r="FN77" s="825">
        <v>0</v>
      </c>
      <c r="FO77" s="825">
        <v>0</v>
      </c>
      <c r="FP77" s="825">
        <v>0</v>
      </c>
      <c r="FQ77" s="825">
        <v>0</v>
      </c>
      <c r="FR77" s="825">
        <v>0</v>
      </c>
      <c r="FS77" s="825">
        <v>0</v>
      </c>
      <c r="FT77" s="825">
        <v>0</v>
      </c>
      <c r="FU77" s="825">
        <v>0</v>
      </c>
      <c r="FV77" s="825">
        <v>0</v>
      </c>
      <c r="FW77" s="825">
        <v>0</v>
      </c>
      <c r="FX77" s="825">
        <v>0</v>
      </c>
      <c r="FY77" s="825">
        <v>0</v>
      </c>
      <c r="FZ77" s="825">
        <v>0</v>
      </c>
      <c r="GA77" s="825">
        <v>0</v>
      </c>
      <c r="GB77" s="825">
        <v>0</v>
      </c>
      <c r="GC77" s="825">
        <v>0</v>
      </c>
      <c r="GD77" s="825">
        <v>0</v>
      </c>
      <c r="GE77" s="825">
        <v>0</v>
      </c>
      <c r="GF77" s="825">
        <v>0</v>
      </c>
      <c r="GG77" s="825">
        <v>0</v>
      </c>
      <c r="GH77" s="825">
        <v>0</v>
      </c>
      <c r="GI77" s="825">
        <v>0</v>
      </c>
      <c r="GJ77" s="825">
        <v>0</v>
      </c>
      <c r="GK77" s="825">
        <v>0</v>
      </c>
      <c r="GL77" s="825">
        <v>0</v>
      </c>
      <c r="GM77" s="825">
        <v>0</v>
      </c>
      <c r="GN77" s="825">
        <v>0</v>
      </c>
      <c r="GO77" s="825">
        <v>0</v>
      </c>
      <c r="GP77" s="825">
        <v>0</v>
      </c>
      <c r="GQ77" s="825">
        <v>0</v>
      </c>
      <c r="GR77" s="825">
        <v>0</v>
      </c>
      <c r="GS77" s="825">
        <v>0</v>
      </c>
      <c r="GT77" s="825">
        <v>0</v>
      </c>
      <c r="GU77" s="825">
        <v>0</v>
      </c>
      <c r="GV77" s="825">
        <v>0</v>
      </c>
      <c r="GW77" s="825">
        <v>0</v>
      </c>
      <c r="GX77" s="825">
        <v>0</v>
      </c>
      <c r="GY77" s="825">
        <v>0</v>
      </c>
      <c r="GZ77" s="825">
        <v>0</v>
      </c>
      <c r="HA77" s="825">
        <v>0</v>
      </c>
      <c r="HB77" s="825">
        <v>0</v>
      </c>
      <c r="HC77" s="825">
        <v>0</v>
      </c>
      <c r="HD77" s="825">
        <v>0</v>
      </c>
      <c r="HE77" s="825">
        <v>0</v>
      </c>
      <c r="HF77" s="825">
        <v>0</v>
      </c>
      <c r="HG77" s="825">
        <v>0</v>
      </c>
      <c r="HH77" s="825">
        <v>0</v>
      </c>
      <c r="HI77" s="825">
        <v>0</v>
      </c>
      <c r="HJ77" s="825">
        <v>0</v>
      </c>
      <c r="HK77" s="825">
        <v>0</v>
      </c>
      <c r="HL77" s="825">
        <v>0</v>
      </c>
      <c r="HM77" s="825">
        <v>0</v>
      </c>
      <c r="HN77" s="825">
        <v>0</v>
      </c>
      <c r="HO77" s="825">
        <v>0</v>
      </c>
      <c r="HP77" s="825">
        <v>0</v>
      </c>
      <c r="HQ77" s="825">
        <v>0</v>
      </c>
      <c r="HR77" s="825">
        <v>0</v>
      </c>
      <c r="HS77" s="825">
        <v>0</v>
      </c>
      <c r="HT77" s="825">
        <v>0</v>
      </c>
      <c r="HU77" s="825">
        <v>0</v>
      </c>
    </row>
    <row r="78" spans="1:229" ht="191.25">
      <c r="A78" s="823" t="s">
        <v>515</v>
      </c>
      <c r="B78" s="823" t="s">
        <v>1614</v>
      </c>
      <c r="C78" s="823" t="s">
        <v>1615</v>
      </c>
      <c r="D78" s="824"/>
      <c r="E78" s="824" t="s">
        <v>1616</v>
      </c>
      <c r="F78" s="824" t="s">
        <v>1617</v>
      </c>
      <c r="G78" s="826" t="s">
        <v>1618</v>
      </c>
      <c r="H78" s="826" t="s">
        <v>1619</v>
      </c>
      <c r="I78" s="824" t="s">
        <v>1620</v>
      </c>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4"/>
      <c r="AO78" s="824"/>
      <c r="AP78" s="824"/>
      <c r="AQ78" s="824"/>
      <c r="AR78" s="824"/>
      <c r="AS78" s="824"/>
      <c r="AT78" s="824"/>
      <c r="AU78" s="824"/>
      <c r="AV78" s="824"/>
      <c r="AW78" s="824"/>
      <c r="AX78" s="824"/>
      <c r="AY78" s="824"/>
      <c r="AZ78" s="824"/>
      <c r="BA78" s="824"/>
      <c r="BB78" s="824"/>
      <c r="BC78" s="824"/>
      <c r="BD78" s="824"/>
      <c r="BE78" s="824"/>
      <c r="BF78" s="824"/>
      <c r="BG78" s="824"/>
      <c r="BH78" s="824"/>
      <c r="BI78" s="824"/>
      <c r="BJ78" s="824"/>
      <c r="BK78" s="824"/>
      <c r="BL78" s="824"/>
      <c r="BM78" s="824"/>
      <c r="BN78" s="824"/>
      <c r="BO78" s="824"/>
      <c r="BP78" s="824"/>
      <c r="BQ78" s="824"/>
      <c r="BR78" s="824"/>
      <c r="BS78" s="824"/>
      <c r="BT78" s="824"/>
      <c r="BU78" s="824"/>
      <c r="BV78" s="824"/>
      <c r="BW78" s="824"/>
      <c r="BX78" s="824"/>
      <c r="BY78" s="824"/>
      <c r="BZ78" s="824"/>
      <c r="CA78" s="824"/>
      <c r="CB78" s="824"/>
      <c r="CC78" s="824"/>
      <c r="CD78" s="824"/>
      <c r="CE78" s="824"/>
      <c r="CF78" s="824"/>
      <c r="CG78" s="824"/>
      <c r="CH78" s="824"/>
      <c r="CI78" s="824"/>
      <c r="CJ78" s="824"/>
      <c r="CK78" s="824"/>
      <c r="CL78" s="824"/>
      <c r="CM78" s="824"/>
      <c r="CN78" s="824"/>
      <c r="CO78" s="824"/>
      <c r="CP78" s="824"/>
      <c r="CQ78" s="824"/>
      <c r="CR78" s="824"/>
      <c r="CS78" s="824"/>
      <c r="CT78" s="824"/>
      <c r="CU78" s="824"/>
      <c r="CV78" s="824"/>
      <c r="CW78" s="824"/>
      <c r="CX78" s="824"/>
      <c r="CY78" s="824"/>
      <c r="CZ78" s="824"/>
      <c r="DA78" s="824"/>
      <c r="DB78" s="824"/>
      <c r="DC78" s="824"/>
      <c r="DD78" s="824"/>
      <c r="DE78" s="824"/>
      <c r="DF78" s="824"/>
      <c r="DG78" s="824"/>
      <c r="DH78" s="824"/>
      <c r="DI78" s="824"/>
      <c r="DJ78" s="824"/>
      <c r="DK78" s="824"/>
      <c r="DL78" s="824"/>
      <c r="DM78" s="825">
        <v>0</v>
      </c>
      <c r="DN78" s="825">
        <v>13.8</v>
      </c>
      <c r="DO78" s="825">
        <v>7.2</v>
      </c>
      <c r="DP78" s="825">
        <v>6.8</v>
      </c>
      <c r="DQ78" s="825">
        <v>13.5</v>
      </c>
      <c r="DR78" s="825">
        <v>20.2</v>
      </c>
      <c r="DS78" s="825">
        <v>0</v>
      </c>
      <c r="DT78" s="825">
        <v>0</v>
      </c>
      <c r="DU78" s="825">
        <v>0</v>
      </c>
      <c r="DV78" s="825">
        <v>0</v>
      </c>
      <c r="DW78" s="825">
        <v>0</v>
      </c>
      <c r="DX78" s="825">
        <v>0</v>
      </c>
      <c r="DY78" s="825">
        <v>0</v>
      </c>
      <c r="DZ78" s="825">
        <v>0</v>
      </c>
      <c r="EA78" s="825">
        <v>0</v>
      </c>
      <c r="EB78" s="825">
        <v>0</v>
      </c>
      <c r="EC78" s="825">
        <v>0</v>
      </c>
      <c r="ED78" s="825">
        <v>0</v>
      </c>
      <c r="EE78" s="825">
        <v>0</v>
      </c>
      <c r="EF78" s="825">
        <v>0</v>
      </c>
      <c r="EG78" s="825">
        <v>0</v>
      </c>
      <c r="EH78" s="825">
        <v>0</v>
      </c>
      <c r="EI78" s="825">
        <v>0</v>
      </c>
      <c r="EJ78" s="825">
        <v>0</v>
      </c>
      <c r="EK78" s="825">
        <v>0</v>
      </c>
      <c r="EL78" s="825">
        <v>0</v>
      </c>
      <c r="EM78" s="825">
        <v>0</v>
      </c>
      <c r="EN78" s="825">
        <v>0</v>
      </c>
      <c r="EO78" s="825">
        <v>0</v>
      </c>
      <c r="EP78" s="825">
        <v>0</v>
      </c>
      <c r="EQ78" s="825">
        <v>0</v>
      </c>
      <c r="ER78" s="825">
        <v>0</v>
      </c>
      <c r="ES78" s="825">
        <v>0</v>
      </c>
      <c r="ET78" s="825">
        <v>0</v>
      </c>
      <c r="EU78" s="825">
        <v>0</v>
      </c>
      <c r="EV78" s="825">
        <v>0</v>
      </c>
      <c r="EW78" s="825">
        <v>0</v>
      </c>
      <c r="EX78" s="825">
        <v>0</v>
      </c>
      <c r="EY78" s="825">
        <v>0</v>
      </c>
      <c r="EZ78" s="825">
        <v>0</v>
      </c>
      <c r="FA78" s="825">
        <v>0</v>
      </c>
      <c r="FB78" s="825">
        <v>0</v>
      </c>
      <c r="FC78" s="825">
        <v>0</v>
      </c>
      <c r="FD78" s="825">
        <v>0</v>
      </c>
      <c r="FE78" s="825">
        <v>0</v>
      </c>
      <c r="FF78" s="825">
        <v>0</v>
      </c>
      <c r="FG78" s="825">
        <v>0</v>
      </c>
      <c r="FH78" s="825">
        <v>0</v>
      </c>
      <c r="FI78" s="825">
        <v>0</v>
      </c>
      <c r="FJ78" s="825">
        <v>0</v>
      </c>
      <c r="FK78" s="825">
        <v>0</v>
      </c>
      <c r="FL78" s="825">
        <v>0</v>
      </c>
      <c r="FM78" s="825">
        <v>0</v>
      </c>
      <c r="FN78" s="825">
        <v>0</v>
      </c>
      <c r="FO78" s="825">
        <v>0</v>
      </c>
      <c r="FP78" s="825">
        <v>0</v>
      </c>
      <c r="FQ78" s="825">
        <v>0</v>
      </c>
      <c r="FR78" s="825">
        <v>0</v>
      </c>
      <c r="FS78" s="825">
        <v>0</v>
      </c>
      <c r="FT78" s="825">
        <v>0</v>
      </c>
      <c r="FU78" s="825">
        <v>0</v>
      </c>
      <c r="FV78" s="825">
        <v>0</v>
      </c>
      <c r="FW78" s="825">
        <v>0</v>
      </c>
      <c r="FX78" s="825">
        <v>0</v>
      </c>
      <c r="FY78" s="825">
        <v>0</v>
      </c>
      <c r="FZ78" s="825">
        <v>0</v>
      </c>
      <c r="GA78" s="825">
        <v>0</v>
      </c>
      <c r="GB78" s="825">
        <v>0</v>
      </c>
      <c r="GC78" s="825">
        <v>0</v>
      </c>
      <c r="GD78" s="825">
        <v>0</v>
      </c>
      <c r="GE78" s="825">
        <v>0</v>
      </c>
      <c r="GF78" s="825">
        <v>0</v>
      </c>
      <c r="GG78" s="825">
        <v>0</v>
      </c>
      <c r="GH78" s="825">
        <v>0</v>
      </c>
      <c r="GI78" s="825">
        <v>0</v>
      </c>
      <c r="GJ78" s="825">
        <v>0</v>
      </c>
      <c r="GK78" s="825">
        <v>0</v>
      </c>
      <c r="GL78" s="825">
        <v>0</v>
      </c>
      <c r="GM78" s="825">
        <v>0</v>
      </c>
      <c r="GN78" s="825">
        <v>0</v>
      </c>
      <c r="GO78" s="825">
        <v>0</v>
      </c>
      <c r="GP78" s="825">
        <v>0</v>
      </c>
      <c r="GQ78" s="825">
        <v>0</v>
      </c>
      <c r="GR78" s="825">
        <v>0</v>
      </c>
      <c r="GS78" s="825">
        <v>0</v>
      </c>
      <c r="GT78" s="825">
        <v>0</v>
      </c>
      <c r="GU78" s="825">
        <v>0</v>
      </c>
      <c r="GV78" s="825">
        <v>0</v>
      </c>
      <c r="GW78" s="825">
        <v>0</v>
      </c>
      <c r="GX78" s="825">
        <v>0</v>
      </c>
      <c r="GY78" s="825">
        <v>0</v>
      </c>
      <c r="GZ78" s="825">
        <v>0</v>
      </c>
      <c r="HA78" s="825">
        <v>0</v>
      </c>
      <c r="HB78" s="825">
        <v>0</v>
      </c>
      <c r="HC78" s="825">
        <v>0</v>
      </c>
      <c r="HD78" s="825">
        <v>0</v>
      </c>
      <c r="HE78" s="825">
        <v>0</v>
      </c>
      <c r="HF78" s="825">
        <v>0</v>
      </c>
      <c r="HG78" s="825">
        <v>0</v>
      </c>
      <c r="HH78" s="825">
        <v>0</v>
      </c>
      <c r="HI78" s="825">
        <v>0</v>
      </c>
      <c r="HJ78" s="825">
        <v>0</v>
      </c>
      <c r="HK78" s="825">
        <v>0</v>
      </c>
      <c r="HL78" s="825">
        <v>0</v>
      </c>
      <c r="HM78" s="825">
        <v>0</v>
      </c>
      <c r="HN78" s="825">
        <v>0</v>
      </c>
      <c r="HO78" s="825">
        <v>0</v>
      </c>
      <c r="HP78" s="825">
        <v>0</v>
      </c>
      <c r="HQ78" s="825">
        <v>0</v>
      </c>
      <c r="HR78" s="825">
        <v>0</v>
      </c>
      <c r="HS78" s="825">
        <v>0</v>
      </c>
      <c r="HT78" s="825">
        <v>0</v>
      </c>
      <c r="HU78" s="825">
        <v>0</v>
      </c>
    </row>
    <row r="79" spans="1:229" ht="63.75">
      <c r="A79" s="823" t="s">
        <v>515</v>
      </c>
      <c r="B79" s="823" t="s">
        <v>1614</v>
      </c>
      <c r="C79" s="823" t="s">
        <v>1621</v>
      </c>
      <c r="D79" s="826" t="s">
        <v>1622</v>
      </c>
      <c r="E79" s="826" t="s">
        <v>1623</v>
      </c>
      <c r="F79" s="824" t="s">
        <v>1624</v>
      </c>
      <c r="G79" s="826" t="s">
        <v>1625</v>
      </c>
      <c r="H79" s="826" t="s">
        <v>1626</v>
      </c>
      <c r="I79" s="824" t="s">
        <v>1627</v>
      </c>
      <c r="J79" s="826" t="s">
        <v>1628</v>
      </c>
      <c r="K79" s="824" t="s">
        <v>1629</v>
      </c>
      <c r="L79" s="824" t="s">
        <v>1630</v>
      </c>
      <c r="M79" s="824"/>
      <c r="N79" s="824"/>
      <c r="O79" s="824"/>
      <c r="P79" s="824"/>
      <c r="Q79" s="824"/>
      <c r="R79" s="824"/>
      <c r="S79" s="824"/>
      <c r="T79" s="824"/>
      <c r="U79" s="824"/>
      <c r="V79" s="824"/>
      <c r="W79" s="824"/>
      <c r="X79" s="824"/>
      <c r="Y79" s="824"/>
      <c r="Z79" s="824"/>
      <c r="AA79" s="824"/>
      <c r="AB79" s="824"/>
      <c r="AC79" s="824"/>
      <c r="AD79" s="824"/>
      <c r="AE79" s="824"/>
      <c r="AF79" s="824"/>
      <c r="AG79" s="824"/>
      <c r="AH79" s="824"/>
      <c r="AI79" s="824"/>
      <c r="AJ79" s="824"/>
      <c r="AK79" s="824"/>
      <c r="AL79" s="824"/>
      <c r="AM79" s="824"/>
      <c r="AN79" s="824"/>
      <c r="AO79" s="824"/>
      <c r="AP79" s="824"/>
      <c r="AQ79" s="824"/>
      <c r="AR79" s="824"/>
      <c r="AS79" s="824"/>
      <c r="AT79" s="824"/>
      <c r="AU79" s="824"/>
      <c r="AV79" s="824"/>
      <c r="AW79" s="824"/>
      <c r="AX79" s="824"/>
      <c r="AY79" s="824"/>
      <c r="AZ79" s="824"/>
      <c r="BA79" s="824"/>
      <c r="BB79" s="824"/>
      <c r="BC79" s="824"/>
      <c r="BD79" s="824"/>
      <c r="BE79" s="824"/>
      <c r="BF79" s="824"/>
      <c r="BG79" s="824"/>
      <c r="BH79" s="824"/>
      <c r="BI79" s="824"/>
      <c r="BJ79" s="824"/>
      <c r="BK79" s="824"/>
      <c r="BL79" s="824"/>
      <c r="BM79" s="824"/>
      <c r="BN79" s="824"/>
      <c r="BO79" s="824"/>
      <c r="BP79" s="824"/>
      <c r="BQ79" s="824"/>
      <c r="BR79" s="824"/>
      <c r="BS79" s="824"/>
      <c r="BT79" s="824"/>
      <c r="BU79" s="824"/>
      <c r="BV79" s="824"/>
      <c r="BW79" s="824"/>
      <c r="BX79" s="824"/>
      <c r="BY79" s="824"/>
      <c r="BZ79" s="824"/>
      <c r="CA79" s="824"/>
      <c r="CB79" s="824"/>
      <c r="CC79" s="824"/>
      <c r="CD79" s="824"/>
      <c r="CE79" s="824"/>
      <c r="CF79" s="824"/>
      <c r="CG79" s="824"/>
      <c r="CH79" s="824"/>
      <c r="CI79" s="824"/>
      <c r="CJ79" s="824"/>
      <c r="CK79" s="824"/>
      <c r="CL79" s="824"/>
      <c r="CM79" s="824"/>
      <c r="CN79" s="824"/>
      <c r="CO79" s="824"/>
      <c r="CP79" s="824"/>
      <c r="CQ79" s="824"/>
      <c r="CR79" s="824"/>
      <c r="CS79" s="824"/>
      <c r="CT79" s="824"/>
      <c r="CU79" s="824"/>
      <c r="CV79" s="824"/>
      <c r="CW79" s="824"/>
      <c r="CX79" s="824"/>
      <c r="CY79" s="824"/>
      <c r="CZ79" s="824"/>
      <c r="DA79" s="824"/>
      <c r="DB79" s="824"/>
      <c r="DC79" s="824"/>
      <c r="DD79" s="824"/>
      <c r="DE79" s="824"/>
      <c r="DF79" s="824"/>
      <c r="DG79" s="824"/>
      <c r="DH79" s="824"/>
      <c r="DI79" s="824"/>
      <c r="DJ79" s="824"/>
      <c r="DK79" s="824"/>
      <c r="DL79" s="824"/>
      <c r="DM79" s="825">
        <v>10.199999999999999</v>
      </c>
      <c r="DN79" s="825">
        <v>6.3</v>
      </c>
      <c r="DO79" s="825">
        <v>6.9</v>
      </c>
      <c r="DP79" s="825">
        <v>10.199999999999999</v>
      </c>
      <c r="DQ79" s="825">
        <v>17.399999999999999</v>
      </c>
      <c r="DR79" s="825">
        <v>14.8</v>
      </c>
      <c r="DS79" s="825">
        <v>6.3</v>
      </c>
      <c r="DT79" s="825">
        <v>11.6</v>
      </c>
      <c r="DU79" s="825">
        <v>12.8</v>
      </c>
      <c r="DV79" s="825">
        <v>0</v>
      </c>
      <c r="DW79" s="825">
        <v>0</v>
      </c>
      <c r="DX79" s="825">
        <v>0</v>
      </c>
      <c r="DY79" s="825">
        <v>0</v>
      </c>
      <c r="DZ79" s="825">
        <v>0</v>
      </c>
      <c r="EA79" s="825">
        <v>0</v>
      </c>
      <c r="EB79" s="825">
        <v>0</v>
      </c>
      <c r="EC79" s="825">
        <v>0</v>
      </c>
      <c r="ED79" s="825">
        <v>0</v>
      </c>
      <c r="EE79" s="825">
        <v>0</v>
      </c>
      <c r="EF79" s="825">
        <v>0</v>
      </c>
      <c r="EG79" s="825">
        <v>0</v>
      </c>
      <c r="EH79" s="825">
        <v>0</v>
      </c>
      <c r="EI79" s="825">
        <v>0</v>
      </c>
      <c r="EJ79" s="825">
        <v>0</v>
      </c>
      <c r="EK79" s="825">
        <v>0</v>
      </c>
      <c r="EL79" s="825">
        <v>0</v>
      </c>
      <c r="EM79" s="825">
        <v>0</v>
      </c>
      <c r="EN79" s="825">
        <v>0</v>
      </c>
      <c r="EO79" s="825">
        <v>0</v>
      </c>
      <c r="EP79" s="825">
        <v>0</v>
      </c>
      <c r="EQ79" s="825">
        <v>0</v>
      </c>
      <c r="ER79" s="825">
        <v>0</v>
      </c>
      <c r="ES79" s="825">
        <v>0</v>
      </c>
      <c r="ET79" s="825">
        <v>0</v>
      </c>
      <c r="EU79" s="825">
        <v>0</v>
      </c>
      <c r="EV79" s="825">
        <v>0</v>
      </c>
      <c r="EW79" s="825">
        <v>0</v>
      </c>
      <c r="EX79" s="825">
        <v>0</v>
      </c>
      <c r="EY79" s="825">
        <v>0</v>
      </c>
      <c r="EZ79" s="825">
        <v>0</v>
      </c>
      <c r="FA79" s="825">
        <v>0</v>
      </c>
      <c r="FB79" s="825">
        <v>0</v>
      </c>
      <c r="FC79" s="825">
        <v>0</v>
      </c>
      <c r="FD79" s="825">
        <v>0</v>
      </c>
      <c r="FE79" s="825">
        <v>0</v>
      </c>
      <c r="FF79" s="825">
        <v>0</v>
      </c>
      <c r="FG79" s="825">
        <v>0</v>
      </c>
      <c r="FH79" s="825">
        <v>0</v>
      </c>
      <c r="FI79" s="825">
        <v>0</v>
      </c>
      <c r="FJ79" s="825">
        <v>0</v>
      </c>
      <c r="FK79" s="825">
        <v>0</v>
      </c>
      <c r="FL79" s="825">
        <v>0</v>
      </c>
      <c r="FM79" s="825">
        <v>0</v>
      </c>
      <c r="FN79" s="825">
        <v>0</v>
      </c>
      <c r="FO79" s="825">
        <v>0</v>
      </c>
      <c r="FP79" s="825">
        <v>0</v>
      </c>
      <c r="FQ79" s="825">
        <v>0</v>
      </c>
      <c r="FR79" s="825">
        <v>0</v>
      </c>
      <c r="FS79" s="825">
        <v>0</v>
      </c>
      <c r="FT79" s="825">
        <v>0</v>
      </c>
      <c r="FU79" s="825">
        <v>0</v>
      </c>
      <c r="FV79" s="825">
        <v>0</v>
      </c>
      <c r="FW79" s="825">
        <v>0</v>
      </c>
      <c r="FX79" s="825">
        <v>0</v>
      </c>
      <c r="FY79" s="825">
        <v>0</v>
      </c>
      <c r="FZ79" s="825">
        <v>0</v>
      </c>
      <c r="GA79" s="825">
        <v>0</v>
      </c>
      <c r="GB79" s="825">
        <v>0</v>
      </c>
      <c r="GC79" s="825">
        <v>0</v>
      </c>
      <c r="GD79" s="825">
        <v>0</v>
      </c>
      <c r="GE79" s="825">
        <v>0</v>
      </c>
      <c r="GF79" s="825">
        <v>0</v>
      </c>
      <c r="GG79" s="825">
        <v>0</v>
      </c>
      <c r="GH79" s="825">
        <v>0</v>
      </c>
      <c r="GI79" s="825">
        <v>0</v>
      </c>
      <c r="GJ79" s="825">
        <v>0</v>
      </c>
      <c r="GK79" s="825">
        <v>0</v>
      </c>
      <c r="GL79" s="825">
        <v>0</v>
      </c>
      <c r="GM79" s="825">
        <v>0</v>
      </c>
      <c r="GN79" s="825">
        <v>0</v>
      </c>
      <c r="GO79" s="825">
        <v>0</v>
      </c>
      <c r="GP79" s="825">
        <v>0</v>
      </c>
      <c r="GQ79" s="825">
        <v>0</v>
      </c>
      <c r="GR79" s="825">
        <v>0</v>
      </c>
      <c r="GS79" s="825">
        <v>0</v>
      </c>
      <c r="GT79" s="825">
        <v>0</v>
      </c>
      <c r="GU79" s="825">
        <v>0</v>
      </c>
      <c r="GV79" s="825">
        <v>0</v>
      </c>
      <c r="GW79" s="825">
        <v>0</v>
      </c>
      <c r="GX79" s="825">
        <v>0</v>
      </c>
      <c r="GY79" s="825">
        <v>0</v>
      </c>
      <c r="GZ79" s="825">
        <v>0</v>
      </c>
      <c r="HA79" s="825">
        <v>0</v>
      </c>
      <c r="HB79" s="825">
        <v>0</v>
      </c>
      <c r="HC79" s="825">
        <v>0</v>
      </c>
      <c r="HD79" s="825">
        <v>0</v>
      </c>
      <c r="HE79" s="825">
        <v>0</v>
      </c>
      <c r="HF79" s="825">
        <v>0</v>
      </c>
      <c r="HG79" s="825">
        <v>0</v>
      </c>
      <c r="HH79" s="825">
        <v>0</v>
      </c>
      <c r="HI79" s="825">
        <v>0</v>
      </c>
      <c r="HJ79" s="825">
        <v>0</v>
      </c>
      <c r="HK79" s="825">
        <v>0</v>
      </c>
      <c r="HL79" s="825">
        <v>0</v>
      </c>
      <c r="HM79" s="825">
        <v>0</v>
      </c>
      <c r="HN79" s="825">
        <v>0</v>
      </c>
      <c r="HO79" s="825">
        <v>0</v>
      </c>
      <c r="HP79" s="825">
        <v>0</v>
      </c>
      <c r="HQ79" s="825">
        <v>0</v>
      </c>
      <c r="HR79" s="825">
        <v>0</v>
      </c>
      <c r="HS79" s="825">
        <v>0</v>
      </c>
      <c r="HT79" s="825">
        <v>0</v>
      </c>
      <c r="HU79" s="825">
        <v>0</v>
      </c>
    </row>
    <row r="80" spans="1:229" ht="204">
      <c r="A80" s="823" t="s">
        <v>515</v>
      </c>
      <c r="B80" s="823" t="s">
        <v>1631</v>
      </c>
      <c r="C80" s="823" t="s">
        <v>1632</v>
      </c>
      <c r="D80" s="824"/>
      <c r="E80" s="824" t="s">
        <v>1633</v>
      </c>
      <c r="F80" s="824" t="s">
        <v>1634</v>
      </c>
      <c r="G80" s="824"/>
      <c r="H80" s="824"/>
      <c r="I80" s="824"/>
      <c r="J80" s="824"/>
      <c r="K80" s="824"/>
      <c r="L80" s="824"/>
      <c r="M80" s="826" t="s">
        <v>1635</v>
      </c>
      <c r="N80" s="824" t="s">
        <v>1636</v>
      </c>
      <c r="O80" s="824" t="s">
        <v>1637</v>
      </c>
      <c r="P80" s="826" t="s">
        <v>1638</v>
      </c>
      <c r="Q80" s="826" t="s">
        <v>1639</v>
      </c>
      <c r="R80" s="824" t="s">
        <v>1640</v>
      </c>
      <c r="S80" s="824"/>
      <c r="T80" s="824" t="s">
        <v>1641</v>
      </c>
      <c r="U80" s="824" t="s">
        <v>1642</v>
      </c>
      <c r="V80" s="824" t="s">
        <v>1643</v>
      </c>
      <c r="W80" s="824" t="s">
        <v>1644</v>
      </c>
      <c r="X80" s="824" t="s">
        <v>1645</v>
      </c>
      <c r="Y80" s="824" t="s">
        <v>1646</v>
      </c>
      <c r="Z80" s="826" t="s">
        <v>1647</v>
      </c>
      <c r="AA80" s="824" t="s">
        <v>1648</v>
      </c>
      <c r="AB80" s="824" t="s">
        <v>1649</v>
      </c>
      <c r="AC80" s="824" t="s">
        <v>1650</v>
      </c>
      <c r="AD80" s="826" t="s">
        <v>1651</v>
      </c>
      <c r="AE80" s="824" t="s">
        <v>1652</v>
      </c>
      <c r="AF80" s="824"/>
      <c r="AG80" s="824"/>
      <c r="AH80" s="824"/>
      <c r="AI80" s="824"/>
      <c r="AJ80" s="824"/>
      <c r="AK80" s="824"/>
      <c r="AL80" s="824"/>
      <c r="AM80" s="824"/>
      <c r="AN80" s="824"/>
      <c r="AO80" s="824"/>
      <c r="AP80" s="824"/>
      <c r="AQ80" s="824"/>
      <c r="AR80" s="824"/>
      <c r="AS80" s="824"/>
      <c r="AT80" s="824"/>
      <c r="AU80" s="824"/>
      <c r="AV80" s="824"/>
      <c r="AW80" s="824"/>
      <c r="AX80" s="824"/>
      <c r="AY80" s="824"/>
      <c r="AZ80" s="824"/>
      <c r="BA80" s="824"/>
      <c r="BB80" s="824"/>
      <c r="BC80" s="824"/>
      <c r="BD80" s="824"/>
      <c r="BE80" s="824"/>
      <c r="BF80" s="824"/>
      <c r="BG80" s="824"/>
      <c r="BH80" s="824"/>
      <c r="BI80" s="824"/>
      <c r="BJ80" s="824"/>
      <c r="BK80" s="824"/>
      <c r="BL80" s="824"/>
      <c r="BM80" s="824"/>
      <c r="BN80" s="824"/>
      <c r="BO80" s="824"/>
      <c r="BP80" s="824"/>
      <c r="BQ80" s="824"/>
      <c r="BR80" s="824"/>
      <c r="BS80" s="824"/>
      <c r="BT80" s="824"/>
      <c r="BU80" s="824"/>
      <c r="BV80" s="824"/>
      <c r="BW80" s="824"/>
      <c r="BX80" s="824"/>
      <c r="BY80" s="824"/>
      <c r="BZ80" s="824"/>
      <c r="CA80" s="824"/>
      <c r="CB80" s="824"/>
      <c r="CC80" s="824"/>
      <c r="CD80" s="824"/>
      <c r="CE80" s="824"/>
      <c r="CF80" s="824"/>
      <c r="CG80" s="824"/>
      <c r="CH80" s="824"/>
      <c r="CI80" s="824"/>
      <c r="CJ80" s="824"/>
      <c r="CK80" s="824"/>
      <c r="CL80" s="824"/>
      <c r="CM80" s="824"/>
      <c r="CN80" s="824"/>
      <c r="CO80" s="824"/>
      <c r="CP80" s="824"/>
      <c r="CQ80" s="824"/>
      <c r="CR80" s="824"/>
      <c r="CS80" s="824"/>
      <c r="CT80" s="824"/>
      <c r="CU80" s="824"/>
      <c r="CV80" s="824"/>
      <c r="CW80" s="824"/>
      <c r="CX80" s="824"/>
      <c r="CY80" s="824"/>
      <c r="CZ80" s="824"/>
      <c r="DA80" s="824"/>
      <c r="DB80" s="824"/>
      <c r="DC80" s="824"/>
      <c r="DD80" s="824"/>
      <c r="DE80" s="824"/>
      <c r="DF80" s="824"/>
      <c r="DG80" s="824"/>
      <c r="DH80" s="824"/>
      <c r="DI80" s="824"/>
      <c r="DJ80" s="824"/>
      <c r="DK80" s="824"/>
      <c r="DL80" s="824"/>
      <c r="DM80" s="825">
        <v>0</v>
      </c>
      <c r="DN80" s="825">
        <v>2.2999999999999998</v>
      </c>
      <c r="DO80" s="825">
        <v>2.2999999999999998</v>
      </c>
      <c r="DP80" s="825">
        <v>0</v>
      </c>
      <c r="DQ80" s="825">
        <v>0</v>
      </c>
      <c r="DR80" s="825">
        <v>0</v>
      </c>
      <c r="DS80" s="825">
        <v>0</v>
      </c>
      <c r="DT80" s="825">
        <v>0</v>
      </c>
      <c r="DU80" s="825">
        <v>0</v>
      </c>
      <c r="DV80" s="825">
        <v>5.9</v>
      </c>
      <c r="DW80" s="825">
        <v>4.7</v>
      </c>
      <c r="DX80" s="825">
        <v>5.8</v>
      </c>
      <c r="DY80" s="825">
        <v>9.8000000000000007</v>
      </c>
      <c r="DZ80" s="825">
        <v>8.6999999999999993</v>
      </c>
      <c r="EA80" s="825">
        <v>10.9</v>
      </c>
      <c r="EB80" s="825">
        <v>0</v>
      </c>
      <c r="EC80" s="825">
        <v>0</v>
      </c>
      <c r="ED80" s="825">
        <v>0</v>
      </c>
      <c r="EE80" s="825">
        <v>0</v>
      </c>
      <c r="EF80" s="825">
        <v>0</v>
      </c>
      <c r="EG80" s="825">
        <v>0</v>
      </c>
      <c r="EH80" s="825">
        <v>0</v>
      </c>
      <c r="EI80" s="825">
        <v>6.4</v>
      </c>
      <c r="EJ80" s="825">
        <v>12.2</v>
      </c>
      <c r="EK80" s="825">
        <v>5.7</v>
      </c>
      <c r="EL80" s="825">
        <v>0</v>
      </c>
      <c r="EM80" s="825">
        <v>6.8</v>
      </c>
      <c r="EN80" s="825">
        <v>10.9</v>
      </c>
      <c r="EO80" s="825">
        <v>0</v>
      </c>
      <c r="EP80" s="825">
        <v>0</v>
      </c>
      <c r="EQ80" s="825">
        <v>0</v>
      </c>
      <c r="ER80" s="825">
        <v>0</v>
      </c>
      <c r="ES80" s="825">
        <v>0</v>
      </c>
      <c r="ET80" s="825">
        <v>0</v>
      </c>
      <c r="EU80" s="825">
        <v>0</v>
      </c>
      <c r="EV80" s="825">
        <v>0</v>
      </c>
      <c r="EW80" s="825">
        <v>0</v>
      </c>
      <c r="EX80" s="825">
        <v>0</v>
      </c>
      <c r="EY80" s="825">
        <v>0</v>
      </c>
      <c r="EZ80" s="825">
        <v>0</v>
      </c>
      <c r="FA80" s="825">
        <v>0</v>
      </c>
      <c r="FB80" s="825">
        <v>0</v>
      </c>
      <c r="FC80" s="825">
        <v>0</v>
      </c>
      <c r="FD80" s="825">
        <v>0</v>
      </c>
      <c r="FE80" s="825">
        <v>0</v>
      </c>
      <c r="FF80" s="825">
        <v>0</v>
      </c>
      <c r="FG80" s="825">
        <v>0</v>
      </c>
      <c r="FH80" s="825">
        <v>0</v>
      </c>
      <c r="FI80" s="825">
        <v>0</v>
      </c>
      <c r="FJ80" s="825">
        <v>0</v>
      </c>
      <c r="FK80" s="825">
        <v>0</v>
      </c>
      <c r="FL80" s="825">
        <v>0</v>
      </c>
      <c r="FM80" s="825">
        <v>0</v>
      </c>
      <c r="FN80" s="825">
        <v>0</v>
      </c>
      <c r="FO80" s="825">
        <v>0</v>
      </c>
      <c r="FP80" s="825">
        <v>0</v>
      </c>
      <c r="FQ80" s="825">
        <v>0</v>
      </c>
      <c r="FR80" s="825">
        <v>0</v>
      </c>
      <c r="FS80" s="825">
        <v>0</v>
      </c>
      <c r="FT80" s="825">
        <v>0</v>
      </c>
      <c r="FU80" s="825">
        <v>0</v>
      </c>
      <c r="FV80" s="825">
        <v>0</v>
      </c>
      <c r="FW80" s="825">
        <v>0</v>
      </c>
      <c r="FX80" s="825">
        <v>0</v>
      </c>
      <c r="FY80" s="825">
        <v>0</v>
      </c>
      <c r="FZ80" s="825">
        <v>0</v>
      </c>
      <c r="GA80" s="825">
        <v>0</v>
      </c>
      <c r="GB80" s="825">
        <v>0</v>
      </c>
      <c r="GC80" s="825">
        <v>0</v>
      </c>
      <c r="GD80" s="825">
        <v>0</v>
      </c>
      <c r="GE80" s="825">
        <v>0</v>
      </c>
      <c r="GF80" s="825">
        <v>0</v>
      </c>
      <c r="GG80" s="825">
        <v>0</v>
      </c>
      <c r="GH80" s="825">
        <v>0</v>
      </c>
      <c r="GI80" s="825">
        <v>0</v>
      </c>
      <c r="GJ80" s="825">
        <v>0</v>
      </c>
      <c r="GK80" s="825">
        <v>0</v>
      </c>
      <c r="GL80" s="825">
        <v>0</v>
      </c>
      <c r="GM80" s="825">
        <v>0</v>
      </c>
      <c r="GN80" s="825">
        <v>0</v>
      </c>
      <c r="GO80" s="825">
        <v>0</v>
      </c>
      <c r="GP80" s="825">
        <v>0</v>
      </c>
      <c r="GQ80" s="825">
        <v>0</v>
      </c>
      <c r="GR80" s="825">
        <v>0</v>
      </c>
      <c r="GS80" s="825">
        <v>0</v>
      </c>
      <c r="GT80" s="825">
        <v>0</v>
      </c>
      <c r="GU80" s="825">
        <v>0</v>
      </c>
      <c r="GV80" s="825">
        <v>0</v>
      </c>
      <c r="GW80" s="825">
        <v>0</v>
      </c>
      <c r="GX80" s="825">
        <v>0</v>
      </c>
      <c r="GY80" s="825">
        <v>0</v>
      </c>
      <c r="GZ80" s="825">
        <v>0</v>
      </c>
      <c r="HA80" s="825">
        <v>0</v>
      </c>
      <c r="HB80" s="825">
        <v>0</v>
      </c>
      <c r="HC80" s="825">
        <v>0</v>
      </c>
      <c r="HD80" s="825">
        <v>0</v>
      </c>
      <c r="HE80" s="825">
        <v>0</v>
      </c>
      <c r="HF80" s="825">
        <v>0</v>
      </c>
      <c r="HG80" s="825">
        <v>0</v>
      </c>
      <c r="HH80" s="825">
        <v>0</v>
      </c>
      <c r="HI80" s="825">
        <v>0</v>
      </c>
      <c r="HJ80" s="825">
        <v>0</v>
      </c>
      <c r="HK80" s="825">
        <v>0</v>
      </c>
      <c r="HL80" s="825">
        <v>0</v>
      </c>
      <c r="HM80" s="825">
        <v>0</v>
      </c>
      <c r="HN80" s="825">
        <v>0</v>
      </c>
      <c r="HO80" s="825">
        <v>0</v>
      </c>
      <c r="HP80" s="825">
        <v>0</v>
      </c>
      <c r="HQ80" s="825">
        <v>0</v>
      </c>
      <c r="HR80" s="825">
        <v>0</v>
      </c>
      <c r="HS80" s="825">
        <v>0</v>
      </c>
      <c r="HT80" s="825">
        <v>0</v>
      </c>
      <c r="HU80" s="825">
        <v>0</v>
      </c>
    </row>
    <row r="81" spans="1:229" ht="63.75">
      <c r="A81" s="823" t="s">
        <v>515</v>
      </c>
      <c r="B81" s="823" t="s">
        <v>1653</v>
      </c>
      <c r="C81" s="823" t="s">
        <v>1654</v>
      </c>
      <c r="D81" s="824"/>
      <c r="E81" s="824" t="s">
        <v>1655</v>
      </c>
      <c r="F81" s="824"/>
      <c r="G81" s="826"/>
      <c r="H81" s="824"/>
      <c r="I81" s="824" t="s">
        <v>1656</v>
      </c>
      <c r="J81" s="824"/>
      <c r="K81" s="824"/>
      <c r="L81" s="824"/>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4"/>
      <c r="AO81" s="824"/>
      <c r="AP81" s="824"/>
      <c r="AQ81" s="824"/>
      <c r="AR81" s="824"/>
      <c r="AS81" s="824"/>
      <c r="AT81" s="824"/>
      <c r="AU81" s="824"/>
      <c r="AV81" s="824"/>
      <c r="AW81" s="824"/>
      <c r="AX81" s="824"/>
      <c r="AY81" s="824"/>
      <c r="AZ81" s="824"/>
      <c r="BA81" s="824"/>
      <c r="BB81" s="824"/>
      <c r="BC81" s="824"/>
      <c r="BD81" s="824"/>
      <c r="BE81" s="824"/>
      <c r="BF81" s="824"/>
      <c r="BG81" s="824"/>
      <c r="BH81" s="824"/>
      <c r="BI81" s="824"/>
      <c r="BJ81" s="824"/>
      <c r="BK81" s="824"/>
      <c r="BL81" s="824"/>
      <c r="BM81" s="824"/>
      <c r="BN81" s="824"/>
      <c r="BO81" s="824"/>
      <c r="BP81" s="824"/>
      <c r="BQ81" s="824"/>
      <c r="BR81" s="824"/>
      <c r="BS81" s="824"/>
      <c r="BT81" s="824"/>
      <c r="BU81" s="824"/>
      <c r="BV81" s="824"/>
      <c r="BW81" s="824"/>
      <c r="BX81" s="824"/>
      <c r="BY81" s="824"/>
      <c r="BZ81" s="824"/>
      <c r="CA81" s="824"/>
      <c r="CB81" s="824"/>
      <c r="CC81" s="824"/>
      <c r="CD81" s="824"/>
      <c r="CE81" s="824"/>
      <c r="CF81" s="824"/>
      <c r="CG81" s="824"/>
      <c r="CH81" s="824"/>
      <c r="CI81" s="824"/>
      <c r="CJ81" s="824"/>
      <c r="CK81" s="824"/>
      <c r="CL81" s="824"/>
      <c r="CM81" s="824"/>
      <c r="CN81" s="824"/>
      <c r="CO81" s="824"/>
      <c r="CP81" s="824"/>
      <c r="CQ81" s="824"/>
      <c r="CR81" s="824"/>
      <c r="CS81" s="824"/>
      <c r="CT81" s="824"/>
      <c r="CU81" s="824"/>
      <c r="CV81" s="824"/>
      <c r="CW81" s="824"/>
      <c r="CX81" s="824"/>
      <c r="CY81" s="824"/>
      <c r="CZ81" s="824"/>
      <c r="DA81" s="824"/>
      <c r="DB81" s="824"/>
      <c r="DC81" s="824"/>
      <c r="DD81" s="824"/>
      <c r="DE81" s="824"/>
      <c r="DF81" s="824"/>
      <c r="DG81" s="824"/>
      <c r="DH81" s="824"/>
      <c r="DI81" s="824"/>
      <c r="DJ81" s="824"/>
      <c r="DK81" s="824"/>
      <c r="DL81" s="824"/>
      <c r="DM81" s="825">
        <v>0</v>
      </c>
      <c r="DN81" s="825">
        <v>7.2</v>
      </c>
      <c r="DO81" s="825">
        <v>0</v>
      </c>
      <c r="DP81" s="825">
        <v>0</v>
      </c>
      <c r="DQ81" s="825">
        <v>0</v>
      </c>
      <c r="DR81" s="825">
        <v>5.6</v>
      </c>
      <c r="DS81" s="825">
        <v>0</v>
      </c>
      <c r="DT81" s="825">
        <v>0</v>
      </c>
      <c r="DU81" s="825">
        <v>0</v>
      </c>
      <c r="DV81" s="825">
        <v>0</v>
      </c>
      <c r="DW81" s="825">
        <v>0</v>
      </c>
      <c r="DX81" s="825">
        <v>0</v>
      </c>
      <c r="DY81" s="825">
        <v>0</v>
      </c>
      <c r="DZ81" s="825">
        <v>0</v>
      </c>
      <c r="EA81" s="825">
        <v>0</v>
      </c>
      <c r="EB81" s="825">
        <v>0</v>
      </c>
      <c r="EC81" s="825">
        <v>0</v>
      </c>
      <c r="ED81" s="825">
        <v>0</v>
      </c>
      <c r="EE81" s="825">
        <v>0</v>
      </c>
      <c r="EF81" s="825">
        <v>0</v>
      </c>
      <c r="EG81" s="825">
        <v>0</v>
      </c>
      <c r="EH81" s="825">
        <v>0</v>
      </c>
      <c r="EI81" s="825">
        <v>0</v>
      </c>
      <c r="EJ81" s="825">
        <v>0</v>
      </c>
      <c r="EK81" s="825">
        <v>0</v>
      </c>
      <c r="EL81" s="825">
        <v>0</v>
      </c>
      <c r="EM81" s="825">
        <v>0</v>
      </c>
      <c r="EN81" s="825">
        <v>0</v>
      </c>
      <c r="EO81" s="825">
        <v>0</v>
      </c>
      <c r="EP81" s="825">
        <v>0</v>
      </c>
      <c r="EQ81" s="825">
        <v>0</v>
      </c>
      <c r="ER81" s="825">
        <v>0</v>
      </c>
      <c r="ES81" s="825">
        <v>0</v>
      </c>
      <c r="ET81" s="825">
        <v>0</v>
      </c>
      <c r="EU81" s="825">
        <v>0</v>
      </c>
      <c r="EV81" s="825">
        <v>0</v>
      </c>
      <c r="EW81" s="825">
        <v>0</v>
      </c>
      <c r="EX81" s="825">
        <v>0</v>
      </c>
      <c r="EY81" s="825">
        <v>0</v>
      </c>
      <c r="EZ81" s="825">
        <v>0</v>
      </c>
      <c r="FA81" s="825">
        <v>0</v>
      </c>
      <c r="FB81" s="825">
        <v>0</v>
      </c>
      <c r="FC81" s="825">
        <v>0</v>
      </c>
      <c r="FD81" s="825">
        <v>0</v>
      </c>
      <c r="FE81" s="825">
        <v>0</v>
      </c>
      <c r="FF81" s="825">
        <v>0</v>
      </c>
      <c r="FG81" s="825">
        <v>0</v>
      </c>
      <c r="FH81" s="825">
        <v>0</v>
      </c>
      <c r="FI81" s="825">
        <v>0</v>
      </c>
      <c r="FJ81" s="825">
        <v>0</v>
      </c>
      <c r="FK81" s="825">
        <v>0</v>
      </c>
      <c r="FL81" s="825">
        <v>0</v>
      </c>
      <c r="FM81" s="825">
        <v>0</v>
      </c>
      <c r="FN81" s="825">
        <v>0</v>
      </c>
      <c r="FO81" s="825">
        <v>0</v>
      </c>
      <c r="FP81" s="825">
        <v>0</v>
      </c>
      <c r="FQ81" s="825">
        <v>0</v>
      </c>
      <c r="FR81" s="825">
        <v>0</v>
      </c>
      <c r="FS81" s="825">
        <v>0</v>
      </c>
      <c r="FT81" s="825">
        <v>0</v>
      </c>
      <c r="FU81" s="825">
        <v>0</v>
      </c>
      <c r="FV81" s="825">
        <v>0</v>
      </c>
      <c r="FW81" s="825">
        <v>0</v>
      </c>
      <c r="FX81" s="825">
        <v>0</v>
      </c>
      <c r="FY81" s="825">
        <v>0</v>
      </c>
      <c r="FZ81" s="825">
        <v>0</v>
      </c>
      <c r="GA81" s="825">
        <v>0</v>
      </c>
      <c r="GB81" s="825">
        <v>0</v>
      </c>
      <c r="GC81" s="825">
        <v>0</v>
      </c>
      <c r="GD81" s="825">
        <v>0</v>
      </c>
      <c r="GE81" s="825">
        <v>0</v>
      </c>
      <c r="GF81" s="825">
        <v>0</v>
      </c>
      <c r="GG81" s="825">
        <v>0</v>
      </c>
      <c r="GH81" s="825">
        <v>0</v>
      </c>
      <c r="GI81" s="825">
        <v>0</v>
      </c>
      <c r="GJ81" s="825">
        <v>0</v>
      </c>
      <c r="GK81" s="825">
        <v>0</v>
      </c>
      <c r="GL81" s="825">
        <v>0</v>
      </c>
      <c r="GM81" s="825">
        <v>0</v>
      </c>
      <c r="GN81" s="825">
        <v>0</v>
      </c>
      <c r="GO81" s="825">
        <v>0</v>
      </c>
      <c r="GP81" s="825">
        <v>0</v>
      </c>
      <c r="GQ81" s="825">
        <v>0</v>
      </c>
      <c r="GR81" s="825">
        <v>0</v>
      </c>
      <c r="GS81" s="825">
        <v>0</v>
      </c>
      <c r="GT81" s="825">
        <v>0</v>
      </c>
      <c r="GU81" s="825">
        <v>0</v>
      </c>
      <c r="GV81" s="825">
        <v>0</v>
      </c>
      <c r="GW81" s="825">
        <v>0</v>
      </c>
      <c r="GX81" s="825">
        <v>0</v>
      </c>
      <c r="GY81" s="825">
        <v>0</v>
      </c>
      <c r="GZ81" s="825">
        <v>0</v>
      </c>
      <c r="HA81" s="825">
        <v>0</v>
      </c>
      <c r="HB81" s="825">
        <v>0</v>
      </c>
      <c r="HC81" s="825">
        <v>0</v>
      </c>
      <c r="HD81" s="825">
        <v>0</v>
      </c>
      <c r="HE81" s="825">
        <v>0</v>
      </c>
      <c r="HF81" s="825">
        <v>0</v>
      </c>
      <c r="HG81" s="825">
        <v>0</v>
      </c>
      <c r="HH81" s="825">
        <v>0</v>
      </c>
      <c r="HI81" s="825">
        <v>0</v>
      </c>
      <c r="HJ81" s="825">
        <v>0</v>
      </c>
      <c r="HK81" s="825">
        <v>0</v>
      </c>
      <c r="HL81" s="825">
        <v>0</v>
      </c>
      <c r="HM81" s="825">
        <v>0</v>
      </c>
      <c r="HN81" s="825">
        <v>0</v>
      </c>
      <c r="HO81" s="825">
        <v>0</v>
      </c>
      <c r="HP81" s="825">
        <v>0</v>
      </c>
      <c r="HQ81" s="825">
        <v>0</v>
      </c>
      <c r="HR81" s="825">
        <v>0</v>
      </c>
      <c r="HS81" s="825">
        <v>0</v>
      </c>
      <c r="HT81" s="825">
        <v>0</v>
      </c>
      <c r="HU81" s="825">
        <v>0</v>
      </c>
    </row>
    <row r="82" spans="1:229" ht="89.25">
      <c r="A82" s="823" t="s">
        <v>515</v>
      </c>
      <c r="B82" s="823" t="s">
        <v>1657</v>
      </c>
      <c r="C82" s="823" t="s">
        <v>1658</v>
      </c>
      <c r="D82" s="826" t="s">
        <v>1659</v>
      </c>
      <c r="E82" s="824"/>
      <c r="F82" s="826" t="s">
        <v>1660</v>
      </c>
      <c r="G82" s="824"/>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4"/>
      <c r="AO82" s="824"/>
      <c r="AP82" s="824"/>
      <c r="AQ82" s="824"/>
      <c r="AR82" s="824"/>
      <c r="AS82" s="824"/>
      <c r="AT82" s="824"/>
      <c r="AU82" s="824"/>
      <c r="AV82" s="824"/>
      <c r="AW82" s="824"/>
      <c r="AX82" s="824"/>
      <c r="AY82" s="824"/>
      <c r="AZ82" s="824"/>
      <c r="BA82" s="824"/>
      <c r="BB82" s="824"/>
      <c r="BC82" s="824"/>
      <c r="BD82" s="824"/>
      <c r="BE82" s="824"/>
      <c r="BF82" s="824"/>
      <c r="BG82" s="824"/>
      <c r="BH82" s="824"/>
      <c r="BI82" s="824"/>
      <c r="BJ82" s="824"/>
      <c r="BK82" s="824"/>
      <c r="BL82" s="824"/>
      <c r="BM82" s="824"/>
      <c r="BN82" s="824"/>
      <c r="BO82" s="824"/>
      <c r="BP82" s="824"/>
      <c r="BQ82" s="824"/>
      <c r="BR82" s="824"/>
      <c r="BS82" s="824"/>
      <c r="BT82" s="824"/>
      <c r="BU82" s="824"/>
      <c r="BV82" s="824"/>
      <c r="BW82" s="824"/>
      <c r="BX82" s="824"/>
      <c r="BY82" s="824"/>
      <c r="BZ82" s="824"/>
      <c r="CA82" s="824"/>
      <c r="CB82" s="824"/>
      <c r="CC82" s="824"/>
      <c r="CD82" s="824"/>
      <c r="CE82" s="824"/>
      <c r="CF82" s="824"/>
      <c r="CG82" s="824"/>
      <c r="CH82" s="824"/>
      <c r="CI82" s="824"/>
      <c r="CJ82" s="824"/>
      <c r="CK82" s="824"/>
      <c r="CL82" s="824"/>
      <c r="CM82" s="824"/>
      <c r="CN82" s="824"/>
      <c r="CO82" s="824"/>
      <c r="CP82" s="824"/>
      <c r="CQ82" s="824"/>
      <c r="CR82" s="824"/>
      <c r="CS82" s="824"/>
      <c r="CT82" s="824"/>
      <c r="CU82" s="824"/>
      <c r="CV82" s="824"/>
      <c r="CW82" s="824"/>
      <c r="CX82" s="824"/>
      <c r="CY82" s="824"/>
      <c r="CZ82" s="824"/>
      <c r="DA82" s="824"/>
      <c r="DB82" s="824"/>
      <c r="DC82" s="824"/>
      <c r="DD82" s="824"/>
      <c r="DE82" s="824"/>
      <c r="DF82" s="824"/>
      <c r="DG82" s="824"/>
      <c r="DH82" s="824"/>
      <c r="DI82" s="824"/>
      <c r="DJ82" s="824"/>
      <c r="DK82" s="824"/>
      <c r="DL82" s="824"/>
      <c r="DM82" s="825">
        <v>7.3</v>
      </c>
      <c r="DN82" s="825">
        <v>0</v>
      </c>
      <c r="DO82" s="825">
        <v>8.1</v>
      </c>
      <c r="DP82" s="825">
        <v>0</v>
      </c>
      <c r="DQ82" s="825">
        <v>0</v>
      </c>
      <c r="DR82" s="825">
        <v>0</v>
      </c>
      <c r="DS82" s="825">
        <v>0</v>
      </c>
      <c r="DT82" s="825">
        <v>0</v>
      </c>
      <c r="DU82" s="825">
        <v>0</v>
      </c>
      <c r="DV82" s="825">
        <v>0</v>
      </c>
      <c r="DW82" s="825">
        <v>0</v>
      </c>
      <c r="DX82" s="825">
        <v>0</v>
      </c>
      <c r="DY82" s="825">
        <v>0</v>
      </c>
      <c r="DZ82" s="825">
        <v>0</v>
      </c>
      <c r="EA82" s="825">
        <v>0</v>
      </c>
      <c r="EB82" s="825">
        <v>0</v>
      </c>
      <c r="EC82" s="825">
        <v>0</v>
      </c>
      <c r="ED82" s="825">
        <v>0</v>
      </c>
      <c r="EE82" s="825">
        <v>0</v>
      </c>
      <c r="EF82" s="825">
        <v>0</v>
      </c>
      <c r="EG82" s="825">
        <v>0</v>
      </c>
      <c r="EH82" s="825">
        <v>0</v>
      </c>
      <c r="EI82" s="825">
        <v>0</v>
      </c>
      <c r="EJ82" s="825">
        <v>0</v>
      </c>
      <c r="EK82" s="825">
        <v>0</v>
      </c>
      <c r="EL82" s="825">
        <v>0</v>
      </c>
      <c r="EM82" s="825">
        <v>0</v>
      </c>
      <c r="EN82" s="825">
        <v>0</v>
      </c>
      <c r="EO82" s="825">
        <v>0</v>
      </c>
      <c r="EP82" s="825">
        <v>0</v>
      </c>
      <c r="EQ82" s="825">
        <v>0</v>
      </c>
      <c r="ER82" s="825">
        <v>0</v>
      </c>
      <c r="ES82" s="825">
        <v>0</v>
      </c>
      <c r="ET82" s="825">
        <v>0</v>
      </c>
      <c r="EU82" s="825">
        <v>0</v>
      </c>
      <c r="EV82" s="825">
        <v>0</v>
      </c>
      <c r="EW82" s="825">
        <v>0</v>
      </c>
      <c r="EX82" s="825">
        <v>0</v>
      </c>
      <c r="EY82" s="825">
        <v>0</v>
      </c>
      <c r="EZ82" s="825">
        <v>0</v>
      </c>
      <c r="FA82" s="825">
        <v>0</v>
      </c>
      <c r="FB82" s="825">
        <v>0</v>
      </c>
      <c r="FC82" s="825">
        <v>0</v>
      </c>
      <c r="FD82" s="825">
        <v>0</v>
      </c>
      <c r="FE82" s="825">
        <v>0</v>
      </c>
      <c r="FF82" s="825">
        <v>0</v>
      </c>
      <c r="FG82" s="825">
        <v>0</v>
      </c>
      <c r="FH82" s="825">
        <v>0</v>
      </c>
      <c r="FI82" s="825">
        <v>0</v>
      </c>
      <c r="FJ82" s="825">
        <v>0</v>
      </c>
      <c r="FK82" s="825">
        <v>0</v>
      </c>
      <c r="FL82" s="825">
        <v>0</v>
      </c>
      <c r="FM82" s="825">
        <v>0</v>
      </c>
      <c r="FN82" s="825">
        <v>0</v>
      </c>
      <c r="FO82" s="825">
        <v>0</v>
      </c>
      <c r="FP82" s="825">
        <v>0</v>
      </c>
      <c r="FQ82" s="825">
        <v>0</v>
      </c>
      <c r="FR82" s="825">
        <v>0</v>
      </c>
      <c r="FS82" s="825">
        <v>0</v>
      </c>
      <c r="FT82" s="825">
        <v>0</v>
      </c>
      <c r="FU82" s="825">
        <v>0</v>
      </c>
      <c r="FV82" s="825">
        <v>0</v>
      </c>
      <c r="FW82" s="825">
        <v>0</v>
      </c>
      <c r="FX82" s="825">
        <v>0</v>
      </c>
      <c r="FY82" s="825">
        <v>0</v>
      </c>
      <c r="FZ82" s="825">
        <v>0</v>
      </c>
      <c r="GA82" s="825">
        <v>0</v>
      </c>
      <c r="GB82" s="825">
        <v>0</v>
      </c>
      <c r="GC82" s="825">
        <v>0</v>
      </c>
      <c r="GD82" s="825">
        <v>0</v>
      </c>
      <c r="GE82" s="825">
        <v>0</v>
      </c>
      <c r="GF82" s="825">
        <v>0</v>
      </c>
      <c r="GG82" s="825">
        <v>0</v>
      </c>
      <c r="GH82" s="825">
        <v>0</v>
      </c>
      <c r="GI82" s="825">
        <v>0</v>
      </c>
      <c r="GJ82" s="825">
        <v>0</v>
      </c>
      <c r="GK82" s="825">
        <v>0</v>
      </c>
      <c r="GL82" s="825">
        <v>0</v>
      </c>
      <c r="GM82" s="825">
        <v>0</v>
      </c>
      <c r="GN82" s="825">
        <v>0</v>
      </c>
      <c r="GO82" s="825">
        <v>0</v>
      </c>
      <c r="GP82" s="825">
        <v>0</v>
      </c>
      <c r="GQ82" s="825">
        <v>0</v>
      </c>
      <c r="GR82" s="825">
        <v>0</v>
      </c>
      <c r="GS82" s="825">
        <v>0</v>
      </c>
      <c r="GT82" s="825">
        <v>0</v>
      </c>
      <c r="GU82" s="825">
        <v>0</v>
      </c>
      <c r="GV82" s="825">
        <v>0</v>
      </c>
      <c r="GW82" s="825">
        <v>0</v>
      </c>
      <c r="GX82" s="825">
        <v>0</v>
      </c>
      <c r="GY82" s="825">
        <v>0</v>
      </c>
      <c r="GZ82" s="825">
        <v>0</v>
      </c>
      <c r="HA82" s="825">
        <v>0</v>
      </c>
      <c r="HB82" s="825">
        <v>0</v>
      </c>
      <c r="HC82" s="825">
        <v>0</v>
      </c>
      <c r="HD82" s="825">
        <v>0</v>
      </c>
      <c r="HE82" s="825">
        <v>0</v>
      </c>
      <c r="HF82" s="825">
        <v>0</v>
      </c>
      <c r="HG82" s="825">
        <v>0</v>
      </c>
      <c r="HH82" s="825">
        <v>0</v>
      </c>
      <c r="HI82" s="825">
        <v>0</v>
      </c>
      <c r="HJ82" s="825">
        <v>0</v>
      </c>
      <c r="HK82" s="825">
        <v>0</v>
      </c>
      <c r="HL82" s="825">
        <v>0</v>
      </c>
      <c r="HM82" s="825">
        <v>0</v>
      </c>
      <c r="HN82" s="825">
        <v>0</v>
      </c>
      <c r="HO82" s="825">
        <v>0</v>
      </c>
      <c r="HP82" s="825">
        <v>0</v>
      </c>
      <c r="HQ82" s="825">
        <v>0</v>
      </c>
      <c r="HR82" s="825">
        <v>0</v>
      </c>
      <c r="HS82" s="825">
        <v>0</v>
      </c>
      <c r="HT82" s="825">
        <v>0</v>
      </c>
      <c r="HU82" s="825">
        <v>0</v>
      </c>
    </row>
    <row r="83" spans="1:229" ht="102">
      <c r="A83" s="823" t="s">
        <v>515</v>
      </c>
      <c r="B83" s="823" t="s">
        <v>1661</v>
      </c>
      <c r="C83" s="823" t="s">
        <v>1662</v>
      </c>
      <c r="D83" s="826" t="s">
        <v>1663</v>
      </c>
      <c r="E83" s="824"/>
      <c r="F83" s="826"/>
      <c r="G83" s="826"/>
      <c r="H83" s="826" t="s">
        <v>1664</v>
      </c>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c r="BC83" s="824"/>
      <c r="BD83" s="824"/>
      <c r="BE83" s="824"/>
      <c r="BF83" s="824"/>
      <c r="BG83" s="824"/>
      <c r="BH83" s="824"/>
      <c r="BI83" s="824"/>
      <c r="BJ83" s="824"/>
      <c r="BK83" s="824"/>
      <c r="BL83" s="824"/>
      <c r="BM83" s="824"/>
      <c r="BN83" s="824"/>
      <c r="BO83" s="824"/>
      <c r="BP83" s="824"/>
      <c r="BQ83" s="824"/>
      <c r="BR83" s="824"/>
      <c r="BS83" s="824"/>
      <c r="BT83" s="824"/>
      <c r="BU83" s="824"/>
      <c r="BV83" s="824"/>
      <c r="BW83" s="824"/>
      <c r="BX83" s="824"/>
      <c r="BY83" s="824"/>
      <c r="BZ83" s="824"/>
      <c r="CA83" s="824"/>
      <c r="CB83" s="824"/>
      <c r="CC83" s="824"/>
      <c r="CD83" s="824"/>
      <c r="CE83" s="824"/>
      <c r="CF83" s="824"/>
      <c r="CG83" s="824"/>
      <c r="CH83" s="824"/>
      <c r="CI83" s="824"/>
      <c r="CJ83" s="824"/>
      <c r="CK83" s="824"/>
      <c r="CL83" s="824"/>
      <c r="CM83" s="824"/>
      <c r="CN83" s="824"/>
      <c r="CO83" s="824"/>
      <c r="CP83" s="824"/>
      <c r="CQ83" s="824"/>
      <c r="CR83" s="824"/>
      <c r="CS83" s="824"/>
      <c r="CT83" s="824"/>
      <c r="CU83" s="824"/>
      <c r="CV83" s="824"/>
      <c r="CW83" s="824"/>
      <c r="CX83" s="824"/>
      <c r="CY83" s="824"/>
      <c r="CZ83" s="824"/>
      <c r="DA83" s="824"/>
      <c r="DB83" s="824"/>
      <c r="DC83" s="824"/>
      <c r="DD83" s="824"/>
      <c r="DE83" s="824"/>
      <c r="DF83" s="824"/>
      <c r="DG83" s="824"/>
      <c r="DH83" s="824"/>
      <c r="DI83" s="824"/>
      <c r="DJ83" s="824"/>
      <c r="DK83" s="824"/>
      <c r="DL83" s="824"/>
      <c r="DM83" s="825">
        <v>7.4</v>
      </c>
      <c r="DN83" s="825">
        <v>0</v>
      </c>
      <c r="DO83" s="825">
        <v>0</v>
      </c>
      <c r="DP83" s="825">
        <v>0</v>
      </c>
      <c r="DQ83" s="825">
        <v>6.1</v>
      </c>
      <c r="DR83" s="825">
        <v>0</v>
      </c>
      <c r="DS83" s="825">
        <v>0</v>
      </c>
      <c r="DT83" s="825">
        <v>0</v>
      </c>
      <c r="DU83" s="825">
        <v>0</v>
      </c>
      <c r="DV83" s="825">
        <v>0</v>
      </c>
      <c r="DW83" s="825">
        <v>0</v>
      </c>
      <c r="DX83" s="825">
        <v>0</v>
      </c>
      <c r="DY83" s="825">
        <v>0</v>
      </c>
      <c r="DZ83" s="825">
        <v>0</v>
      </c>
      <c r="EA83" s="825">
        <v>0</v>
      </c>
      <c r="EB83" s="825">
        <v>0</v>
      </c>
      <c r="EC83" s="825">
        <v>0</v>
      </c>
      <c r="ED83" s="825">
        <v>0</v>
      </c>
      <c r="EE83" s="825">
        <v>0</v>
      </c>
      <c r="EF83" s="825">
        <v>0</v>
      </c>
      <c r="EG83" s="825">
        <v>0</v>
      </c>
      <c r="EH83" s="825">
        <v>0</v>
      </c>
      <c r="EI83" s="825">
        <v>0</v>
      </c>
      <c r="EJ83" s="825">
        <v>0</v>
      </c>
      <c r="EK83" s="825">
        <v>0</v>
      </c>
      <c r="EL83" s="825">
        <v>0</v>
      </c>
      <c r="EM83" s="825">
        <v>0</v>
      </c>
      <c r="EN83" s="825">
        <v>0</v>
      </c>
      <c r="EO83" s="825">
        <v>0</v>
      </c>
      <c r="EP83" s="825">
        <v>0</v>
      </c>
      <c r="EQ83" s="825">
        <v>0</v>
      </c>
      <c r="ER83" s="825">
        <v>0</v>
      </c>
      <c r="ES83" s="825">
        <v>0</v>
      </c>
      <c r="ET83" s="825">
        <v>0</v>
      </c>
      <c r="EU83" s="825">
        <v>0</v>
      </c>
      <c r="EV83" s="825">
        <v>0</v>
      </c>
      <c r="EW83" s="825">
        <v>0</v>
      </c>
      <c r="EX83" s="825">
        <v>0</v>
      </c>
      <c r="EY83" s="825">
        <v>0</v>
      </c>
      <c r="EZ83" s="825">
        <v>0</v>
      </c>
      <c r="FA83" s="825">
        <v>0</v>
      </c>
      <c r="FB83" s="825">
        <v>0</v>
      </c>
      <c r="FC83" s="825">
        <v>0</v>
      </c>
      <c r="FD83" s="825">
        <v>0</v>
      </c>
      <c r="FE83" s="825">
        <v>0</v>
      </c>
      <c r="FF83" s="825">
        <v>0</v>
      </c>
      <c r="FG83" s="825">
        <v>0</v>
      </c>
      <c r="FH83" s="825">
        <v>0</v>
      </c>
      <c r="FI83" s="825">
        <v>0</v>
      </c>
      <c r="FJ83" s="825">
        <v>0</v>
      </c>
      <c r="FK83" s="825">
        <v>0</v>
      </c>
      <c r="FL83" s="825">
        <v>0</v>
      </c>
      <c r="FM83" s="825">
        <v>0</v>
      </c>
      <c r="FN83" s="825">
        <v>0</v>
      </c>
      <c r="FO83" s="825">
        <v>0</v>
      </c>
      <c r="FP83" s="825">
        <v>0</v>
      </c>
      <c r="FQ83" s="825">
        <v>0</v>
      </c>
      <c r="FR83" s="825">
        <v>0</v>
      </c>
      <c r="FS83" s="825">
        <v>0</v>
      </c>
      <c r="FT83" s="825">
        <v>0</v>
      </c>
      <c r="FU83" s="825">
        <v>0</v>
      </c>
      <c r="FV83" s="825">
        <v>0</v>
      </c>
      <c r="FW83" s="825">
        <v>0</v>
      </c>
      <c r="FX83" s="825">
        <v>0</v>
      </c>
      <c r="FY83" s="825">
        <v>0</v>
      </c>
      <c r="FZ83" s="825">
        <v>0</v>
      </c>
      <c r="GA83" s="825">
        <v>0</v>
      </c>
      <c r="GB83" s="825">
        <v>0</v>
      </c>
      <c r="GC83" s="825">
        <v>0</v>
      </c>
      <c r="GD83" s="825">
        <v>0</v>
      </c>
      <c r="GE83" s="825">
        <v>0</v>
      </c>
      <c r="GF83" s="825">
        <v>0</v>
      </c>
      <c r="GG83" s="825">
        <v>0</v>
      </c>
      <c r="GH83" s="825">
        <v>0</v>
      </c>
      <c r="GI83" s="825">
        <v>0</v>
      </c>
      <c r="GJ83" s="825">
        <v>0</v>
      </c>
      <c r="GK83" s="825">
        <v>0</v>
      </c>
      <c r="GL83" s="825">
        <v>0</v>
      </c>
      <c r="GM83" s="825">
        <v>0</v>
      </c>
      <c r="GN83" s="825">
        <v>0</v>
      </c>
      <c r="GO83" s="825">
        <v>0</v>
      </c>
      <c r="GP83" s="825">
        <v>0</v>
      </c>
      <c r="GQ83" s="825">
        <v>0</v>
      </c>
      <c r="GR83" s="825">
        <v>0</v>
      </c>
      <c r="GS83" s="825">
        <v>0</v>
      </c>
      <c r="GT83" s="825">
        <v>0</v>
      </c>
      <c r="GU83" s="825">
        <v>0</v>
      </c>
      <c r="GV83" s="825">
        <v>0</v>
      </c>
      <c r="GW83" s="825">
        <v>0</v>
      </c>
      <c r="GX83" s="825">
        <v>0</v>
      </c>
      <c r="GY83" s="825">
        <v>0</v>
      </c>
      <c r="GZ83" s="825">
        <v>0</v>
      </c>
      <c r="HA83" s="825">
        <v>0</v>
      </c>
      <c r="HB83" s="825">
        <v>0</v>
      </c>
      <c r="HC83" s="825">
        <v>0</v>
      </c>
      <c r="HD83" s="825">
        <v>0</v>
      </c>
      <c r="HE83" s="825">
        <v>0</v>
      </c>
      <c r="HF83" s="825">
        <v>0</v>
      </c>
      <c r="HG83" s="825">
        <v>0</v>
      </c>
      <c r="HH83" s="825">
        <v>0</v>
      </c>
      <c r="HI83" s="825">
        <v>0</v>
      </c>
      <c r="HJ83" s="825">
        <v>0</v>
      </c>
      <c r="HK83" s="825">
        <v>0</v>
      </c>
      <c r="HL83" s="825">
        <v>0</v>
      </c>
      <c r="HM83" s="825">
        <v>0</v>
      </c>
      <c r="HN83" s="825">
        <v>0</v>
      </c>
      <c r="HO83" s="825">
        <v>0</v>
      </c>
      <c r="HP83" s="825">
        <v>0</v>
      </c>
      <c r="HQ83" s="825">
        <v>0</v>
      </c>
      <c r="HR83" s="825">
        <v>0</v>
      </c>
      <c r="HS83" s="825">
        <v>0</v>
      </c>
      <c r="HT83" s="825">
        <v>0</v>
      </c>
      <c r="HU83" s="825">
        <v>0</v>
      </c>
    </row>
    <row r="84" spans="1:229" ht="89.25">
      <c r="A84" s="823" t="s">
        <v>515</v>
      </c>
      <c r="B84" s="823" t="s">
        <v>1665</v>
      </c>
      <c r="C84" s="823" t="s">
        <v>1666</v>
      </c>
      <c r="D84" s="826" t="s">
        <v>1667</v>
      </c>
      <c r="E84" s="824"/>
      <c r="F84" s="824"/>
      <c r="G84" s="824"/>
      <c r="H84" s="824"/>
      <c r="I84" s="824"/>
      <c r="J84" s="824"/>
      <c r="K84" s="824"/>
      <c r="L84" s="824"/>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c r="BC84" s="824"/>
      <c r="BD84" s="824"/>
      <c r="BE84" s="824"/>
      <c r="BF84" s="824"/>
      <c r="BG84" s="824"/>
      <c r="BH84" s="824"/>
      <c r="BI84" s="824"/>
      <c r="BJ84" s="824"/>
      <c r="BK84" s="824"/>
      <c r="BL84" s="824"/>
      <c r="BM84" s="824"/>
      <c r="BN84" s="824"/>
      <c r="BO84" s="824"/>
      <c r="BP84" s="824"/>
      <c r="BQ84" s="824"/>
      <c r="BR84" s="824"/>
      <c r="BS84" s="824"/>
      <c r="BT84" s="824"/>
      <c r="BU84" s="824"/>
      <c r="BV84" s="824"/>
      <c r="BW84" s="824"/>
      <c r="BX84" s="824"/>
      <c r="BY84" s="824"/>
      <c r="BZ84" s="824"/>
      <c r="CA84" s="824"/>
      <c r="CB84" s="824"/>
      <c r="CC84" s="824"/>
      <c r="CD84" s="824"/>
      <c r="CE84" s="824"/>
      <c r="CF84" s="824"/>
      <c r="CG84" s="824"/>
      <c r="CH84" s="824"/>
      <c r="CI84" s="824"/>
      <c r="CJ84" s="824"/>
      <c r="CK84" s="824"/>
      <c r="CL84" s="824"/>
      <c r="CM84" s="824"/>
      <c r="CN84" s="824"/>
      <c r="CO84" s="824"/>
      <c r="CP84" s="824"/>
      <c r="CQ84" s="824"/>
      <c r="CR84" s="824"/>
      <c r="CS84" s="824"/>
      <c r="CT84" s="824"/>
      <c r="CU84" s="824"/>
      <c r="CV84" s="824"/>
      <c r="CW84" s="824"/>
      <c r="CX84" s="824"/>
      <c r="CY84" s="824"/>
      <c r="CZ84" s="824"/>
      <c r="DA84" s="824"/>
      <c r="DB84" s="824"/>
      <c r="DC84" s="824"/>
      <c r="DD84" s="824"/>
      <c r="DE84" s="824"/>
      <c r="DF84" s="824"/>
      <c r="DG84" s="824"/>
      <c r="DH84" s="824"/>
      <c r="DI84" s="824"/>
      <c r="DJ84" s="824"/>
      <c r="DK84" s="824"/>
      <c r="DL84" s="824"/>
      <c r="DM84" s="825">
        <v>1.9</v>
      </c>
      <c r="DN84" s="825">
        <v>0</v>
      </c>
      <c r="DO84" s="825">
        <v>0</v>
      </c>
      <c r="DP84" s="825">
        <v>0</v>
      </c>
      <c r="DQ84" s="825">
        <v>0</v>
      </c>
      <c r="DR84" s="825">
        <v>0</v>
      </c>
      <c r="DS84" s="825">
        <v>0</v>
      </c>
      <c r="DT84" s="825">
        <v>0</v>
      </c>
      <c r="DU84" s="825">
        <v>0</v>
      </c>
      <c r="DV84" s="825">
        <v>0</v>
      </c>
      <c r="DW84" s="825">
        <v>0</v>
      </c>
      <c r="DX84" s="825">
        <v>0</v>
      </c>
      <c r="DY84" s="825">
        <v>0</v>
      </c>
      <c r="DZ84" s="825">
        <v>0</v>
      </c>
      <c r="EA84" s="825">
        <v>0</v>
      </c>
      <c r="EB84" s="825">
        <v>0</v>
      </c>
      <c r="EC84" s="825">
        <v>0</v>
      </c>
      <c r="ED84" s="825">
        <v>0</v>
      </c>
      <c r="EE84" s="825">
        <v>0</v>
      </c>
      <c r="EF84" s="825">
        <v>0</v>
      </c>
      <c r="EG84" s="825">
        <v>0</v>
      </c>
      <c r="EH84" s="825">
        <v>0</v>
      </c>
      <c r="EI84" s="825">
        <v>0</v>
      </c>
      <c r="EJ84" s="825">
        <v>0</v>
      </c>
      <c r="EK84" s="825">
        <v>0</v>
      </c>
      <c r="EL84" s="825">
        <v>0</v>
      </c>
      <c r="EM84" s="825">
        <v>0</v>
      </c>
      <c r="EN84" s="825">
        <v>0</v>
      </c>
      <c r="EO84" s="825">
        <v>0</v>
      </c>
      <c r="EP84" s="825">
        <v>0</v>
      </c>
      <c r="EQ84" s="825">
        <v>0</v>
      </c>
      <c r="ER84" s="825">
        <v>0</v>
      </c>
      <c r="ES84" s="825">
        <v>0</v>
      </c>
      <c r="ET84" s="825">
        <v>0</v>
      </c>
      <c r="EU84" s="825">
        <v>0</v>
      </c>
      <c r="EV84" s="825">
        <v>0</v>
      </c>
      <c r="EW84" s="825">
        <v>0</v>
      </c>
      <c r="EX84" s="825">
        <v>0</v>
      </c>
      <c r="EY84" s="825">
        <v>0</v>
      </c>
      <c r="EZ84" s="825">
        <v>0</v>
      </c>
      <c r="FA84" s="825">
        <v>0</v>
      </c>
      <c r="FB84" s="825">
        <v>0</v>
      </c>
      <c r="FC84" s="825">
        <v>0</v>
      </c>
      <c r="FD84" s="825">
        <v>0</v>
      </c>
      <c r="FE84" s="825">
        <v>0</v>
      </c>
      <c r="FF84" s="825">
        <v>0</v>
      </c>
      <c r="FG84" s="825">
        <v>0</v>
      </c>
      <c r="FH84" s="825">
        <v>0</v>
      </c>
      <c r="FI84" s="825">
        <v>0</v>
      </c>
      <c r="FJ84" s="825">
        <v>0</v>
      </c>
      <c r="FK84" s="825">
        <v>0</v>
      </c>
      <c r="FL84" s="825">
        <v>0</v>
      </c>
      <c r="FM84" s="825">
        <v>0</v>
      </c>
      <c r="FN84" s="825">
        <v>0</v>
      </c>
      <c r="FO84" s="825">
        <v>0</v>
      </c>
      <c r="FP84" s="825">
        <v>0</v>
      </c>
      <c r="FQ84" s="825">
        <v>0</v>
      </c>
      <c r="FR84" s="825">
        <v>0</v>
      </c>
      <c r="FS84" s="825">
        <v>0</v>
      </c>
      <c r="FT84" s="825">
        <v>0</v>
      </c>
      <c r="FU84" s="825">
        <v>0</v>
      </c>
      <c r="FV84" s="825">
        <v>0</v>
      </c>
      <c r="FW84" s="825">
        <v>0</v>
      </c>
      <c r="FX84" s="825">
        <v>0</v>
      </c>
      <c r="FY84" s="825">
        <v>0</v>
      </c>
      <c r="FZ84" s="825">
        <v>0</v>
      </c>
      <c r="GA84" s="825">
        <v>0</v>
      </c>
      <c r="GB84" s="825">
        <v>0</v>
      </c>
      <c r="GC84" s="825">
        <v>0</v>
      </c>
      <c r="GD84" s="825">
        <v>0</v>
      </c>
      <c r="GE84" s="825">
        <v>0</v>
      </c>
      <c r="GF84" s="825">
        <v>0</v>
      </c>
      <c r="GG84" s="825">
        <v>0</v>
      </c>
      <c r="GH84" s="825">
        <v>0</v>
      </c>
      <c r="GI84" s="825">
        <v>0</v>
      </c>
      <c r="GJ84" s="825">
        <v>0</v>
      </c>
      <c r="GK84" s="825">
        <v>0</v>
      </c>
      <c r="GL84" s="825">
        <v>0</v>
      </c>
      <c r="GM84" s="825">
        <v>0</v>
      </c>
      <c r="GN84" s="825">
        <v>0</v>
      </c>
      <c r="GO84" s="825">
        <v>0</v>
      </c>
      <c r="GP84" s="825">
        <v>0</v>
      </c>
      <c r="GQ84" s="825">
        <v>0</v>
      </c>
      <c r="GR84" s="825">
        <v>0</v>
      </c>
      <c r="GS84" s="825">
        <v>0</v>
      </c>
      <c r="GT84" s="825">
        <v>0</v>
      </c>
      <c r="GU84" s="825">
        <v>0</v>
      </c>
      <c r="GV84" s="825">
        <v>0</v>
      </c>
      <c r="GW84" s="825">
        <v>0</v>
      </c>
      <c r="GX84" s="825">
        <v>0</v>
      </c>
      <c r="GY84" s="825">
        <v>0</v>
      </c>
      <c r="GZ84" s="825">
        <v>0</v>
      </c>
      <c r="HA84" s="825">
        <v>0</v>
      </c>
      <c r="HB84" s="825">
        <v>0</v>
      </c>
      <c r="HC84" s="825">
        <v>0</v>
      </c>
      <c r="HD84" s="825">
        <v>0</v>
      </c>
      <c r="HE84" s="825">
        <v>0</v>
      </c>
      <c r="HF84" s="825">
        <v>0</v>
      </c>
      <c r="HG84" s="825">
        <v>0</v>
      </c>
      <c r="HH84" s="825">
        <v>0</v>
      </c>
      <c r="HI84" s="825">
        <v>0</v>
      </c>
      <c r="HJ84" s="825">
        <v>0</v>
      </c>
      <c r="HK84" s="825">
        <v>0</v>
      </c>
      <c r="HL84" s="825">
        <v>0</v>
      </c>
      <c r="HM84" s="825">
        <v>0</v>
      </c>
      <c r="HN84" s="825">
        <v>0</v>
      </c>
      <c r="HO84" s="825">
        <v>0</v>
      </c>
      <c r="HP84" s="825">
        <v>0</v>
      </c>
      <c r="HQ84" s="825">
        <v>0</v>
      </c>
      <c r="HR84" s="825">
        <v>0</v>
      </c>
      <c r="HS84" s="825">
        <v>0</v>
      </c>
      <c r="HT84" s="825">
        <v>0</v>
      </c>
      <c r="HU84" s="825">
        <v>0</v>
      </c>
    </row>
  </sheetData>
  <sheetProtection password="857C" sheet="1" objects="1" scenarios="1"/>
  <pageMargins left="0.69930555555555496" right="0.69930555555555496"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65"/>
  <sheetViews>
    <sheetView topLeftCell="A9" zoomScale="96" zoomScaleNormal="96" workbookViewId="0">
      <selection activeCell="A13" sqref="A13"/>
    </sheetView>
  </sheetViews>
  <sheetFormatPr defaultRowHeight="15"/>
  <cols>
    <col min="1" max="1" width="43" style="816" customWidth="1"/>
    <col min="2" max="2" width="28.7109375" style="817" customWidth="1"/>
    <col min="3" max="1025" width="20.7109375" style="827" customWidth="1"/>
  </cols>
  <sheetData>
    <row r="1" spans="1:62">
      <c r="A1" s="819" t="s">
        <v>502</v>
      </c>
      <c r="B1" s="819" t="s">
        <v>503</v>
      </c>
      <c r="C1" s="819" t="s">
        <v>718</v>
      </c>
      <c r="D1" s="819" t="s">
        <v>1668</v>
      </c>
      <c r="E1" s="819" t="s">
        <v>720</v>
      </c>
      <c r="F1" s="819" t="s">
        <v>721</v>
      </c>
      <c r="G1" s="819" t="s">
        <v>722</v>
      </c>
      <c r="H1" s="819" t="s">
        <v>723</v>
      </c>
      <c r="I1" s="819" t="s">
        <v>724</v>
      </c>
      <c r="J1" s="819" t="s">
        <v>725</v>
      </c>
      <c r="K1" s="819" t="s">
        <v>726</v>
      </c>
      <c r="L1" s="819" t="s">
        <v>727</v>
      </c>
      <c r="M1" s="819" t="s">
        <v>728</v>
      </c>
      <c r="N1" s="819" t="s">
        <v>729</v>
      </c>
      <c r="O1" s="819" t="s">
        <v>730</v>
      </c>
      <c r="P1" s="819" t="s">
        <v>731</v>
      </c>
      <c r="Q1" s="819" t="s">
        <v>732</v>
      </c>
      <c r="R1" s="819" t="s">
        <v>733</v>
      </c>
      <c r="S1" s="819" t="s">
        <v>734</v>
      </c>
      <c r="T1" s="819" t="s">
        <v>735</v>
      </c>
      <c r="U1" s="819" t="s">
        <v>736</v>
      </c>
      <c r="V1" s="819" t="s">
        <v>737</v>
      </c>
      <c r="W1" s="819" t="s">
        <v>738</v>
      </c>
      <c r="X1" s="819" t="s">
        <v>739</v>
      </c>
      <c r="Y1" s="819" t="s">
        <v>740</v>
      </c>
      <c r="Z1" s="819" t="s">
        <v>741</v>
      </c>
      <c r="AA1" s="819" t="s">
        <v>742</v>
      </c>
      <c r="AB1" s="819" t="s">
        <v>743</v>
      </c>
      <c r="AC1" s="819" t="s">
        <v>744</v>
      </c>
      <c r="AD1" s="819" t="s">
        <v>745</v>
      </c>
      <c r="AE1" s="819" t="s">
        <v>746</v>
      </c>
      <c r="AF1" s="819" t="s">
        <v>747</v>
      </c>
      <c r="AG1" s="819" t="s">
        <v>831</v>
      </c>
      <c r="AH1" s="819" t="s">
        <v>832</v>
      </c>
      <c r="AI1" s="819" t="s">
        <v>833</v>
      </c>
      <c r="AJ1" s="819" t="s">
        <v>834</v>
      </c>
      <c r="AK1" s="819" t="s">
        <v>835</v>
      </c>
      <c r="AL1" s="819" t="s">
        <v>836</v>
      </c>
      <c r="AM1" s="819" t="s">
        <v>837</v>
      </c>
      <c r="AN1" s="819" t="s">
        <v>838</v>
      </c>
      <c r="AO1" s="819" t="s">
        <v>839</v>
      </c>
      <c r="AP1" s="819" t="s">
        <v>840</v>
      </c>
      <c r="AQ1" s="819" t="s">
        <v>841</v>
      </c>
      <c r="AR1" s="819" t="s">
        <v>842</v>
      </c>
      <c r="AS1" s="819" t="s">
        <v>843</v>
      </c>
      <c r="AT1" s="819" t="s">
        <v>844</v>
      </c>
      <c r="AU1" s="819" t="s">
        <v>845</v>
      </c>
      <c r="AV1" s="819" t="s">
        <v>846</v>
      </c>
      <c r="AW1" s="819" t="s">
        <v>847</v>
      </c>
      <c r="AX1" s="819" t="s">
        <v>848</v>
      </c>
      <c r="AY1" s="819" t="s">
        <v>849</v>
      </c>
      <c r="AZ1" s="819" t="s">
        <v>850</v>
      </c>
      <c r="BA1" s="819" t="s">
        <v>851</v>
      </c>
      <c r="BB1" s="819" t="s">
        <v>852</v>
      </c>
      <c r="BC1" s="819" t="s">
        <v>853</v>
      </c>
      <c r="BD1" s="819" t="s">
        <v>854</v>
      </c>
      <c r="BE1" s="819" t="s">
        <v>855</v>
      </c>
      <c r="BF1" s="819" t="s">
        <v>856</v>
      </c>
      <c r="BG1" s="819" t="s">
        <v>857</v>
      </c>
      <c r="BH1" s="819" t="s">
        <v>858</v>
      </c>
      <c r="BI1" s="819" t="s">
        <v>859</v>
      </c>
      <c r="BJ1" s="819" t="s">
        <v>860</v>
      </c>
    </row>
    <row r="2" spans="1:62" ht="51">
      <c r="A2" s="823" t="s">
        <v>1669</v>
      </c>
      <c r="B2" s="823" t="s">
        <v>1670</v>
      </c>
      <c r="C2" s="824" t="s">
        <v>1671</v>
      </c>
      <c r="D2" s="824" t="s">
        <v>1672</v>
      </c>
      <c r="E2" s="824" t="s">
        <v>1673</v>
      </c>
      <c r="F2" s="824"/>
      <c r="G2" s="824"/>
      <c r="H2" s="824"/>
      <c r="I2" s="824"/>
      <c r="J2" s="824"/>
      <c r="K2" s="824"/>
      <c r="L2" s="824"/>
      <c r="M2" s="824"/>
      <c r="N2" s="824"/>
      <c r="O2" s="824"/>
      <c r="P2" s="824"/>
      <c r="Q2" s="824"/>
      <c r="R2" s="824"/>
      <c r="S2" s="824"/>
      <c r="T2" s="824"/>
      <c r="U2" s="824"/>
      <c r="V2" s="824"/>
      <c r="W2" s="824"/>
      <c r="X2" s="824"/>
      <c r="Y2" s="824"/>
      <c r="Z2" s="824"/>
      <c r="AA2" s="824"/>
      <c r="AB2" s="824"/>
      <c r="AC2" s="824"/>
      <c r="AD2" s="824"/>
      <c r="AE2" s="824"/>
      <c r="AF2" s="824"/>
      <c r="AG2" s="828">
        <v>3.2</v>
      </c>
      <c r="AH2" s="828">
        <v>4.2</v>
      </c>
      <c r="AI2" s="828">
        <v>7.5</v>
      </c>
      <c r="AJ2" s="828">
        <v>0</v>
      </c>
      <c r="AK2" s="828">
        <v>0</v>
      </c>
      <c r="AL2" s="828">
        <v>0</v>
      </c>
      <c r="AM2" s="828">
        <v>0</v>
      </c>
      <c r="AN2" s="828">
        <v>0</v>
      </c>
      <c r="AO2" s="828">
        <v>0</v>
      </c>
      <c r="AP2" s="828">
        <v>0</v>
      </c>
      <c r="AQ2" s="828">
        <v>0</v>
      </c>
      <c r="AR2" s="828">
        <v>0</v>
      </c>
      <c r="AS2" s="828">
        <v>0</v>
      </c>
      <c r="AT2" s="828">
        <v>0</v>
      </c>
      <c r="AU2" s="828">
        <v>0</v>
      </c>
      <c r="AV2" s="828">
        <v>0</v>
      </c>
      <c r="AW2" s="828">
        <v>0</v>
      </c>
      <c r="AX2" s="828">
        <v>0</v>
      </c>
      <c r="AY2" s="828">
        <v>0</v>
      </c>
      <c r="AZ2" s="828">
        <v>0</v>
      </c>
      <c r="BA2" s="828">
        <v>0</v>
      </c>
      <c r="BB2" s="828">
        <v>0</v>
      </c>
      <c r="BC2" s="828">
        <v>0</v>
      </c>
      <c r="BD2" s="828">
        <v>0</v>
      </c>
      <c r="BE2" s="828">
        <v>0</v>
      </c>
      <c r="BF2" s="828">
        <v>0</v>
      </c>
      <c r="BG2" s="828">
        <v>0</v>
      </c>
      <c r="BH2" s="828">
        <v>0</v>
      </c>
      <c r="BI2" s="828">
        <v>0</v>
      </c>
      <c r="BJ2" s="828">
        <v>0</v>
      </c>
    </row>
    <row r="3" spans="1:62" ht="25.5">
      <c r="A3" s="823" t="s">
        <v>1669</v>
      </c>
      <c r="B3" s="823" t="s">
        <v>1674</v>
      </c>
      <c r="C3" s="824" t="s">
        <v>1675</v>
      </c>
      <c r="D3" s="824" t="s">
        <v>1676</v>
      </c>
      <c r="E3" s="824" t="s">
        <v>1677</v>
      </c>
      <c r="F3" s="824"/>
      <c r="G3" s="824"/>
      <c r="H3" s="824"/>
      <c r="I3" s="824"/>
      <c r="J3" s="824"/>
      <c r="K3" s="824"/>
      <c r="L3" s="824"/>
      <c r="M3" s="824"/>
      <c r="N3" s="824"/>
      <c r="O3" s="824"/>
      <c r="P3" s="824"/>
      <c r="Q3" s="824"/>
      <c r="R3" s="824"/>
      <c r="S3" s="824"/>
      <c r="T3" s="824"/>
      <c r="U3" s="824"/>
      <c r="V3" s="824"/>
      <c r="W3" s="824"/>
      <c r="X3" s="824"/>
      <c r="Y3" s="824"/>
      <c r="Z3" s="824"/>
      <c r="AA3" s="824"/>
      <c r="AB3" s="824"/>
      <c r="AC3" s="824"/>
      <c r="AD3" s="824"/>
      <c r="AE3" s="824"/>
      <c r="AF3" s="824"/>
      <c r="AG3" s="828">
        <v>4.5999999999999996</v>
      </c>
      <c r="AH3" s="828">
        <v>2.4</v>
      </c>
      <c r="AI3" s="828">
        <v>1.9</v>
      </c>
      <c r="AJ3" s="828">
        <v>0</v>
      </c>
      <c r="AK3" s="828">
        <v>0</v>
      </c>
      <c r="AL3" s="828">
        <v>0</v>
      </c>
      <c r="AM3" s="828">
        <v>0</v>
      </c>
      <c r="AN3" s="828">
        <v>0</v>
      </c>
      <c r="AO3" s="828">
        <v>0</v>
      </c>
      <c r="AP3" s="828">
        <v>0</v>
      </c>
      <c r="AQ3" s="828">
        <v>0</v>
      </c>
      <c r="AR3" s="828">
        <v>0</v>
      </c>
      <c r="AS3" s="828">
        <v>0</v>
      </c>
      <c r="AT3" s="828">
        <v>0</v>
      </c>
      <c r="AU3" s="828">
        <v>0</v>
      </c>
      <c r="AV3" s="828">
        <v>0</v>
      </c>
      <c r="AW3" s="828">
        <v>0</v>
      </c>
      <c r="AX3" s="828">
        <v>0</v>
      </c>
      <c r="AY3" s="828">
        <v>0</v>
      </c>
      <c r="AZ3" s="828">
        <v>0</v>
      </c>
      <c r="BA3" s="828">
        <v>0</v>
      </c>
      <c r="BB3" s="828">
        <v>0</v>
      </c>
      <c r="BC3" s="828">
        <v>0</v>
      </c>
      <c r="BD3" s="828">
        <v>0</v>
      </c>
      <c r="BE3" s="828">
        <v>0</v>
      </c>
      <c r="BF3" s="828">
        <v>0</v>
      </c>
      <c r="BG3" s="828">
        <v>0</v>
      </c>
      <c r="BH3" s="828">
        <v>0</v>
      </c>
      <c r="BI3" s="828">
        <v>0</v>
      </c>
      <c r="BJ3" s="828">
        <v>0</v>
      </c>
    </row>
    <row r="4" spans="1:62" ht="25.5">
      <c r="A4" s="823" t="s">
        <v>1669</v>
      </c>
      <c r="B4" s="823" t="s">
        <v>1678</v>
      </c>
      <c r="C4" s="824" t="s">
        <v>1679</v>
      </c>
      <c r="D4" s="824"/>
      <c r="E4" s="824"/>
      <c r="F4" s="824"/>
      <c r="G4" s="824"/>
      <c r="H4" s="824"/>
      <c r="I4" s="824"/>
      <c r="J4" s="824"/>
      <c r="K4" s="824"/>
      <c r="L4" s="824"/>
      <c r="M4" s="824"/>
      <c r="N4" s="824"/>
      <c r="O4" s="824"/>
      <c r="P4" s="824"/>
      <c r="Q4" s="824"/>
      <c r="R4" s="824"/>
      <c r="S4" s="824"/>
      <c r="T4" s="824"/>
      <c r="U4" s="824"/>
      <c r="V4" s="824"/>
      <c r="W4" s="824"/>
      <c r="X4" s="824"/>
      <c r="Y4" s="824"/>
      <c r="Z4" s="824"/>
      <c r="AA4" s="824"/>
      <c r="AB4" s="824"/>
      <c r="AC4" s="824"/>
      <c r="AD4" s="824"/>
      <c r="AE4" s="824"/>
      <c r="AF4" s="824"/>
      <c r="AG4" s="829">
        <v>0</v>
      </c>
      <c r="AH4" s="828">
        <v>0</v>
      </c>
      <c r="AI4" s="828">
        <v>0</v>
      </c>
      <c r="AJ4" s="828">
        <v>0</v>
      </c>
      <c r="AK4" s="828">
        <v>0</v>
      </c>
      <c r="AL4" s="828">
        <v>0</v>
      </c>
      <c r="AM4" s="828">
        <v>0</v>
      </c>
      <c r="AN4" s="828">
        <v>0</v>
      </c>
      <c r="AO4" s="828">
        <v>0</v>
      </c>
      <c r="AP4" s="828">
        <v>0</v>
      </c>
      <c r="AQ4" s="828">
        <v>0</v>
      </c>
      <c r="AR4" s="828">
        <v>0</v>
      </c>
      <c r="AS4" s="828">
        <v>0</v>
      </c>
      <c r="AT4" s="828">
        <v>0</v>
      </c>
      <c r="AU4" s="828">
        <v>0</v>
      </c>
      <c r="AV4" s="828">
        <v>0</v>
      </c>
      <c r="AW4" s="828">
        <v>0</v>
      </c>
      <c r="AX4" s="828">
        <v>0</v>
      </c>
      <c r="AY4" s="828">
        <v>0</v>
      </c>
      <c r="AZ4" s="828">
        <v>0</v>
      </c>
      <c r="BA4" s="828">
        <v>0</v>
      </c>
      <c r="BB4" s="828">
        <v>0</v>
      </c>
      <c r="BC4" s="828">
        <v>0</v>
      </c>
      <c r="BD4" s="828">
        <v>0</v>
      </c>
      <c r="BE4" s="828">
        <v>0</v>
      </c>
      <c r="BF4" s="828">
        <v>0</v>
      </c>
      <c r="BG4" s="828">
        <v>0</v>
      </c>
      <c r="BH4" s="828">
        <v>0</v>
      </c>
      <c r="BI4" s="828">
        <v>0</v>
      </c>
      <c r="BJ4" s="828">
        <v>0</v>
      </c>
    </row>
    <row r="5" spans="1:62" ht="51">
      <c r="A5" s="823" t="s">
        <v>1669</v>
      </c>
      <c r="B5" s="823" t="s">
        <v>1680</v>
      </c>
      <c r="C5" s="824" t="s">
        <v>1681</v>
      </c>
      <c r="D5" s="824" t="s">
        <v>1682</v>
      </c>
      <c r="E5" s="824" t="s">
        <v>1683</v>
      </c>
      <c r="F5" s="824" t="s">
        <v>1684</v>
      </c>
      <c r="G5" s="824"/>
      <c r="H5" s="824"/>
      <c r="I5" s="824"/>
      <c r="J5" s="824"/>
      <c r="K5" s="824"/>
      <c r="L5" s="824"/>
      <c r="M5" s="824"/>
      <c r="N5" s="824"/>
      <c r="O5" s="824"/>
      <c r="P5" s="824"/>
      <c r="Q5" s="824"/>
      <c r="R5" s="824"/>
      <c r="S5" s="824"/>
      <c r="T5" s="824"/>
      <c r="U5" s="824"/>
      <c r="V5" s="824"/>
      <c r="W5" s="824"/>
      <c r="X5" s="824"/>
      <c r="Y5" s="824"/>
      <c r="Z5" s="824"/>
      <c r="AA5" s="824"/>
      <c r="AB5" s="824"/>
      <c r="AC5" s="824"/>
      <c r="AD5" s="824"/>
      <c r="AE5" s="824"/>
      <c r="AF5" s="824"/>
      <c r="AG5" s="828">
        <v>3.4</v>
      </c>
      <c r="AH5" s="828">
        <v>2.8</v>
      </c>
      <c r="AI5" s="828">
        <v>2.5</v>
      </c>
      <c r="AJ5" s="828">
        <v>2.8</v>
      </c>
      <c r="AK5" s="828">
        <v>0</v>
      </c>
      <c r="AL5" s="828">
        <v>0</v>
      </c>
      <c r="AM5" s="828">
        <v>0</v>
      </c>
      <c r="AN5" s="828">
        <v>0</v>
      </c>
      <c r="AO5" s="828">
        <v>0</v>
      </c>
      <c r="AP5" s="828">
        <v>0</v>
      </c>
      <c r="AQ5" s="828">
        <v>0</v>
      </c>
      <c r="AR5" s="828">
        <v>0</v>
      </c>
      <c r="AS5" s="828">
        <v>0</v>
      </c>
      <c r="AT5" s="828">
        <v>0</v>
      </c>
      <c r="AU5" s="828">
        <v>0</v>
      </c>
      <c r="AV5" s="828">
        <v>0</v>
      </c>
      <c r="AW5" s="828">
        <v>0</v>
      </c>
      <c r="AX5" s="828">
        <v>0</v>
      </c>
      <c r="AY5" s="828">
        <v>0</v>
      </c>
      <c r="AZ5" s="828">
        <v>0</v>
      </c>
      <c r="BA5" s="828">
        <v>0</v>
      </c>
      <c r="BB5" s="828">
        <v>0</v>
      </c>
      <c r="BC5" s="828">
        <v>0</v>
      </c>
      <c r="BD5" s="828">
        <v>0</v>
      </c>
      <c r="BE5" s="828">
        <v>0</v>
      </c>
      <c r="BF5" s="828">
        <v>0</v>
      </c>
      <c r="BG5" s="828">
        <v>0</v>
      </c>
      <c r="BH5" s="828">
        <v>0</v>
      </c>
      <c r="BI5" s="828">
        <v>0</v>
      </c>
      <c r="BJ5" s="828">
        <v>0</v>
      </c>
    </row>
    <row r="6" spans="1:62" ht="63.75">
      <c r="A6" s="823" t="s">
        <v>1685</v>
      </c>
      <c r="B6" s="823" t="s">
        <v>1686</v>
      </c>
      <c r="C6" s="824" t="s">
        <v>1687</v>
      </c>
      <c r="D6" s="824" t="s">
        <v>1688</v>
      </c>
      <c r="E6" s="824"/>
      <c r="F6" s="824"/>
      <c r="G6" s="824"/>
      <c r="H6" s="824"/>
      <c r="I6" s="824"/>
      <c r="J6" s="824"/>
      <c r="K6" s="824"/>
      <c r="L6" s="824"/>
      <c r="M6" s="824"/>
      <c r="N6" s="824"/>
      <c r="O6" s="824"/>
      <c r="P6" s="824"/>
      <c r="Q6" s="824"/>
      <c r="R6" s="824"/>
      <c r="S6" s="824"/>
      <c r="T6" s="824"/>
      <c r="U6" s="824"/>
      <c r="V6" s="824"/>
      <c r="W6" s="824"/>
      <c r="X6" s="824"/>
      <c r="Y6" s="824"/>
      <c r="Z6" s="824"/>
      <c r="AA6" s="824"/>
      <c r="AB6" s="824"/>
      <c r="AC6" s="824"/>
      <c r="AD6" s="824"/>
      <c r="AE6" s="824"/>
      <c r="AF6" s="824"/>
      <c r="AG6" s="828">
        <v>4</v>
      </c>
      <c r="AH6" s="828">
        <v>2.6</v>
      </c>
      <c r="AI6" s="828">
        <v>0</v>
      </c>
      <c r="AJ6" s="828">
        <v>0</v>
      </c>
      <c r="AK6" s="828">
        <v>0</v>
      </c>
      <c r="AL6" s="828">
        <v>0</v>
      </c>
      <c r="AM6" s="828">
        <v>0</v>
      </c>
      <c r="AN6" s="828">
        <v>0</v>
      </c>
      <c r="AO6" s="828">
        <v>0</v>
      </c>
      <c r="AP6" s="828">
        <v>0</v>
      </c>
      <c r="AQ6" s="828">
        <v>0</v>
      </c>
      <c r="AR6" s="828">
        <v>0</v>
      </c>
      <c r="AS6" s="828">
        <v>0</v>
      </c>
      <c r="AT6" s="828">
        <v>0</v>
      </c>
      <c r="AU6" s="828">
        <v>0</v>
      </c>
      <c r="AV6" s="828">
        <v>0</v>
      </c>
      <c r="AW6" s="828">
        <v>0</v>
      </c>
      <c r="AX6" s="828">
        <v>0</v>
      </c>
      <c r="AY6" s="828">
        <v>0</v>
      </c>
      <c r="AZ6" s="828">
        <v>0</v>
      </c>
      <c r="BA6" s="828">
        <v>0</v>
      </c>
      <c r="BB6" s="828">
        <v>0</v>
      </c>
      <c r="BC6" s="828">
        <v>0</v>
      </c>
      <c r="BD6" s="828">
        <v>0</v>
      </c>
      <c r="BE6" s="828">
        <v>0</v>
      </c>
      <c r="BF6" s="828">
        <v>0</v>
      </c>
      <c r="BG6" s="828">
        <v>0</v>
      </c>
      <c r="BH6" s="828">
        <v>0</v>
      </c>
      <c r="BI6" s="828">
        <v>0</v>
      </c>
      <c r="BJ6" s="828">
        <v>0</v>
      </c>
    </row>
    <row r="7" spans="1:62" ht="25.5">
      <c r="A7" s="823" t="s">
        <v>1685</v>
      </c>
      <c r="B7" s="823" t="s">
        <v>1689</v>
      </c>
      <c r="C7" s="824" t="s">
        <v>1690</v>
      </c>
      <c r="D7" s="824"/>
      <c r="E7" s="824"/>
      <c r="F7" s="824"/>
      <c r="G7" s="824"/>
      <c r="H7" s="824"/>
      <c r="I7" s="824"/>
      <c r="J7" s="824"/>
      <c r="K7" s="824"/>
      <c r="L7" s="824"/>
      <c r="M7" s="824"/>
      <c r="N7" s="824"/>
      <c r="O7" s="824"/>
      <c r="P7" s="824"/>
      <c r="Q7" s="824"/>
      <c r="R7" s="824"/>
      <c r="S7" s="824"/>
      <c r="T7" s="824"/>
      <c r="U7" s="824"/>
      <c r="V7" s="824"/>
      <c r="W7" s="824"/>
      <c r="X7" s="824"/>
      <c r="Y7" s="824"/>
      <c r="Z7" s="824"/>
      <c r="AA7" s="824"/>
      <c r="AB7" s="824"/>
      <c r="AC7" s="824"/>
      <c r="AD7" s="824"/>
      <c r="AE7" s="824"/>
      <c r="AF7" s="824"/>
      <c r="AG7" s="828">
        <v>5.5</v>
      </c>
      <c r="AH7" s="828">
        <v>0</v>
      </c>
      <c r="AI7" s="828">
        <v>0</v>
      </c>
      <c r="AJ7" s="828">
        <v>0</v>
      </c>
      <c r="AK7" s="828">
        <v>0</v>
      </c>
      <c r="AL7" s="828">
        <v>0</v>
      </c>
      <c r="AM7" s="828">
        <v>0</v>
      </c>
      <c r="AN7" s="828">
        <v>0</v>
      </c>
      <c r="AO7" s="828">
        <v>0</v>
      </c>
      <c r="AP7" s="828">
        <v>0</v>
      </c>
      <c r="AQ7" s="828">
        <v>0</v>
      </c>
      <c r="AR7" s="828">
        <v>0</v>
      </c>
      <c r="AS7" s="828">
        <v>0</v>
      </c>
      <c r="AT7" s="828">
        <v>0</v>
      </c>
      <c r="AU7" s="828">
        <v>0</v>
      </c>
      <c r="AV7" s="828">
        <v>0</v>
      </c>
      <c r="AW7" s="828">
        <v>0</v>
      </c>
      <c r="AX7" s="828">
        <v>0</v>
      </c>
      <c r="AY7" s="828">
        <v>0</v>
      </c>
      <c r="AZ7" s="828">
        <v>0</v>
      </c>
      <c r="BA7" s="828">
        <v>0</v>
      </c>
      <c r="BB7" s="828">
        <v>0</v>
      </c>
      <c r="BC7" s="828">
        <v>0</v>
      </c>
      <c r="BD7" s="828">
        <v>0</v>
      </c>
      <c r="BE7" s="828">
        <v>0</v>
      </c>
      <c r="BF7" s="828">
        <v>0</v>
      </c>
      <c r="BG7" s="828">
        <v>0</v>
      </c>
      <c r="BH7" s="828">
        <v>0</v>
      </c>
      <c r="BI7" s="828">
        <v>0</v>
      </c>
      <c r="BJ7" s="828">
        <v>0</v>
      </c>
    </row>
    <row r="8" spans="1:62" ht="76.5">
      <c r="A8" s="823" t="s">
        <v>1685</v>
      </c>
      <c r="B8" s="823" t="s">
        <v>1691</v>
      </c>
      <c r="C8" s="824" t="s">
        <v>1692</v>
      </c>
      <c r="D8" s="824"/>
      <c r="E8" s="824"/>
      <c r="F8" s="824"/>
      <c r="G8" s="824"/>
      <c r="H8" s="824"/>
      <c r="I8" s="824"/>
      <c r="J8" s="824"/>
      <c r="K8" s="824"/>
      <c r="L8" s="824"/>
      <c r="M8" s="824"/>
      <c r="N8" s="824"/>
      <c r="O8" s="824"/>
      <c r="P8" s="824"/>
      <c r="Q8" s="824"/>
      <c r="R8" s="824"/>
      <c r="S8" s="824"/>
      <c r="T8" s="824"/>
      <c r="U8" s="824"/>
      <c r="V8" s="824"/>
      <c r="W8" s="824"/>
      <c r="X8" s="824"/>
      <c r="Y8" s="824"/>
      <c r="Z8" s="824"/>
      <c r="AA8" s="824"/>
      <c r="AB8" s="824"/>
      <c r="AC8" s="824"/>
      <c r="AD8" s="824"/>
      <c r="AE8" s="824"/>
      <c r="AF8" s="824"/>
      <c r="AG8" s="828">
        <v>2.9</v>
      </c>
      <c r="AH8" s="828">
        <v>0</v>
      </c>
      <c r="AI8" s="828">
        <v>0</v>
      </c>
      <c r="AJ8" s="828">
        <v>0</v>
      </c>
      <c r="AK8" s="828">
        <v>0</v>
      </c>
      <c r="AL8" s="828">
        <v>0</v>
      </c>
      <c r="AM8" s="828">
        <v>0</v>
      </c>
      <c r="AN8" s="828">
        <v>0</v>
      </c>
      <c r="AO8" s="828">
        <v>0</v>
      </c>
      <c r="AP8" s="828">
        <v>0</v>
      </c>
      <c r="AQ8" s="828">
        <v>0</v>
      </c>
      <c r="AR8" s="828">
        <v>0</v>
      </c>
      <c r="AS8" s="828">
        <v>0</v>
      </c>
      <c r="AT8" s="828">
        <v>0</v>
      </c>
      <c r="AU8" s="828">
        <v>0</v>
      </c>
      <c r="AV8" s="828">
        <v>0</v>
      </c>
      <c r="AW8" s="828">
        <v>0</v>
      </c>
      <c r="AX8" s="828">
        <v>0</v>
      </c>
      <c r="AY8" s="828">
        <v>0</v>
      </c>
      <c r="AZ8" s="828">
        <v>0</v>
      </c>
      <c r="BA8" s="828">
        <v>0</v>
      </c>
      <c r="BB8" s="828">
        <v>0</v>
      </c>
      <c r="BC8" s="828">
        <v>0</v>
      </c>
      <c r="BD8" s="828">
        <v>0</v>
      </c>
      <c r="BE8" s="828">
        <v>0</v>
      </c>
      <c r="BF8" s="828">
        <v>0</v>
      </c>
      <c r="BG8" s="828">
        <v>0</v>
      </c>
      <c r="BH8" s="828">
        <v>0</v>
      </c>
      <c r="BI8" s="828">
        <v>0</v>
      </c>
      <c r="BJ8" s="828">
        <v>0</v>
      </c>
    </row>
    <row r="9" spans="1:62" ht="63.75">
      <c r="A9" s="823" t="s">
        <v>1693</v>
      </c>
      <c r="B9" s="823" t="s">
        <v>1694</v>
      </c>
      <c r="C9" s="824" t="s">
        <v>1695</v>
      </c>
      <c r="D9" s="824" t="s">
        <v>1696</v>
      </c>
      <c r="E9" s="824" t="s">
        <v>1697</v>
      </c>
      <c r="F9" s="824" t="s">
        <v>1698</v>
      </c>
      <c r="G9" s="824" t="s">
        <v>1699</v>
      </c>
      <c r="H9" s="824" t="s">
        <v>1700</v>
      </c>
      <c r="I9" s="824" t="s">
        <v>1701</v>
      </c>
      <c r="J9" s="824" t="s">
        <v>1702</v>
      </c>
      <c r="K9" s="824" t="s">
        <v>1703</v>
      </c>
      <c r="L9" s="824"/>
      <c r="M9" s="824"/>
      <c r="N9" s="824"/>
      <c r="O9" s="824"/>
      <c r="P9" s="824"/>
      <c r="Q9" s="824"/>
      <c r="R9" s="824"/>
      <c r="S9" s="824"/>
      <c r="T9" s="824"/>
      <c r="U9" s="824"/>
      <c r="V9" s="824"/>
      <c r="W9" s="824"/>
      <c r="X9" s="824"/>
      <c r="Y9" s="824"/>
      <c r="Z9" s="824"/>
      <c r="AA9" s="824"/>
      <c r="AB9" s="824"/>
      <c r="AC9" s="824"/>
      <c r="AD9" s="824"/>
      <c r="AE9" s="824"/>
      <c r="AF9" s="824"/>
      <c r="AG9" s="828">
        <v>3.7</v>
      </c>
      <c r="AH9" s="828">
        <v>4.5999999999999996</v>
      </c>
      <c r="AI9" s="828">
        <v>3.5</v>
      </c>
      <c r="AJ9" s="828">
        <v>3.5</v>
      </c>
      <c r="AK9" s="828">
        <v>4.4000000000000004</v>
      </c>
      <c r="AL9" s="828">
        <v>3.5</v>
      </c>
      <c r="AM9" s="828">
        <v>0</v>
      </c>
      <c r="AN9" s="828">
        <v>3.4</v>
      </c>
      <c r="AO9" s="828">
        <v>3.8</v>
      </c>
      <c r="AP9" s="828">
        <v>0</v>
      </c>
      <c r="AQ9" s="828">
        <v>0</v>
      </c>
      <c r="AR9" s="828">
        <v>0</v>
      </c>
      <c r="AS9" s="828">
        <v>0</v>
      </c>
      <c r="AT9" s="828">
        <v>0</v>
      </c>
      <c r="AU9" s="828">
        <v>0</v>
      </c>
      <c r="AV9" s="828">
        <v>0</v>
      </c>
      <c r="AW9" s="828">
        <v>0</v>
      </c>
      <c r="AX9" s="828">
        <v>0</v>
      </c>
      <c r="AY9" s="828">
        <v>0</v>
      </c>
      <c r="AZ9" s="828">
        <v>0</v>
      </c>
      <c r="BA9" s="828">
        <v>0</v>
      </c>
      <c r="BB9" s="828">
        <v>0</v>
      </c>
      <c r="BC9" s="828">
        <v>0</v>
      </c>
      <c r="BD9" s="828">
        <v>0</v>
      </c>
      <c r="BE9" s="828">
        <v>0</v>
      </c>
      <c r="BF9" s="828">
        <v>0</v>
      </c>
      <c r="BG9" s="828">
        <v>0</v>
      </c>
      <c r="BH9" s="828">
        <v>0</v>
      </c>
      <c r="BI9" s="828">
        <v>0</v>
      </c>
      <c r="BJ9" s="828">
        <v>0</v>
      </c>
    </row>
    <row r="10" spans="1:62" ht="38.25">
      <c r="A10" s="823" t="s">
        <v>1704</v>
      </c>
      <c r="B10" s="823" t="s">
        <v>1705</v>
      </c>
      <c r="C10" s="824" t="s">
        <v>1706</v>
      </c>
      <c r="D10" s="824" t="s">
        <v>1707</v>
      </c>
      <c r="E10" s="824" t="s">
        <v>1708</v>
      </c>
      <c r="F10" s="824" t="s">
        <v>1709</v>
      </c>
      <c r="G10" s="824" t="s">
        <v>1710</v>
      </c>
      <c r="H10" s="824" t="s">
        <v>1711</v>
      </c>
      <c r="I10" s="824" t="s">
        <v>1712</v>
      </c>
      <c r="J10" s="824" t="s">
        <v>1713</v>
      </c>
      <c r="K10" s="824" t="s">
        <v>1714</v>
      </c>
      <c r="L10" s="824" t="s">
        <v>1715</v>
      </c>
      <c r="M10" s="824" t="s">
        <v>1716</v>
      </c>
      <c r="N10" s="824" t="s">
        <v>1717</v>
      </c>
      <c r="O10" s="824" t="s">
        <v>1718</v>
      </c>
      <c r="P10" s="824" t="s">
        <v>1719</v>
      </c>
      <c r="Q10" s="824"/>
      <c r="R10" s="824"/>
      <c r="S10" s="824"/>
      <c r="T10" s="824"/>
      <c r="U10" s="824"/>
      <c r="V10" s="824"/>
      <c r="W10" s="824"/>
      <c r="X10" s="824"/>
      <c r="Y10" s="824"/>
      <c r="Z10" s="824"/>
      <c r="AA10" s="824"/>
      <c r="AB10" s="824"/>
      <c r="AC10" s="824"/>
      <c r="AD10" s="824"/>
      <c r="AE10" s="824"/>
      <c r="AF10" s="824"/>
      <c r="AG10" s="828">
        <v>4</v>
      </c>
      <c r="AH10" s="828">
        <v>3.8</v>
      </c>
      <c r="AI10" s="828">
        <v>3.6</v>
      </c>
      <c r="AJ10" s="828">
        <v>2.6</v>
      </c>
      <c r="AK10" s="828">
        <v>3.6</v>
      </c>
      <c r="AL10" s="828">
        <v>3</v>
      </c>
      <c r="AM10" s="828">
        <v>3.5</v>
      </c>
      <c r="AN10" s="828">
        <v>0</v>
      </c>
      <c r="AO10" s="828">
        <v>0</v>
      </c>
      <c r="AP10" s="828">
        <v>0</v>
      </c>
      <c r="AQ10" s="828">
        <v>3.9</v>
      </c>
      <c r="AR10" s="828">
        <v>0</v>
      </c>
      <c r="AS10" s="828">
        <v>5.8</v>
      </c>
      <c r="AT10" s="828">
        <v>5.8</v>
      </c>
      <c r="AU10" s="828">
        <v>0</v>
      </c>
      <c r="AV10" s="828">
        <v>0</v>
      </c>
      <c r="AW10" s="828">
        <v>0</v>
      </c>
      <c r="AX10" s="828">
        <v>0</v>
      </c>
      <c r="AY10" s="828">
        <v>0</v>
      </c>
      <c r="AZ10" s="828">
        <v>0</v>
      </c>
      <c r="BA10" s="828">
        <v>0</v>
      </c>
      <c r="BB10" s="828">
        <v>0</v>
      </c>
      <c r="BC10" s="828">
        <v>0</v>
      </c>
      <c r="BD10" s="828">
        <v>0</v>
      </c>
      <c r="BE10" s="828">
        <v>0</v>
      </c>
      <c r="BF10" s="828">
        <v>0</v>
      </c>
      <c r="BG10" s="828">
        <v>0</v>
      </c>
      <c r="BH10" s="828">
        <v>0</v>
      </c>
      <c r="BI10" s="828">
        <v>0</v>
      </c>
      <c r="BJ10" s="828">
        <v>0</v>
      </c>
    </row>
    <row r="11" spans="1:62" ht="25.5">
      <c r="A11" s="823" t="s">
        <v>1720</v>
      </c>
      <c r="B11" s="823" t="s">
        <v>1721</v>
      </c>
      <c r="C11" s="824" t="s">
        <v>1722</v>
      </c>
      <c r="D11" s="824"/>
      <c r="E11" s="824"/>
      <c r="F11" s="824"/>
      <c r="G11" s="824"/>
      <c r="H11" s="824"/>
      <c r="I11" s="824"/>
      <c r="J11" s="824"/>
      <c r="K11" s="824"/>
      <c r="L11" s="824"/>
      <c r="M11" s="824"/>
      <c r="N11" s="824"/>
      <c r="O11" s="824"/>
      <c r="P11" s="824"/>
      <c r="Q11" s="824"/>
      <c r="R11" s="824"/>
      <c r="S11" s="824"/>
      <c r="T11" s="824"/>
      <c r="U11" s="824"/>
      <c r="V11" s="824"/>
      <c r="W11" s="824"/>
      <c r="X11" s="824"/>
      <c r="Y11" s="824"/>
      <c r="Z11" s="824"/>
      <c r="AA11" s="824"/>
      <c r="AB11" s="824"/>
      <c r="AC11" s="824"/>
      <c r="AD11" s="824"/>
      <c r="AE11" s="824"/>
      <c r="AF11" s="824"/>
      <c r="AG11" s="828">
        <v>3.4</v>
      </c>
      <c r="AH11" s="828">
        <v>0</v>
      </c>
      <c r="AI11" s="828">
        <v>0</v>
      </c>
      <c r="AJ11" s="828">
        <v>0</v>
      </c>
      <c r="AK11" s="828">
        <v>0</v>
      </c>
      <c r="AL11" s="828">
        <v>0</v>
      </c>
      <c r="AM11" s="828">
        <v>0</v>
      </c>
      <c r="AN11" s="828">
        <v>0</v>
      </c>
      <c r="AO11" s="828">
        <v>0</v>
      </c>
      <c r="AP11" s="828">
        <v>0</v>
      </c>
      <c r="AQ11" s="828">
        <v>0</v>
      </c>
      <c r="AR11" s="828">
        <v>0</v>
      </c>
      <c r="AS11" s="828">
        <v>0</v>
      </c>
      <c r="AT11" s="828">
        <v>0</v>
      </c>
      <c r="AU11" s="828">
        <v>0</v>
      </c>
      <c r="AV11" s="828">
        <v>0</v>
      </c>
      <c r="AW11" s="828">
        <v>0</v>
      </c>
      <c r="AX11" s="828">
        <v>0</v>
      </c>
      <c r="AY11" s="828">
        <v>0</v>
      </c>
      <c r="AZ11" s="828">
        <v>0</v>
      </c>
      <c r="BA11" s="828">
        <v>0</v>
      </c>
      <c r="BB11" s="828">
        <v>0</v>
      </c>
      <c r="BC11" s="828">
        <v>0</v>
      </c>
      <c r="BD11" s="828">
        <v>0</v>
      </c>
      <c r="BE11" s="828">
        <v>0</v>
      </c>
      <c r="BF11" s="828">
        <v>0</v>
      </c>
      <c r="BG11" s="828">
        <v>0</v>
      </c>
      <c r="BH11" s="828">
        <v>0</v>
      </c>
      <c r="BI11" s="828">
        <v>0</v>
      </c>
      <c r="BJ11" s="828">
        <v>0</v>
      </c>
    </row>
    <row r="12" spans="1:62" ht="127.5">
      <c r="A12" s="823" t="s">
        <v>1723</v>
      </c>
      <c r="B12" s="823" t="s">
        <v>1724</v>
      </c>
      <c r="C12" s="824" t="s">
        <v>1725</v>
      </c>
      <c r="D12" s="824"/>
      <c r="E12" s="824" t="s">
        <v>1726</v>
      </c>
      <c r="F12" s="824" t="s">
        <v>1727</v>
      </c>
      <c r="G12" s="824" t="s">
        <v>1728</v>
      </c>
      <c r="H12" s="824" t="s">
        <v>1729</v>
      </c>
      <c r="I12" s="824" t="s">
        <v>1730</v>
      </c>
      <c r="J12" s="824" t="s">
        <v>1731</v>
      </c>
      <c r="K12" s="824" t="s">
        <v>1732</v>
      </c>
      <c r="L12" s="824"/>
      <c r="M12" s="824"/>
      <c r="N12" s="824"/>
      <c r="O12" s="824"/>
      <c r="P12" s="824"/>
      <c r="Q12" s="824"/>
      <c r="R12" s="824"/>
      <c r="S12" s="824"/>
      <c r="T12" s="824"/>
      <c r="U12" s="824"/>
      <c r="V12" s="824"/>
      <c r="W12" s="824"/>
      <c r="X12" s="824"/>
      <c r="Y12" s="824"/>
      <c r="Z12" s="824"/>
      <c r="AA12" s="824"/>
      <c r="AB12" s="824"/>
      <c r="AC12" s="824"/>
      <c r="AD12" s="824"/>
      <c r="AE12" s="824"/>
      <c r="AF12" s="824"/>
      <c r="AG12" s="828">
        <v>5.3</v>
      </c>
      <c r="AH12" s="828">
        <v>0</v>
      </c>
      <c r="AI12" s="828">
        <v>1.5</v>
      </c>
      <c r="AJ12" s="828">
        <v>2.4</v>
      </c>
      <c r="AK12" s="828">
        <v>2.2999999999999998</v>
      </c>
      <c r="AL12" s="828">
        <v>3.7</v>
      </c>
      <c r="AM12" s="828">
        <v>2.4</v>
      </c>
      <c r="AN12" s="828">
        <v>7.6</v>
      </c>
      <c r="AO12" s="828">
        <v>3.3</v>
      </c>
      <c r="AP12" s="828">
        <v>0</v>
      </c>
      <c r="AQ12" s="828">
        <v>0</v>
      </c>
      <c r="AR12" s="828">
        <v>0</v>
      </c>
      <c r="AS12" s="828">
        <v>0</v>
      </c>
      <c r="AT12" s="828">
        <v>0</v>
      </c>
      <c r="AU12" s="828">
        <v>0</v>
      </c>
      <c r="AV12" s="828">
        <v>0</v>
      </c>
      <c r="AW12" s="828">
        <v>0</v>
      </c>
      <c r="AX12" s="828">
        <v>0</v>
      </c>
      <c r="AY12" s="828">
        <v>0</v>
      </c>
      <c r="AZ12" s="828">
        <v>0</v>
      </c>
      <c r="BA12" s="828">
        <v>0</v>
      </c>
      <c r="BB12" s="828">
        <v>0</v>
      </c>
      <c r="BC12" s="828">
        <v>0</v>
      </c>
      <c r="BD12" s="828">
        <v>0</v>
      </c>
      <c r="BE12" s="828">
        <v>0</v>
      </c>
      <c r="BF12" s="828">
        <v>0</v>
      </c>
      <c r="BG12" s="828">
        <v>0</v>
      </c>
      <c r="BH12" s="828">
        <v>0</v>
      </c>
      <c r="BI12" s="828">
        <v>0</v>
      </c>
      <c r="BJ12" s="828">
        <v>0</v>
      </c>
    </row>
    <row r="13" spans="1:62" ht="25.5">
      <c r="A13" s="823" t="s">
        <v>1733</v>
      </c>
      <c r="B13" s="823" t="s">
        <v>1734</v>
      </c>
      <c r="C13" s="824" t="s">
        <v>1735</v>
      </c>
      <c r="D13" s="824" t="s">
        <v>1736</v>
      </c>
      <c r="E13" s="824"/>
      <c r="F13" s="824"/>
      <c r="G13" s="824"/>
      <c r="H13" s="824"/>
      <c r="I13" s="824"/>
      <c r="J13" s="824"/>
      <c r="K13" s="824"/>
      <c r="L13" s="824"/>
      <c r="M13" s="824"/>
      <c r="N13" s="824"/>
      <c r="O13" s="824"/>
      <c r="P13" s="824"/>
      <c r="Q13" s="824"/>
      <c r="R13" s="824"/>
      <c r="S13" s="824"/>
      <c r="T13" s="824"/>
      <c r="U13" s="824"/>
      <c r="V13" s="824"/>
      <c r="W13" s="824"/>
      <c r="X13" s="824"/>
      <c r="Y13" s="824"/>
      <c r="Z13" s="824"/>
      <c r="AA13" s="824"/>
      <c r="AB13" s="824"/>
      <c r="AC13" s="824"/>
      <c r="AD13" s="824"/>
      <c r="AE13" s="824"/>
      <c r="AF13" s="824"/>
      <c r="AG13" s="828">
        <v>4.3</v>
      </c>
      <c r="AH13" s="828">
        <v>3.3</v>
      </c>
      <c r="AI13" s="828">
        <v>0</v>
      </c>
      <c r="AJ13" s="828">
        <v>0</v>
      </c>
      <c r="AK13" s="828">
        <v>0</v>
      </c>
      <c r="AL13" s="828">
        <v>0</v>
      </c>
      <c r="AM13" s="828">
        <v>0</v>
      </c>
      <c r="AN13" s="828">
        <v>0</v>
      </c>
      <c r="AO13" s="828">
        <v>0</v>
      </c>
      <c r="AP13" s="828">
        <v>0</v>
      </c>
      <c r="AQ13" s="828">
        <v>0</v>
      </c>
      <c r="AR13" s="828">
        <v>0</v>
      </c>
      <c r="AS13" s="828">
        <v>0</v>
      </c>
      <c r="AT13" s="828">
        <v>0</v>
      </c>
      <c r="AU13" s="828">
        <v>0</v>
      </c>
      <c r="AV13" s="828">
        <v>0</v>
      </c>
      <c r="AW13" s="828">
        <v>0</v>
      </c>
      <c r="AX13" s="828">
        <v>0</v>
      </c>
      <c r="AY13" s="828">
        <v>0</v>
      </c>
      <c r="AZ13" s="828">
        <v>0</v>
      </c>
      <c r="BA13" s="828">
        <v>0</v>
      </c>
      <c r="BB13" s="828">
        <v>0</v>
      </c>
      <c r="BC13" s="828">
        <v>0</v>
      </c>
      <c r="BD13" s="828">
        <v>0</v>
      </c>
      <c r="BE13" s="828">
        <v>0</v>
      </c>
      <c r="BF13" s="828">
        <v>0</v>
      </c>
      <c r="BG13" s="828">
        <v>0</v>
      </c>
      <c r="BH13" s="828">
        <v>0</v>
      </c>
      <c r="BI13" s="828">
        <v>0</v>
      </c>
      <c r="BJ13" s="828">
        <v>0</v>
      </c>
    </row>
    <row r="14" spans="1:62" ht="38.25">
      <c r="A14" s="823" t="s">
        <v>1737</v>
      </c>
      <c r="B14" s="823" t="s">
        <v>1738</v>
      </c>
      <c r="C14" s="824" t="s">
        <v>1739</v>
      </c>
      <c r="D14" s="824" t="s">
        <v>1740</v>
      </c>
      <c r="E14" s="824"/>
      <c r="F14" s="824" t="s">
        <v>1741</v>
      </c>
      <c r="G14" s="824"/>
      <c r="H14" s="824"/>
      <c r="I14" s="824"/>
      <c r="J14" s="824"/>
      <c r="K14" s="824"/>
      <c r="L14" s="824"/>
      <c r="M14" s="824"/>
      <c r="N14" s="824"/>
      <c r="O14" s="824"/>
      <c r="P14" s="824"/>
      <c r="Q14" s="824"/>
      <c r="R14" s="824"/>
      <c r="S14" s="824"/>
      <c r="T14" s="824"/>
      <c r="U14" s="824"/>
      <c r="V14" s="824"/>
      <c r="W14" s="824"/>
      <c r="X14" s="824"/>
      <c r="Y14" s="824"/>
      <c r="Z14" s="824"/>
      <c r="AA14" s="824"/>
      <c r="AB14" s="824"/>
      <c r="AC14" s="824"/>
      <c r="AD14" s="824"/>
      <c r="AE14" s="824"/>
      <c r="AF14" s="824"/>
      <c r="AG14" s="828">
        <v>5.2</v>
      </c>
      <c r="AH14" s="828">
        <v>5</v>
      </c>
      <c r="AI14" s="828">
        <v>0</v>
      </c>
      <c r="AJ14" s="828">
        <v>7.5</v>
      </c>
      <c r="AK14" s="828">
        <v>0</v>
      </c>
      <c r="AL14" s="828">
        <v>0</v>
      </c>
      <c r="AM14" s="828">
        <v>0</v>
      </c>
      <c r="AN14" s="828">
        <v>0</v>
      </c>
      <c r="AO14" s="828">
        <v>0</v>
      </c>
      <c r="AP14" s="828">
        <v>0</v>
      </c>
      <c r="AQ14" s="828">
        <v>0</v>
      </c>
      <c r="AR14" s="828">
        <v>0</v>
      </c>
      <c r="AS14" s="828">
        <v>0</v>
      </c>
      <c r="AT14" s="828">
        <v>0</v>
      </c>
      <c r="AU14" s="828">
        <v>0</v>
      </c>
      <c r="AV14" s="828">
        <v>0</v>
      </c>
      <c r="AW14" s="828">
        <v>0</v>
      </c>
      <c r="AX14" s="828">
        <v>0</v>
      </c>
      <c r="AY14" s="828">
        <v>0</v>
      </c>
      <c r="AZ14" s="828">
        <v>0</v>
      </c>
      <c r="BA14" s="828">
        <v>0</v>
      </c>
      <c r="BB14" s="828">
        <v>0</v>
      </c>
      <c r="BC14" s="828">
        <v>0</v>
      </c>
      <c r="BD14" s="828">
        <v>0</v>
      </c>
      <c r="BE14" s="828">
        <v>0</v>
      </c>
      <c r="BF14" s="828">
        <v>0</v>
      </c>
      <c r="BG14" s="828">
        <v>0</v>
      </c>
      <c r="BH14" s="828">
        <v>0</v>
      </c>
      <c r="BI14" s="828">
        <v>0</v>
      </c>
      <c r="BJ14" s="828">
        <v>0</v>
      </c>
    </row>
    <row r="15" spans="1:62" ht="25.5">
      <c r="A15" s="823" t="s">
        <v>1742</v>
      </c>
      <c r="B15" s="823" t="s">
        <v>1743</v>
      </c>
      <c r="C15" s="824" t="s">
        <v>1744</v>
      </c>
      <c r="D15" s="824" t="s">
        <v>1745</v>
      </c>
      <c r="E15" s="824" t="s">
        <v>1746</v>
      </c>
      <c r="F15" s="824" t="s">
        <v>1747</v>
      </c>
      <c r="G15" s="824" t="s">
        <v>1748</v>
      </c>
      <c r="H15" s="824" t="s">
        <v>1749</v>
      </c>
      <c r="I15" s="824" t="s">
        <v>1750</v>
      </c>
      <c r="J15" s="824" t="s">
        <v>1751</v>
      </c>
      <c r="K15" s="824" t="s">
        <v>1752</v>
      </c>
      <c r="L15" s="824" t="s">
        <v>1753</v>
      </c>
      <c r="M15" s="824"/>
      <c r="N15" s="824"/>
      <c r="O15" s="824"/>
      <c r="P15" s="824"/>
      <c r="Q15" s="824"/>
      <c r="R15" s="824"/>
      <c r="S15" s="824"/>
      <c r="T15" s="824"/>
      <c r="U15" s="824"/>
      <c r="V15" s="824"/>
      <c r="W15" s="824"/>
      <c r="X15" s="824"/>
      <c r="Y15" s="824"/>
      <c r="Z15" s="824"/>
      <c r="AA15" s="824"/>
      <c r="AB15" s="824"/>
      <c r="AC15" s="824"/>
      <c r="AD15" s="824"/>
      <c r="AE15" s="824"/>
      <c r="AF15" s="824"/>
      <c r="AG15" s="828">
        <v>4</v>
      </c>
      <c r="AH15" s="828">
        <v>3.8</v>
      </c>
      <c r="AI15" s="828">
        <v>3.6</v>
      </c>
      <c r="AJ15" s="828">
        <v>2.6</v>
      </c>
      <c r="AK15" s="828">
        <v>3</v>
      </c>
      <c r="AL15" s="828">
        <v>3.5</v>
      </c>
      <c r="AM15" s="828">
        <v>0</v>
      </c>
      <c r="AN15" s="828">
        <v>0</v>
      </c>
      <c r="AO15" s="828">
        <v>0</v>
      </c>
      <c r="AP15" s="828">
        <v>0</v>
      </c>
      <c r="AQ15" s="828">
        <v>0</v>
      </c>
      <c r="AR15" s="828">
        <v>0</v>
      </c>
      <c r="AS15" s="828">
        <v>0</v>
      </c>
      <c r="AT15" s="828">
        <v>0</v>
      </c>
      <c r="AU15" s="828">
        <v>0</v>
      </c>
      <c r="AV15" s="828">
        <v>0</v>
      </c>
      <c r="AW15" s="828">
        <v>0</v>
      </c>
      <c r="AX15" s="828">
        <v>0</v>
      </c>
      <c r="AY15" s="828">
        <v>0</v>
      </c>
      <c r="AZ15" s="828">
        <v>0</v>
      </c>
      <c r="BA15" s="828">
        <v>0</v>
      </c>
      <c r="BB15" s="828">
        <v>0</v>
      </c>
      <c r="BC15" s="828">
        <v>0</v>
      </c>
      <c r="BD15" s="828">
        <v>0</v>
      </c>
      <c r="BE15" s="828">
        <v>0</v>
      </c>
      <c r="BF15" s="828">
        <v>0</v>
      </c>
      <c r="BG15" s="828">
        <v>0</v>
      </c>
      <c r="BH15" s="828">
        <v>0</v>
      </c>
      <c r="BI15" s="828">
        <v>0</v>
      </c>
      <c r="BJ15" s="828">
        <v>0</v>
      </c>
    </row>
    <row r="16" spans="1:62" ht="38.25">
      <c r="A16" s="823" t="s">
        <v>1754</v>
      </c>
      <c r="B16" s="823" t="s">
        <v>1755</v>
      </c>
      <c r="C16" s="826" t="s">
        <v>1756</v>
      </c>
      <c r="D16" s="824"/>
      <c r="E16" s="824"/>
      <c r="F16" s="824"/>
      <c r="G16" s="824"/>
      <c r="H16" s="824"/>
      <c r="I16" s="824"/>
      <c r="J16" s="824"/>
      <c r="K16" s="824"/>
      <c r="L16" s="824"/>
      <c r="M16" s="824"/>
      <c r="N16" s="824"/>
      <c r="O16" s="824"/>
      <c r="P16" s="824"/>
      <c r="Q16" s="824"/>
      <c r="R16" s="824"/>
      <c r="S16" s="824"/>
      <c r="T16" s="824"/>
      <c r="U16" s="824"/>
      <c r="V16" s="824"/>
      <c r="W16" s="824"/>
      <c r="X16" s="824"/>
      <c r="Y16" s="824"/>
      <c r="Z16" s="824"/>
      <c r="AA16" s="824"/>
      <c r="AB16" s="824"/>
      <c r="AC16" s="824"/>
      <c r="AD16" s="824"/>
      <c r="AE16" s="824"/>
      <c r="AF16" s="824"/>
      <c r="AG16" s="828">
        <v>4.5</v>
      </c>
      <c r="AH16" s="828">
        <v>0</v>
      </c>
      <c r="AI16" s="828">
        <v>0</v>
      </c>
      <c r="AJ16" s="828">
        <v>0</v>
      </c>
      <c r="AK16" s="828">
        <v>0</v>
      </c>
      <c r="AL16" s="828">
        <v>0</v>
      </c>
      <c r="AM16" s="828">
        <v>0</v>
      </c>
      <c r="AN16" s="828">
        <v>0</v>
      </c>
      <c r="AO16" s="828">
        <v>0</v>
      </c>
      <c r="AP16" s="828">
        <v>0</v>
      </c>
      <c r="AQ16" s="828">
        <v>0</v>
      </c>
      <c r="AR16" s="828">
        <v>0</v>
      </c>
      <c r="AS16" s="828">
        <v>0</v>
      </c>
      <c r="AT16" s="828">
        <v>0</v>
      </c>
      <c r="AU16" s="828">
        <v>0</v>
      </c>
      <c r="AV16" s="828">
        <v>0</v>
      </c>
      <c r="AW16" s="828">
        <v>0</v>
      </c>
      <c r="AX16" s="828">
        <v>0</v>
      </c>
      <c r="AY16" s="828">
        <v>0</v>
      </c>
      <c r="AZ16" s="828">
        <v>0</v>
      </c>
      <c r="BA16" s="828">
        <v>0</v>
      </c>
      <c r="BB16" s="828">
        <v>0</v>
      </c>
      <c r="BC16" s="828">
        <v>0</v>
      </c>
      <c r="BD16" s="828">
        <v>0</v>
      </c>
      <c r="BE16" s="828">
        <v>0</v>
      </c>
      <c r="BF16" s="828">
        <v>0</v>
      </c>
      <c r="BG16" s="828">
        <v>0</v>
      </c>
      <c r="BH16" s="828">
        <v>0</v>
      </c>
      <c r="BI16" s="828">
        <v>0</v>
      </c>
      <c r="BJ16" s="828">
        <v>0</v>
      </c>
    </row>
    <row r="17" spans="1:62" ht="38.25">
      <c r="A17" s="823" t="s">
        <v>1754</v>
      </c>
      <c r="B17" s="823" t="s">
        <v>1757</v>
      </c>
      <c r="C17" s="826" t="s">
        <v>1758</v>
      </c>
      <c r="D17" s="824"/>
      <c r="E17" s="824"/>
      <c r="F17" s="824"/>
      <c r="G17" s="824"/>
      <c r="H17" s="824"/>
      <c r="I17" s="824"/>
      <c r="J17" s="824"/>
      <c r="K17" s="824"/>
      <c r="L17" s="824"/>
      <c r="M17" s="824"/>
      <c r="N17" s="824"/>
      <c r="O17" s="824"/>
      <c r="P17" s="824"/>
      <c r="Q17" s="824"/>
      <c r="R17" s="824"/>
      <c r="S17" s="824"/>
      <c r="T17" s="824"/>
      <c r="U17" s="824"/>
      <c r="V17" s="824"/>
      <c r="W17" s="824"/>
      <c r="X17" s="824"/>
      <c r="Y17" s="824"/>
      <c r="Z17" s="824"/>
      <c r="AA17" s="824"/>
      <c r="AB17" s="824"/>
      <c r="AC17" s="824"/>
      <c r="AD17" s="824"/>
      <c r="AE17" s="824"/>
      <c r="AF17" s="824"/>
      <c r="AG17" s="828">
        <v>4.5</v>
      </c>
      <c r="AH17" s="828">
        <v>0</v>
      </c>
      <c r="AI17" s="828">
        <v>0</v>
      </c>
      <c r="AJ17" s="828">
        <v>0</v>
      </c>
      <c r="AK17" s="828">
        <v>0</v>
      </c>
      <c r="AL17" s="828">
        <v>0</v>
      </c>
      <c r="AM17" s="828">
        <v>0</v>
      </c>
      <c r="AN17" s="828">
        <v>0</v>
      </c>
      <c r="AO17" s="828">
        <v>0</v>
      </c>
      <c r="AP17" s="828">
        <v>0</v>
      </c>
      <c r="AQ17" s="828">
        <v>0</v>
      </c>
      <c r="AR17" s="828">
        <v>0</v>
      </c>
      <c r="AS17" s="828">
        <v>0</v>
      </c>
      <c r="AT17" s="828">
        <v>0</v>
      </c>
      <c r="AU17" s="828">
        <v>0</v>
      </c>
      <c r="AV17" s="828">
        <v>0</v>
      </c>
      <c r="AW17" s="828">
        <v>0</v>
      </c>
      <c r="AX17" s="828">
        <v>0</v>
      </c>
      <c r="AY17" s="828">
        <v>0</v>
      </c>
      <c r="AZ17" s="828">
        <v>0</v>
      </c>
      <c r="BA17" s="828">
        <v>0</v>
      </c>
      <c r="BB17" s="828">
        <v>0</v>
      </c>
      <c r="BC17" s="828">
        <v>0</v>
      </c>
      <c r="BD17" s="828">
        <v>0</v>
      </c>
      <c r="BE17" s="828">
        <v>0</v>
      </c>
      <c r="BF17" s="828">
        <v>0</v>
      </c>
      <c r="BG17" s="828">
        <v>0</v>
      </c>
      <c r="BH17" s="828">
        <v>0</v>
      </c>
      <c r="BI17" s="828">
        <v>0</v>
      </c>
      <c r="BJ17" s="828">
        <v>0</v>
      </c>
    </row>
    <row r="18" spans="1:62" ht="38.25">
      <c r="A18" s="823" t="s">
        <v>1759</v>
      </c>
      <c r="B18" s="823" t="s">
        <v>1760</v>
      </c>
      <c r="C18" s="824"/>
      <c r="D18" s="826" t="s">
        <v>1761</v>
      </c>
      <c r="E18" s="824"/>
      <c r="F18" s="824"/>
      <c r="G18" s="824"/>
      <c r="H18" s="824"/>
      <c r="I18" s="824"/>
      <c r="J18" s="824"/>
      <c r="K18" s="824"/>
      <c r="L18" s="824"/>
      <c r="M18" s="824"/>
      <c r="N18" s="824"/>
      <c r="O18" s="824"/>
      <c r="P18" s="824"/>
      <c r="Q18" s="824"/>
      <c r="R18" s="824"/>
      <c r="S18" s="824"/>
      <c r="T18" s="824"/>
      <c r="U18" s="824"/>
      <c r="V18" s="824"/>
      <c r="W18" s="824"/>
      <c r="X18" s="824"/>
      <c r="Y18" s="824"/>
      <c r="Z18" s="824"/>
      <c r="AA18" s="824"/>
      <c r="AB18" s="824"/>
      <c r="AC18" s="824"/>
      <c r="AD18" s="824"/>
      <c r="AE18" s="824"/>
      <c r="AF18" s="824"/>
      <c r="AG18" s="828">
        <v>0</v>
      </c>
      <c r="AH18" s="828">
        <v>2.9</v>
      </c>
      <c r="AI18" s="828">
        <v>0</v>
      </c>
      <c r="AJ18" s="828">
        <v>0</v>
      </c>
      <c r="AK18" s="828">
        <v>0</v>
      </c>
      <c r="AL18" s="828">
        <v>0</v>
      </c>
      <c r="AM18" s="828">
        <v>0</v>
      </c>
      <c r="AN18" s="828">
        <v>0</v>
      </c>
      <c r="AO18" s="828">
        <v>0</v>
      </c>
      <c r="AP18" s="828">
        <v>0</v>
      </c>
      <c r="AQ18" s="828">
        <v>0</v>
      </c>
      <c r="AR18" s="828">
        <v>0</v>
      </c>
      <c r="AS18" s="828">
        <v>0</v>
      </c>
      <c r="AT18" s="828">
        <v>0</v>
      </c>
      <c r="AU18" s="828">
        <v>0</v>
      </c>
      <c r="AV18" s="828">
        <v>0</v>
      </c>
      <c r="AW18" s="828">
        <v>0</v>
      </c>
      <c r="AX18" s="828">
        <v>0</v>
      </c>
      <c r="AY18" s="828">
        <v>0</v>
      </c>
      <c r="AZ18" s="828">
        <v>0</v>
      </c>
      <c r="BA18" s="828">
        <v>0</v>
      </c>
      <c r="BB18" s="828">
        <v>0</v>
      </c>
      <c r="BC18" s="828">
        <v>0</v>
      </c>
      <c r="BD18" s="828">
        <v>0</v>
      </c>
      <c r="BE18" s="828">
        <v>0</v>
      </c>
      <c r="BF18" s="828">
        <v>0</v>
      </c>
      <c r="BG18" s="828">
        <v>0</v>
      </c>
      <c r="BH18" s="828">
        <v>0</v>
      </c>
      <c r="BI18" s="828">
        <v>0</v>
      </c>
      <c r="BJ18" s="828">
        <v>0</v>
      </c>
    </row>
    <row r="19" spans="1:62" ht="51">
      <c r="A19" s="823" t="s">
        <v>1762</v>
      </c>
      <c r="B19" s="823" t="s">
        <v>1763</v>
      </c>
      <c r="C19" s="824" t="s">
        <v>1764</v>
      </c>
      <c r="D19" s="826" t="s">
        <v>1765</v>
      </c>
      <c r="E19" s="826" t="s">
        <v>1766</v>
      </c>
      <c r="F19" s="824" t="s">
        <v>1767</v>
      </c>
      <c r="G19" s="824"/>
      <c r="H19" s="824" t="s">
        <v>1768</v>
      </c>
      <c r="I19" s="824" t="s">
        <v>1769</v>
      </c>
      <c r="J19" s="824"/>
      <c r="K19" s="824"/>
      <c r="L19" s="824"/>
      <c r="M19" s="824"/>
      <c r="N19" s="824"/>
      <c r="O19" s="824"/>
      <c r="P19" s="824"/>
      <c r="Q19" s="824"/>
      <c r="R19" s="824"/>
      <c r="S19" s="824"/>
      <c r="T19" s="824"/>
      <c r="U19" s="824"/>
      <c r="V19" s="824"/>
      <c r="W19" s="824"/>
      <c r="X19" s="824"/>
      <c r="Y19" s="824"/>
      <c r="Z19" s="824"/>
      <c r="AA19" s="824"/>
      <c r="AB19" s="824"/>
      <c r="AC19" s="824"/>
      <c r="AD19" s="824"/>
      <c r="AE19" s="824"/>
      <c r="AF19" s="824"/>
      <c r="AG19" s="828">
        <v>3.6</v>
      </c>
      <c r="AH19" s="828">
        <v>5.2</v>
      </c>
      <c r="AI19" s="828">
        <v>4.5</v>
      </c>
      <c r="AJ19" s="828">
        <v>5</v>
      </c>
      <c r="AK19" s="828">
        <v>0</v>
      </c>
      <c r="AL19" s="828">
        <v>2</v>
      </c>
      <c r="AM19" s="828">
        <v>3.6</v>
      </c>
      <c r="AN19" s="828">
        <v>0</v>
      </c>
      <c r="AO19" s="828">
        <v>0</v>
      </c>
      <c r="AP19" s="828">
        <v>0</v>
      </c>
      <c r="AQ19" s="828">
        <v>0</v>
      </c>
      <c r="AR19" s="828">
        <v>0</v>
      </c>
      <c r="AS19" s="828">
        <v>0</v>
      </c>
      <c r="AT19" s="828">
        <v>0</v>
      </c>
      <c r="AU19" s="828">
        <v>0</v>
      </c>
      <c r="AV19" s="828">
        <v>0</v>
      </c>
      <c r="AW19" s="828">
        <v>0</v>
      </c>
      <c r="AX19" s="828">
        <v>0</v>
      </c>
      <c r="AY19" s="828">
        <v>0</v>
      </c>
      <c r="AZ19" s="828">
        <v>0</v>
      </c>
      <c r="BA19" s="828">
        <v>0</v>
      </c>
      <c r="BB19" s="828">
        <v>0</v>
      </c>
      <c r="BC19" s="828">
        <v>0</v>
      </c>
      <c r="BD19" s="828">
        <v>0</v>
      </c>
      <c r="BE19" s="828">
        <v>0</v>
      </c>
      <c r="BF19" s="828">
        <v>0</v>
      </c>
      <c r="BG19" s="828">
        <v>0</v>
      </c>
      <c r="BH19" s="828">
        <v>0</v>
      </c>
      <c r="BI19" s="828">
        <v>0</v>
      </c>
      <c r="BJ19" s="828">
        <v>0</v>
      </c>
    </row>
    <row r="20" spans="1:62" ht="25.5">
      <c r="A20" s="823" t="s">
        <v>1770</v>
      </c>
      <c r="B20" s="823" t="s">
        <v>1771</v>
      </c>
      <c r="C20" s="824" t="s">
        <v>1772</v>
      </c>
      <c r="D20" s="824"/>
      <c r="E20" s="824"/>
      <c r="F20" s="824"/>
      <c r="G20" s="824"/>
      <c r="H20" s="824"/>
      <c r="I20" s="824"/>
      <c r="J20" s="824"/>
      <c r="K20" s="824"/>
      <c r="L20" s="824"/>
      <c r="M20" s="824"/>
      <c r="N20" s="824"/>
      <c r="O20" s="824"/>
      <c r="P20" s="824"/>
      <c r="Q20" s="824"/>
      <c r="R20" s="824"/>
      <c r="S20" s="824"/>
      <c r="T20" s="824"/>
      <c r="U20" s="824"/>
      <c r="V20" s="824"/>
      <c r="W20" s="824"/>
      <c r="X20" s="824"/>
      <c r="Y20" s="824"/>
      <c r="Z20" s="824"/>
      <c r="AA20" s="824"/>
      <c r="AB20" s="824"/>
      <c r="AC20" s="824"/>
      <c r="AD20" s="824"/>
      <c r="AE20" s="824"/>
      <c r="AF20" s="824"/>
      <c r="AG20" s="828">
        <v>5.4</v>
      </c>
      <c r="AH20" s="828">
        <v>0</v>
      </c>
      <c r="AI20" s="828">
        <v>0</v>
      </c>
      <c r="AJ20" s="828">
        <v>0</v>
      </c>
      <c r="AK20" s="828">
        <v>0</v>
      </c>
      <c r="AL20" s="828">
        <v>0</v>
      </c>
      <c r="AM20" s="828">
        <v>0</v>
      </c>
      <c r="AN20" s="828">
        <v>0</v>
      </c>
      <c r="AO20" s="828">
        <v>0</v>
      </c>
      <c r="AP20" s="828">
        <v>0</v>
      </c>
      <c r="AQ20" s="828">
        <v>0</v>
      </c>
      <c r="AR20" s="828">
        <v>0</v>
      </c>
      <c r="AS20" s="828">
        <v>0</v>
      </c>
      <c r="AT20" s="828">
        <v>0</v>
      </c>
      <c r="AU20" s="828">
        <v>0</v>
      </c>
      <c r="AV20" s="828">
        <v>0</v>
      </c>
      <c r="AW20" s="828">
        <v>0</v>
      </c>
      <c r="AX20" s="828">
        <v>0</v>
      </c>
      <c r="AY20" s="828">
        <v>0</v>
      </c>
      <c r="AZ20" s="828">
        <v>0</v>
      </c>
      <c r="BA20" s="828">
        <v>0</v>
      </c>
      <c r="BB20" s="828">
        <v>0</v>
      </c>
      <c r="BC20" s="828">
        <v>0</v>
      </c>
      <c r="BD20" s="828">
        <v>0</v>
      </c>
      <c r="BE20" s="828">
        <v>0</v>
      </c>
      <c r="BF20" s="828">
        <v>0</v>
      </c>
      <c r="BG20" s="828">
        <v>0</v>
      </c>
      <c r="BH20" s="828">
        <v>0</v>
      </c>
      <c r="BI20" s="828">
        <v>0</v>
      </c>
      <c r="BJ20" s="828">
        <v>0</v>
      </c>
    </row>
    <row r="21" spans="1:62" ht="51">
      <c r="A21" s="823" t="s">
        <v>1773</v>
      </c>
      <c r="B21" s="823" t="s">
        <v>1774</v>
      </c>
      <c r="C21" s="826" t="s">
        <v>1775</v>
      </c>
      <c r="D21" s="824" t="s">
        <v>1776</v>
      </c>
      <c r="E21" s="824"/>
      <c r="F21" s="824"/>
      <c r="G21" s="824"/>
      <c r="H21" s="824"/>
      <c r="I21" s="824"/>
      <c r="J21" s="824"/>
      <c r="K21" s="824"/>
      <c r="L21" s="824"/>
      <c r="M21" s="824"/>
      <c r="N21" s="824"/>
      <c r="O21" s="824"/>
      <c r="P21" s="824"/>
      <c r="Q21" s="824"/>
      <c r="R21" s="824"/>
      <c r="S21" s="824"/>
      <c r="T21" s="824"/>
      <c r="U21" s="824"/>
      <c r="V21" s="824"/>
      <c r="W21" s="824"/>
      <c r="X21" s="824"/>
      <c r="Y21" s="824"/>
      <c r="Z21" s="824"/>
      <c r="AA21" s="824"/>
      <c r="AB21" s="824"/>
      <c r="AC21" s="824"/>
      <c r="AD21" s="824"/>
      <c r="AE21" s="824"/>
      <c r="AF21" s="824"/>
      <c r="AG21" s="828">
        <v>3.2</v>
      </c>
      <c r="AH21" s="828">
        <v>2.5</v>
      </c>
      <c r="AI21" s="828">
        <v>0</v>
      </c>
      <c r="AJ21" s="828">
        <v>0</v>
      </c>
      <c r="AK21" s="828">
        <v>0</v>
      </c>
      <c r="AL21" s="828">
        <v>0</v>
      </c>
      <c r="AM21" s="828">
        <v>0</v>
      </c>
      <c r="AN21" s="828">
        <v>0</v>
      </c>
      <c r="AO21" s="828">
        <v>0</v>
      </c>
      <c r="AP21" s="828">
        <v>0</v>
      </c>
      <c r="AQ21" s="828">
        <v>0</v>
      </c>
      <c r="AR21" s="828">
        <v>0</v>
      </c>
      <c r="AS21" s="828">
        <v>0</v>
      </c>
      <c r="AT21" s="828">
        <v>0</v>
      </c>
      <c r="AU21" s="828">
        <v>0</v>
      </c>
      <c r="AV21" s="828">
        <v>0</v>
      </c>
      <c r="AW21" s="828">
        <v>0</v>
      </c>
      <c r="AX21" s="828">
        <v>0</v>
      </c>
      <c r="AY21" s="828">
        <v>0</v>
      </c>
      <c r="AZ21" s="828">
        <v>0</v>
      </c>
      <c r="BA21" s="828">
        <v>0</v>
      </c>
      <c r="BB21" s="828">
        <v>0</v>
      </c>
      <c r="BC21" s="828">
        <v>0</v>
      </c>
      <c r="BD21" s="828">
        <v>0</v>
      </c>
      <c r="BE21" s="828">
        <v>0</v>
      </c>
      <c r="BF21" s="828">
        <v>0</v>
      </c>
      <c r="BG21" s="828">
        <v>0</v>
      </c>
      <c r="BH21" s="828">
        <v>0</v>
      </c>
      <c r="BI21" s="828">
        <v>0</v>
      </c>
      <c r="BJ21" s="828">
        <v>0</v>
      </c>
    </row>
    <row r="22" spans="1:62" ht="63.75">
      <c r="A22" s="823" t="s">
        <v>1777</v>
      </c>
      <c r="B22" s="823" t="s">
        <v>1778</v>
      </c>
      <c r="C22" s="824" t="s">
        <v>1779</v>
      </c>
      <c r="D22" s="826" t="s">
        <v>1780</v>
      </c>
      <c r="E22" s="824" t="s">
        <v>1781</v>
      </c>
      <c r="F22" s="826" t="s">
        <v>1782</v>
      </c>
      <c r="G22" s="824"/>
      <c r="H22" s="824"/>
      <c r="I22" s="824"/>
      <c r="J22" s="824"/>
      <c r="K22" s="824"/>
      <c r="L22" s="824"/>
      <c r="M22" s="824"/>
      <c r="N22" s="824"/>
      <c r="O22" s="824"/>
      <c r="P22" s="824"/>
      <c r="Q22" s="824"/>
      <c r="R22" s="824"/>
      <c r="S22" s="824"/>
      <c r="T22" s="824"/>
      <c r="U22" s="824"/>
      <c r="V22" s="824"/>
      <c r="W22" s="824"/>
      <c r="X22" s="824"/>
      <c r="Y22" s="824"/>
      <c r="Z22" s="824"/>
      <c r="AA22" s="824"/>
      <c r="AB22" s="824"/>
      <c r="AC22" s="824"/>
      <c r="AD22" s="824"/>
      <c r="AE22" s="824"/>
      <c r="AF22" s="824"/>
      <c r="AG22" s="828">
        <v>5.4</v>
      </c>
      <c r="AH22" s="828">
        <v>6.5</v>
      </c>
      <c r="AI22" s="828">
        <v>11.5</v>
      </c>
      <c r="AJ22" s="828">
        <v>5.3</v>
      </c>
      <c r="AK22" s="828">
        <v>0</v>
      </c>
      <c r="AL22" s="828">
        <v>0</v>
      </c>
      <c r="AM22" s="828">
        <v>0</v>
      </c>
      <c r="AN22" s="828">
        <v>0</v>
      </c>
      <c r="AO22" s="828">
        <v>0</v>
      </c>
      <c r="AP22" s="828">
        <v>0</v>
      </c>
      <c r="AQ22" s="828">
        <v>0</v>
      </c>
      <c r="AR22" s="828">
        <v>0</v>
      </c>
      <c r="AS22" s="828">
        <v>0</v>
      </c>
      <c r="AT22" s="828">
        <v>0</v>
      </c>
      <c r="AU22" s="828">
        <v>0</v>
      </c>
      <c r="AV22" s="828">
        <v>0</v>
      </c>
      <c r="AW22" s="828">
        <v>0</v>
      </c>
      <c r="AX22" s="828">
        <v>0</v>
      </c>
      <c r="AY22" s="828">
        <v>0</v>
      </c>
      <c r="AZ22" s="828">
        <v>0</v>
      </c>
      <c r="BA22" s="828">
        <v>0</v>
      </c>
      <c r="BB22" s="828">
        <v>0</v>
      </c>
      <c r="BC22" s="828">
        <v>0</v>
      </c>
      <c r="BD22" s="828">
        <v>0</v>
      </c>
      <c r="BE22" s="828">
        <v>0</v>
      </c>
      <c r="BF22" s="828">
        <v>0</v>
      </c>
      <c r="BG22" s="828">
        <v>0</v>
      </c>
      <c r="BH22" s="828">
        <v>0</v>
      </c>
      <c r="BI22" s="828">
        <v>0</v>
      </c>
      <c r="BJ22" s="828">
        <v>0</v>
      </c>
    </row>
    <row r="23" spans="1:62" ht="38.25">
      <c r="A23" s="823" t="s">
        <v>1783</v>
      </c>
      <c r="B23" s="823" t="s">
        <v>1784</v>
      </c>
      <c r="C23" s="826" t="s">
        <v>1785</v>
      </c>
      <c r="D23" s="824" t="s">
        <v>1786</v>
      </c>
      <c r="E23" s="826"/>
      <c r="F23" s="824"/>
      <c r="G23" s="824"/>
      <c r="H23" s="824"/>
      <c r="I23" s="824"/>
      <c r="J23" s="824"/>
      <c r="K23" s="824"/>
      <c r="L23" s="824"/>
      <c r="M23" s="824"/>
      <c r="N23" s="824"/>
      <c r="O23" s="824"/>
      <c r="P23" s="824"/>
      <c r="Q23" s="824"/>
      <c r="R23" s="824"/>
      <c r="S23" s="824"/>
      <c r="T23" s="824"/>
      <c r="U23" s="824"/>
      <c r="V23" s="824"/>
      <c r="W23" s="824"/>
      <c r="X23" s="824"/>
      <c r="Y23" s="824"/>
      <c r="Z23" s="824"/>
      <c r="AA23" s="824"/>
      <c r="AB23" s="824"/>
      <c r="AC23" s="824"/>
      <c r="AD23" s="824"/>
      <c r="AE23" s="824"/>
      <c r="AF23" s="824"/>
      <c r="AG23" s="828">
        <v>3.3</v>
      </c>
      <c r="AH23" s="828">
        <v>3.1</v>
      </c>
      <c r="AI23" s="828">
        <v>0</v>
      </c>
      <c r="AJ23" s="828">
        <v>0</v>
      </c>
      <c r="AK23" s="828">
        <v>0</v>
      </c>
      <c r="AL23" s="828">
        <v>0</v>
      </c>
      <c r="AM23" s="828">
        <v>0</v>
      </c>
      <c r="AN23" s="828">
        <v>0</v>
      </c>
      <c r="AO23" s="828">
        <v>0</v>
      </c>
      <c r="AP23" s="828">
        <v>0</v>
      </c>
      <c r="AQ23" s="828">
        <v>0</v>
      </c>
      <c r="AR23" s="828">
        <v>0</v>
      </c>
      <c r="AS23" s="828">
        <v>0</v>
      </c>
      <c r="AT23" s="828">
        <v>0</v>
      </c>
      <c r="AU23" s="828">
        <v>0</v>
      </c>
      <c r="AV23" s="828">
        <v>0</v>
      </c>
      <c r="AW23" s="828">
        <v>0</v>
      </c>
      <c r="AX23" s="828">
        <v>0</v>
      </c>
      <c r="AY23" s="828">
        <v>0</v>
      </c>
      <c r="AZ23" s="828">
        <v>0</v>
      </c>
      <c r="BA23" s="828">
        <v>0</v>
      </c>
      <c r="BB23" s="828">
        <v>0</v>
      </c>
      <c r="BC23" s="828">
        <v>0</v>
      </c>
      <c r="BD23" s="828">
        <v>0</v>
      </c>
      <c r="BE23" s="828">
        <v>0</v>
      </c>
      <c r="BF23" s="828">
        <v>0</v>
      </c>
      <c r="BG23" s="828">
        <v>0</v>
      </c>
      <c r="BH23" s="828">
        <v>0</v>
      </c>
      <c r="BI23" s="828">
        <v>0</v>
      </c>
      <c r="BJ23" s="828">
        <v>0</v>
      </c>
    </row>
    <row r="24" spans="1:62" ht="25.5">
      <c r="A24" s="823" t="s">
        <v>1787</v>
      </c>
      <c r="B24" s="823" t="s">
        <v>1788</v>
      </c>
      <c r="C24" s="824" t="s">
        <v>1789</v>
      </c>
      <c r="D24" s="824"/>
      <c r="E24" s="824"/>
      <c r="F24" s="824"/>
      <c r="G24" s="824"/>
      <c r="H24" s="824"/>
      <c r="I24" s="824"/>
      <c r="J24" s="824"/>
      <c r="K24" s="824"/>
      <c r="L24" s="824"/>
      <c r="M24" s="824"/>
      <c r="N24" s="824"/>
      <c r="O24" s="824"/>
      <c r="P24" s="824"/>
      <c r="Q24" s="824"/>
      <c r="R24" s="824"/>
      <c r="S24" s="824"/>
      <c r="T24" s="824"/>
      <c r="U24" s="824"/>
      <c r="V24" s="824"/>
      <c r="W24" s="824"/>
      <c r="X24" s="824"/>
      <c r="Y24" s="824"/>
      <c r="Z24" s="824"/>
      <c r="AA24" s="824"/>
      <c r="AB24" s="824"/>
      <c r="AC24" s="824"/>
      <c r="AD24" s="824"/>
      <c r="AE24" s="824"/>
      <c r="AF24" s="824"/>
      <c r="AG24" s="828">
        <v>2.7</v>
      </c>
      <c r="AH24" s="828">
        <v>0</v>
      </c>
      <c r="AI24" s="828">
        <v>0</v>
      </c>
      <c r="AJ24" s="828">
        <v>0</v>
      </c>
      <c r="AK24" s="828">
        <v>0</v>
      </c>
      <c r="AL24" s="828">
        <v>0</v>
      </c>
      <c r="AM24" s="828">
        <v>0</v>
      </c>
      <c r="AN24" s="828">
        <v>0</v>
      </c>
      <c r="AO24" s="828">
        <v>0</v>
      </c>
      <c r="AP24" s="828">
        <v>0</v>
      </c>
      <c r="AQ24" s="828">
        <v>0</v>
      </c>
      <c r="AR24" s="828">
        <v>0</v>
      </c>
      <c r="AS24" s="828">
        <v>0</v>
      </c>
      <c r="AT24" s="828">
        <v>0</v>
      </c>
      <c r="AU24" s="828">
        <v>0</v>
      </c>
      <c r="AV24" s="828">
        <v>0</v>
      </c>
      <c r="AW24" s="828">
        <v>0</v>
      </c>
      <c r="AX24" s="828">
        <v>0</v>
      </c>
      <c r="AY24" s="828">
        <v>0</v>
      </c>
      <c r="AZ24" s="828">
        <v>0</v>
      </c>
      <c r="BA24" s="828">
        <v>0</v>
      </c>
      <c r="BB24" s="828">
        <v>0</v>
      </c>
      <c r="BC24" s="828">
        <v>0</v>
      </c>
      <c r="BD24" s="828">
        <v>0</v>
      </c>
      <c r="BE24" s="828">
        <v>0</v>
      </c>
      <c r="BF24" s="828">
        <v>0</v>
      </c>
      <c r="BG24" s="828">
        <v>0</v>
      </c>
      <c r="BH24" s="828">
        <v>0</v>
      </c>
      <c r="BI24" s="828">
        <v>0</v>
      </c>
      <c r="BJ24" s="828">
        <v>0</v>
      </c>
    </row>
    <row r="25" spans="1:62" ht="51">
      <c r="A25" s="823" t="s">
        <v>1790</v>
      </c>
      <c r="B25" s="823" t="s">
        <v>1791</v>
      </c>
      <c r="C25" s="826" t="s">
        <v>1792</v>
      </c>
      <c r="D25" s="826" t="s">
        <v>1793</v>
      </c>
      <c r="E25" s="824" t="s">
        <v>1794</v>
      </c>
      <c r="F25" s="824"/>
      <c r="G25" s="826" t="s">
        <v>1795</v>
      </c>
      <c r="H25" s="824" t="s">
        <v>1796</v>
      </c>
      <c r="I25" s="824" t="s">
        <v>1797</v>
      </c>
      <c r="J25" s="824"/>
      <c r="K25" s="824"/>
      <c r="L25" s="824"/>
      <c r="M25" s="824"/>
      <c r="N25" s="824"/>
      <c r="O25" s="824"/>
      <c r="P25" s="824"/>
      <c r="Q25" s="824"/>
      <c r="R25" s="824"/>
      <c r="S25" s="824"/>
      <c r="T25" s="824"/>
      <c r="U25" s="824"/>
      <c r="V25" s="824"/>
      <c r="W25" s="824"/>
      <c r="X25" s="824"/>
      <c r="Y25" s="824"/>
      <c r="Z25" s="824"/>
      <c r="AA25" s="824"/>
      <c r="AB25" s="824"/>
      <c r="AC25" s="824"/>
      <c r="AD25" s="824"/>
      <c r="AE25" s="824"/>
      <c r="AF25" s="824"/>
      <c r="AG25" s="828">
        <v>5.2</v>
      </c>
      <c r="AH25" s="828">
        <v>1.7</v>
      </c>
      <c r="AI25" s="828">
        <v>1</v>
      </c>
      <c r="AJ25" s="828">
        <v>0</v>
      </c>
      <c r="AK25" s="828">
        <v>3.1</v>
      </c>
      <c r="AL25" s="828">
        <v>3</v>
      </c>
      <c r="AM25" s="828">
        <v>0</v>
      </c>
      <c r="AN25" s="828">
        <v>0</v>
      </c>
      <c r="AO25" s="828">
        <v>0</v>
      </c>
      <c r="AP25" s="828">
        <v>0</v>
      </c>
      <c r="AQ25" s="828">
        <v>0</v>
      </c>
      <c r="AR25" s="828">
        <v>0</v>
      </c>
      <c r="AS25" s="828">
        <v>0</v>
      </c>
      <c r="AT25" s="828">
        <v>0</v>
      </c>
      <c r="AU25" s="828">
        <v>0</v>
      </c>
      <c r="AV25" s="828">
        <v>0</v>
      </c>
      <c r="AW25" s="828">
        <v>0</v>
      </c>
      <c r="AX25" s="828">
        <v>0</v>
      </c>
      <c r="AY25" s="828">
        <v>0</v>
      </c>
      <c r="AZ25" s="828">
        <v>0</v>
      </c>
      <c r="BA25" s="828">
        <v>0</v>
      </c>
      <c r="BB25" s="828">
        <v>0</v>
      </c>
      <c r="BC25" s="828">
        <v>0</v>
      </c>
      <c r="BD25" s="828">
        <v>0</v>
      </c>
      <c r="BE25" s="828">
        <v>0</v>
      </c>
      <c r="BF25" s="828">
        <v>0</v>
      </c>
      <c r="BG25" s="828">
        <v>0</v>
      </c>
      <c r="BH25" s="828">
        <v>0</v>
      </c>
      <c r="BI25" s="828">
        <v>0</v>
      </c>
      <c r="BJ25" s="828">
        <v>0</v>
      </c>
    </row>
    <row r="26" spans="1:62" ht="25.5">
      <c r="A26" s="823" t="s">
        <v>1790</v>
      </c>
      <c r="B26" s="823" t="s">
        <v>1798</v>
      </c>
      <c r="C26" s="826" t="s">
        <v>1799</v>
      </c>
      <c r="D26" s="824"/>
      <c r="E26" s="824"/>
      <c r="F26" s="824"/>
      <c r="G26" s="824"/>
      <c r="H26" s="824"/>
      <c r="I26" s="824"/>
      <c r="J26" s="824"/>
      <c r="K26" s="824"/>
      <c r="L26" s="824"/>
      <c r="M26" s="824"/>
      <c r="N26" s="824"/>
      <c r="O26" s="824"/>
      <c r="P26" s="824"/>
      <c r="Q26" s="824"/>
      <c r="R26" s="824"/>
      <c r="S26" s="824"/>
      <c r="T26" s="824"/>
      <c r="U26" s="824"/>
      <c r="V26" s="824"/>
      <c r="W26" s="824"/>
      <c r="X26" s="824"/>
      <c r="Y26" s="824"/>
      <c r="Z26" s="824"/>
      <c r="AA26" s="824"/>
      <c r="AB26" s="824"/>
      <c r="AC26" s="824"/>
      <c r="AD26" s="824"/>
      <c r="AE26" s="824"/>
      <c r="AF26" s="824"/>
      <c r="AG26" s="828">
        <v>4</v>
      </c>
      <c r="AH26" s="828">
        <v>0</v>
      </c>
      <c r="AI26" s="828">
        <v>0</v>
      </c>
      <c r="AJ26" s="828">
        <v>0</v>
      </c>
      <c r="AK26" s="828">
        <v>0</v>
      </c>
      <c r="AL26" s="828">
        <v>0</v>
      </c>
      <c r="AM26" s="828">
        <v>0</v>
      </c>
      <c r="AN26" s="828">
        <v>0</v>
      </c>
      <c r="AO26" s="828">
        <v>0</v>
      </c>
      <c r="AP26" s="828">
        <v>0</v>
      </c>
      <c r="AQ26" s="828">
        <v>0</v>
      </c>
      <c r="AR26" s="828">
        <v>0</v>
      </c>
      <c r="AS26" s="828">
        <v>0</v>
      </c>
      <c r="AT26" s="828">
        <v>0</v>
      </c>
      <c r="AU26" s="828">
        <v>0</v>
      </c>
      <c r="AV26" s="828">
        <v>0</v>
      </c>
      <c r="AW26" s="828">
        <v>0</v>
      </c>
      <c r="AX26" s="828">
        <v>0</v>
      </c>
      <c r="AY26" s="828">
        <v>0</v>
      </c>
      <c r="AZ26" s="828">
        <v>0</v>
      </c>
      <c r="BA26" s="828">
        <v>0</v>
      </c>
      <c r="BB26" s="828">
        <v>0</v>
      </c>
      <c r="BC26" s="828">
        <v>0</v>
      </c>
      <c r="BD26" s="828">
        <v>0</v>
      </c>
      <c r="BE26" s="828">
        <v>0</v>
      </c>
      <c r="BF26" s="828">
        <v>0</v>
      </c>
      <c r="BG26" s="828">
        <v>0</v>
      </c>
      <c r="BH26" s="828">
        <v>0</v>
      </c>
      <c r="BI26" s="828">
        <v>0</v>
      </c>
      <c r="BJ26" s="828">
        <v>0</v>
      </c>
    </row>
    <row r="27" spans="1:62" ht="25.5">
      <c r="A27" s="823" t="s">
        <v>1800</v>
      </c>
      <c r="B27" s="823" t="s">
        <v>1801</v>
      </c>
      <c r="C27" s="824" t="s">
        <v>1802</v>
      </c>
      <c r="D27" s="826" t="s">
        <v>1803</v>
      </c>
      <c r="E27" s="826" t="s">
        <v>1804</v>
      </c>
      <c r="F27" s="824" t="s">
        <v>1805</v>
      </c>
      <c r="G27" s="824" t="s">
        <v>1806</v>
      </c>
      <c r="H27" s="824" t="s">
        <v>1807</v>
      </c>
      <c r="I27" s="824" t="s">
        <v>1808</v>
      </c>
      <c r="J27" s="824"/>
      <c r="K27" s="824"/>
      <c r="L27" s="824"/>
      <c r="M27" s="824"/>
      <c r="N27" s="824"/>
      <c r="O27" s="824"/>
      <c r="P27" s="824"/>
      <c r="Q27" s="824"/>
      <c r="R27" s="824"/>
      <c r="S27" s="824"/>
      <c r="T27" s="824"/>
      <c r="U27" s="824"/>
      <c r="V27" s="824"/>
      <c r="W27" s="824"/>
      <c r="X27" s="824"/>
      <c r="Y27" s="824"/>
      <c r="Z27" s="824"/>
      <c r="AA27" s="824"/>
      <c r="AB27" s="824"/>
      <c r="AC27" s="824"/>
      <c r="AD27" s="824"/>
      <c r="AE27" s="824"/>
      <c r="AF27" s="824"/>
      <c r="AG27" s="828">
        <v>3.7</v>
      </c>
      <c r="AH27" s="828">
        <v>3.9</v>
      </c>
      <c r="AI27" s="828">
        <v>5.5</v>
      </c>
      <c r="AJ27" s="828">
        <v>5.7</v>
      </c>
      <c r="AK27" s="828">
        <v>6.3</v>
      </c>
      <c r="AL27" s="828">
        <v>5.5</v>
      </c>
      <c r="AM27" s="828">
        <v>5.0999999999999996</v>
      </c>
      <c r="AN27" s="828">
        <v>0</v>
      </c>
      <c r="AO27" s="828">
        <v>0</v>
      </c>
      <c r="AP27" s="828">
        <v>0</v>
      </c>
      <c r="AQ27" s="828">
        <v>0</v>
      </c>
      <c r="AR27" s="828">
        <v>0</v>
      </c>
      <c r="AS27" s="828">
        <v>0</v>
      </c>
      <c r="AT27" s="828">
        <v>0</v>
      </c>
      <c r="AU27" s="828">
        <v>0</v>
      </c>
      <c r="AV27" s="828">
        <v>0</v>
      </c>
      <c r="AW27" s="828">
        <v>0</v>
      </c>
      <c r="AX27" s="828">
        <v>0</v>
      </c>
      <c r="AY27" s="828">
        <v>0</v>
      </c>
      <c r="AZ27" s="828">
        <v>0</v>
      </c>
      <c r="BA27" s="828">
        <v>0</v>
      </c>
      <c r="BB27" s="828">
        <v>0</v>
      </c>
      <c r="BC27" s="828">
        <v>0</v>
      </c>
      <c r="BD27" s="828">
        <v>0</v>
      </c>
      <c r="BE27" s="828">
        <v>0</v>
      </c>
      <c r="BF27" s="828">
        <v>0</v>
      </c>
      <c r="BG27" s="828">
        <v>0</v>
      </c>
      <c r="BH27" s="828">
        <v>0</v>
      </c>
      <c r="BI27" s="828">
        <v>0</v>
      </c>
      <c r="BJ27" s="828">
        <v>0</v>
      </c>
    </row>
    <row r="28" spans="1:62" ht="102">
      <c r="A28" s="823" t="s">
        <v>1809</v>
      </c>
      <c r="B28" s="823" t="s">
        <v>1810</v>
      </c>
      <c r="C28" s="824"/>
      <c r="D28" s="824" t="s">
        <v>1811</v>
      </c>
      <c r="E28" s="824" t="s">
        <v>1812</v>
      </c>
      <c r="F28" s="824"/>
      <c r="G28" s="824"/>
      <c r="H28" s="826" t="s">
        <v>1813</v>
      </c>
      <c r="I28" s="826" t="s">
        <v>1814</v>
      </c>
      <c r="J28" s="824" t="s">
        <v>1815</v>
      </c>
      <c r="K28" s="824" t="s">
        <v>1816</v>
      </c>
      <c r="L28" s="826" t="s">
        <v>1817</v>
      </c>
      <c r="M28" s="826" t="s">
        <v>1818</v>
      </c>
      <c r="N28" s="824" t="s">
        <v>1819</v>
      </c>
      <c r="O28" s="824"/>
      <c r="P28" s="824"/>
      <c r="Q28" s="824"/>
      <c r="R28" s="824"/>
      <c r="S28" s="824"/>
      <c r="T28" s="824"/>
      <c r="U28" s="824"/>
      <c r="V28" s="824"/>
      <c r="W28" s="824"/>
      <c r="X28" s="824"/>
      <c r="Y28" s="824"/>
      <c r="Z28" s="824"/>
      <c r="AA28" s="824"/>
      <c r="AB28" s="824"/>
      <c r="AC28" s="824"/>
      <c r="AD28" s="824"/>
      <c r="AE28" s="824"/>
      <c r="AF28" s="824"/>
      <c r="AG28" s="828">
        <v>0</v>
      </c>
      <c r="AH28" s="828">
        <v>3.6</v>
      </c>
      <c r="AI28" s="828">
        <v>4.2</v>
      </c>
      <c r="AJ28" s="828">
        <v>0</v>
      </c>
      <c r="AK28" s="828">
        <v>0</v>
      </c>
      <c r="AL28" s="828">
        <v>6.5</v>
      </c>
      <c r="AM28" s="828">
        <v>4.2</v>
      </c>
      <c r="AN28" s="828">
        <v>8.5</v>
      </c>
      <c r="AO28" s="828">
        <v>0</v>
      </c>
      <c r="AP28" s="828">
        <v>7.6</v>
      </c>
      <c r="AQ28" s="828">
        <v>7.7</v>
      </c>
      <c r="AR28" s="828">
        <v>6.7</v>
      </c>
      <c r="AS28" s="828">
        <v>0</v>
      </c>
      <c r="AT28" s="828">
        <v>0</v>
      </c>
      <c r="AU28" s="828">
        <v>0</v>
      </c>
      <c r="AV28" s="828">
        <v>0</v>
      </c>
      <c r="AW28" s="828">
        <v>0</v>
      </c>
      <c r="AX28" s="828">
        <v>0</v>
      </c>
      <c r="AY28" s="828">
        <v>0</v>
      </c>
      <c r="AZ28" s="828">
        <v>0</v>
      </c>
      <c r="BA28" s="828">
        <v>0</v>
      </c>
      <c r="BB28" s="828">
        <v>0</v>
      </c>
      <c r="BC28" s="828">
        <v>0</v>
      </c>
      <c r="BD28" s="828">
        <v>0</v>
      </c>
      <c r="BE28" s="828">
        <v>0</v>
      </c>
      <c r="BF28" s="828">
        <v>0</v>
      </c>
      <c r="BG28" s="828">
        <v>0</v>
      </c>
      <c r="BH28" s="828">
        <v>0</v>
      </c>
      <c r="BI28" s="828">
        <v>0</v>
      </c>
      <c r="BJ28" s="828">
        <v>0</v>
      </c>
    </row>
    <row r="29" spans="1:62" ht="102">
      <c r="A29" s="823" t="s">
        <v>1809</v>
      </c>
      <c r="B29" s="823" t="s">
        <v>1820</v>
      </c>
      <c r="C29" s="826" t="s">
        <v>1821</v>
      </c>
      <c r="D29" s="824"/>
      <c r="E29" s="824"/>
      <c r="F29" s="824"/>
      <c r="G29" s="824"/>
      <c r="H29" s="824"/>
      <c r="I29" s="824"/>
      <c r="J29" s="824"/>
      <c r="K29" s="824"/>
      <c r="L29" s="824"/>
      <c r="M29" s="824"/>
      <c r="N29" s="824"/>
      <c r="O29" s="824"/>
      <c r="P29" s="824"/>
      <c r="Q29" s="824"/>
      <c r="R29" s="824"/>
      <c r="S29" s="824"/>
      <c r="T29" s="824"/>
      <c r="U29" s="824"/>
      <c r="V29" s="824"/>
      <c r="W29" s="824"/>
      <c r="X29" s="824"/>
      <c r="Y29" s="824"/>
      <c r="Z29" s="824"/>
      <c r="AA29" s="824"/>
      <c r="AB29" s="824"/>
      <c r="AC29" s="824"/>
      <c r="AD29" s="824"/>
      <c r="AE29" s="824"/>
      <c r="AF29" s="824"/>
      <c r="AG29" s="828">
        <v>7.7</v>
      </c>
      <c r="AH29" s="828">
        <v>0</v>
      </c>
      <c r="AI29" s="828">
        <v>0</v>
      </c>
      <c r="AJ29" s="828">
        <v>0</v>
      </c>
      <c r="AK29" s="828">
        <v>0</v>
      </c>
      <c r="AL29" s="828">
        <v>0</v>
      </c>
      <c r="AM29" s="828">
        <v>0</v>
      </c>
      <c r="AN29" s="828">
        <v>0</v>
      </c>
      <c r="AO29" s="828">
        <v>0</v>
      </c>
      <c r="AP29" s="828">
        <v>0</v>
      </c>
      <c r="AQ29" s="828">
        <v>0</v>
      </c>
      <c r="AR29" s="828">
        <v>0</v>
      </c>
      <c r="AS29" s="828">
        <v>0</v>
      </c>
      <c r="AT29" s="828">
        <v>0</v>
      </c>
      <c r="AU29" s="828">
        <v>0</v>
      </c>
      <c r="AV29" s="828">
        <v>0</v>
      </c>
      <c r="AW29" s="828">
        <v>0</v>
      </c>
      <c r="AX29" s="828">
        <v>0</v>
      </c>
      <c r="AY29" s="828">
        <v>0</v>
      </c>
      <c r="AZ29" s="828">
        <v>0</v>
      </c>
      <c r="BA29" s="828">
        <v>0</v>
      </c>
      <c r="BB29" s="828">
        <v>0</v>
      </c>
      <c r="BC29" s="828">
        <v>0</v>
      </c>
      <c r="BD29" s="828">
        <v>0</v>
      </c>
      <c r="BE29" s="828">
        <v>0</v>
      </c>
      <c r="BF29" s="828">
        <v>0</v>
      </c>
      <c r="BG29" s="828">
        <v>0</v>
      </c>
      <c r="BH29" s="828">
        <v>0</v>
      </c>
      <c r="BI29" s="828">
        <v>0</v>
      </c>
      <c r="BJ29" s="828">
        <v>0</v>
      </c>
    </row>
    <row r="30" spans="1:62">
      <c r="A30" s="823" t="s">
        <v>1809</v>
      </c>
      <c r="B30" s="823" t="s">
        <v>1822</v>
      </c>
      <c r="C30" s="824" t="s">
        <v>1823</v>
      </c>
      <c r="D30" s="824"/>
      <c r="E30" s="824"/>
      <c r="F30" s="824"/>
      <c r="G30" s="824"/>
      <c r="H30" s="824"/>
      <c r="I30" s="824"/>
      <c r="J30" s="824"/>
      <c r="K30" s="824"/>
      <c r="L30" s="824"/>
      <c r="M30" s="824"/>
      <c r="N30" s="824"/>
      <c r="O30" s="824"/>
      <c r="P30" s="824"/>
      <c r="Q30" s="824"/>
      <c r="R30" s="824"/>
      <c r="S30" s="824"/>
      <c r="T30" s="824"/>
      <c r="U30" s="824"/>
      <c r="V30" s="824"/>
      <c r="W30" s="824"/>
      <c r="X30" s="824"/>
      <c r="Y30" s="824"/>
      <c r="Z30" s="824"/>
      <c r="AA30" s="824"/>
      <c r="AB30" s="824"/>
      <c r="AC30" s="824"/>
      <c r="AD30" s="824"/>
      <c r="AE30" s="824"/>
      <c r="AF30" s="824"/>
      <c r="AG30" s="828">
        <v>6</v>
      </c>
      <c r="AH30" s="828">
        <v>0</v>
      </c>
      <c r="AI30" s="828">
        <v>0</v>
      </c>
      <c r="AJ30" s="828">
        <v>0</v>
      </c>
      <c r="AK30" s="828">
        <v>0</v>
      </c>
      <c r="AL30" s="828">
        <v>0</v>
      </c>
      <c r="AM30" s="828">
        <v>0</v>
      </c>
      <c r="AN30" s="828">
        <v>0</v>
      </c>
      <c r="AO30" s="828">
        <v>0</v>
      </c>
      <c r="AP30" s="828">
        <v>0</v>
      </c>
      <c r="AQ30" s="828">
        <v>0</v>
      </c>
      <c r="AR30" s="828">
        <v>0</v>
      </c>
      <c r="AS30" s="828">
        <v>0</v>
      </c>
      <c r="AT30" s="828">
        <v>0</v>
      </c>
      <c r="AU30" s="828">
        <v>0</v>
      </c>
      <c r="AV30" s="828">
        <v>0</v>
      </c>
      <c r="AW30" s="828">
        <v>0</v>
      </c>
      <c r="AX30" s="828">
        <v>0</v>
      </c>
      <c r="AY30" s="828">
        <v>0</v>
      </c>
      <c r="AZ30" s="828">
        <v>0</v>
      </c>
      <c r="BA30" s="828">
        <v>0</v>
      </c>
      <c r="BB30" s="828">
        <v>0</v>
      </c>
      <c r="BC30" s="828">
        <v>0</v>
      </c>
      <c r="BD30" s="828">
        <v>0</v>
      </c>
      <c r="BE30" s="828">
        <v>0</v>
      </c>
      <c r="BF30" s="828">
        <v>0</v>
      </c>
      <c r="BG30" s="828">
        <v>0</v>
      </c>
      <c r="BH30" s="828">
        <v>0</v>
      </c>
      <c r="BI30" s="828">
        <v>0</v>
      </c>
      <c r="BJ30" s="828">
        <v>0</v>
      </c>
    </row>
    <row r="31" spans="1:62" ht="38.25">
      <c r="A31" s="823" t="s">
        <v>1824</v>
      </c>
      <c r="B31" s="823" t="s">
        <v>1825</v>
      </c>
      <c r="C31" s="824" t="s">
        <v>1826</v>
      </c>
      <c r="D31" s="824"/>
      <c r="E31" s="826" t="s">
        <v>1827</v>
      </c>
      <c r="F31" s="824"/>
      <c r="G31" s="824"/>
      <c r="H31" s="824"/>
      <c r="I31" s="824"/>
      <c r="J31" s="824"/>
      <c r="K31" s="824"/>
      <c r="L31" s="824"/>
      <c r="M31" s="824"/>
      <c r="N31" s="824"/>
      <c r="O31" s="824"/>
      <c r="P31" s="824"/>
      <c r="Q31" s="824"/>
      <c r="R31" s="824"/>
      <c r="S31" s="824"/>
      <c r="T31" s="824"/>
      <c r="U31" s="824"/>
      <c r="V31" s="824"/>
      <c r="W31" s="824"/>
      <c r="X31" s="824"/>
      <c r="Y31" s="824"/>
      <c r="Z31" s="824"/>
      <c r="AA31" s="824"/>
      <c r="AB31" s="824"/>
      <c r="AC31" s="824"/>
      <c r="AD31" s="824"/>
      <c r="AE31" s="824"/>
      <c r="AF31" s="824"/>
      <c r="AG31" s="828">
        <v>4.5999999999999996</v>
      </c>
      <c r="AH31" s="828">
        <v>0</v>
      </c>
      <c r="AI31" s="828">
        <v>4.5</v>
      </c>
      <c r="AJ31" s="828">
        <v>0</v>
      </c>
      <c r="AK31" s="828">
        <v>0</v>
      </c>
      <c r="AL31" s="828">
        <v>0</v>
      </c>
      <c r="AM31" s="828">
        <v>0</v>
      </c>
      <c r="AN31" s="828">
        <v>0</v>
      </c>
      <c r="AO31" s="828">
        <v>0</v>
      </c>
      <c r="AP31" s="828">
        <v>0</v>
      </c>
      <c r="AQ31" s="828">
        <v>0</v>
      </c>
      <c r="AR31" s="828">
        <v>0</v>
      </c>
      <c r="AS31" s="828">
        <v>0</v>
      </c>
      <c r="AT31" s="828">
        <v>0</v>
      </c>
      <c r="AU31" s="828">
        <v>0</v>
      </c>
      <c r="AV31" s="828">
        <v>0</v>
      </c>
      <c r="AW31" s="828">
        <v>0</v>
      </c>
      <c r="AX31" s="828">
        <v>0</v>
      </c>
      <c r="AY31" s="828">
        <v>0</v>
      </c>
      <c r="AZ31" s="828">
        <v>0</v>
      </c>
      <c r="BA31" s="828">
        <v>0</v>
      </c>
      <c r="BB31" s="828">
        <v>0</v>
      </c>
      <c r="BC31" s="828">
        <v>0</v>
      </c>
      <c r="BD31" s="828">
        <v>0</v>
      </c>
      <c r="BE31" s="828">
        <v>0</v>
      </c>
      <c r="BF31" s="828">
        <v>0</v>
      </c>
      <c r="BG31" s="828">
        <v>0</v>
      </c>
      <c r="BH31" s="828">
        <v>0</v>
      </c>
      <c r="BI31" s="828">
        <v>0</v>
      </c>
      <c r="BJ31" s="828">
        <v>0</v>
      </c>
    </row>
    <row r="32" spans="1:62" ht="25.5">
      <c r="A32" s="823" t="s">
        <v>1828</v>
      </c>
      <c r="B32" s="823" t="s">
        <v>1829</v>
      </c>
      <c r="C32" s="824" t="s">
        <v>1830</v>
      </c>
      <c r="D32" s="824"/>
      <c r="E32" s="824"/>
      <c r="F32" s="824"/>
      <c r="G32" s="824"/>
      <c r="H32" s="824"/>
      <c r="I32" s="824"/>
      <c r="J32" s="824"/>
      <c r="K32" s="824"/>
      <c r="L32" s="824"/>
      <c r="M32" s="824"/>
      <c r="N32" s="824"/>
      <c r="O32" s="824"/>
      <c r="P32" s="824"/>
      <c r="Q32" s="824"/>
      <c r="R32" s="824"/>
      <c r="S32" s="824"/>
      <c r="T32" s="824"/>
      <c r="U32" s="824"/>
      <c r="V32" s="824"/>
      <c r="W32" s="824"/>
      <c r="X32" s="824"/>
      <c r="Y32" s="824"/>
      <c r="Z32" s="824"/>
      <c r="AA32" s="824"/>
      <c r="AB32" s="824"/>
      <c r="AC32" s="824"/>
      <c r="AD32" s="824"/>
      <c r="AE32" s="824"/>
      <c r="AF32" s="824"/>
      <c r="AG32" s="828">
        <v>7.6</v>
      </c>
      <c r="AH32" s="828">
        <v>0</v>
      </c>
      <c r="AI32" s="828">
        <v>0</v>
      </c>
      <c r="AJ32" s="828">
        <v>0</v>
      </c>
      <c r="AK32" s="828">
        <v>0</v>
      </c>
      <c r="AL32" s="828">
        <v>0</v>
      </c>
      <c r="AM32" s="828">
        <v>0</v>
      </c>
      <c r="AN32" s="828">
        <v>0</v>
      </c>
      <c r="AO32" s="828">
        <v>0</v>
      </c>
      <c r="AP32" s="828">
        <v>0</v>
      </c>
      <c r="AQ32" s="828">
        <v>0</v>
      </c>
      <c r="AR32" s="828">
        <v>0</v>
      </c>
      <c r="AS32" s="828">
        <v>0</v>
      </c>
      <c r="AT32" s="828">
        <v>0</v>
      </c>
      <c r="AU32" s="828">
        <v>0</v>
      </c>
      <c r="AV32" s="828">
        <v>0</v>
      </c>
      <c r="AW32" s="828">
        <v>0</v>
      </c>
      <c r="AX32" s="828">
        <v>0</v>
      </c>
      <c r="AY32" s="828">
        <v>0</v>
      </c>
      <c r="AZ32" s="828">
        <v>0</v>
      </c>
      <c r="BA32" s="828">
        <v>0</v>
      </c>
      <c r="BB32" s="828">
        <v>0</v>
      </c>
      <c r="BC32" s="828">
        <v>0</v>
      </c>
      <c r="BD32" s="828">
        <v>0</v>
      </c>
      <c r="BE32" s="828">
        <v>0</v>
      </c>
      <c r="BF32" s="828">
        <v>0</v>
      </c>
      <c r="BG32" s="828">
        <v>0</v>
      </c>
      <c r="BH32" s="828">
        <v>0</v>
      </c>
      <c r="BI32" s="828">
        <v>0</v>
      </c>
      <c r="BJ32" s="828">
        <v>0</v>
      </c>
    </row>
    <row r="33" spans="1:62" ht="38.25">
      <c r="A33" s="823" t="s">
        <v>1831</v>
      </c>
      <c r="B33" s="823" t="s">
        <v>1832</v>
      </c>
      <c r="C33" s="824" t="s">
        <v>1833</v>
      </c>
      <c r="D33" s="824"/>
      <c r="E33" s="824"/>
      <c r="F33" s="824"/>
      <c r="G33" s="824"/>
      <c r="H33" s="824"/>
      <c r="I33" s="824"/>
      <c r="J33" s="824"/>
      <c r="K33" s="824"/>
      <c r="L33" s="824"/>
      <c r="M33" s="824"/>
      <c r="N33" s="824"/>
      <c r="O33" s="824"/>
      <c r="P33" s="824"/>
      <c r="Q33" s="824"/>
      <c r="R33" s="824"/>
      <c r="S33" s="824"/>
      <c r="T33" s="824"/>
      <c r="U33" s="824"/>
      <c r="V33" s="824"/>
      <c r="W33" s="824"/>
      <c r="X33" s="824"/>
      <c r="Y33" s="824"/>
      <c r="Z33" s="824"/>
      <c r="AA33" s="824"/>
      <c r="AB33" s="824"/>
      <c r="AC33" s="824"/>
      <c r="AD33" s="824"/>
      <c r="AE33" s="824"/>
      <c r="AF33" s="824"/>
      <c r="AG33" s="828">
        <v>2</v>
      </c>
      <c r="AH33" s="828">
        <v>0</v>
      </c>
      <c r="AI33" s="828">
        <v>0</v>
      </c>
      <c r="AJ33" s="828">
        <v>0</v>
      </c>
      <c r="AK33" s="828">
        <v>0</v>
      </c>
      <c r="AL33" s="828">
        <v>0</v>
      </c>
      <c r="AM33" s="828">
        <v>0</v>
      </c>
      <c r="AN33" s="828">
        <v>0</v>
      </c>
      <c r="AO33" s="828">
        <v>0</v>
      </c>
      <c r="AP33" s="828">
        <v>0</v>
      </c>
      <c r="AQ33" s="828">
        <v>0</v>
      </c>
      <c r="AR33" s="828">
        <v>0</v>
      </c>
      <c r="AS33" s="828">
        <v>0</v>
      </c>
      <c r="AT33" s="828">
        <v>0</v>
      </c>
      <c r="AU33" s="828">
        <v>0</v>
      </c>
      <c r="AV33" s="828">
        <v>0</v>
      </c>
      <c r="AW33" s="828">
        <v>0</v>
      </c>
      <c r="AX33" s="828">
        <v>0</v>
      </c>
      <c r="AY33" s="828">
        <v>0</v>
      </c>
      <c r="AZ33" s="828">
        <v>0</v>
      </c>
      <c r="BA33" s="828">
        <v>0</v>
      </c>
      <c r="BB33" s="828">
        <v>0</v>
      </c>
      <c r="BC33" s="828">
        <v>0</v>
      </c>
      <c r="BD33" s="828">
        <v>0</v>
      </c>
      <c r="BE33" s="828">
        <v>0</v>
      </c>
      <c r="BF33" s="828">
        <v>0</v>
      </c>
      <c r="BG33" s="828">
        <v>0</v>
      </c>
      <c r="BH33" s="828">
        <v>0</v>
      </c>
      <c r="BI33" s="828">
        <v>0</v>
      </c>
      <c r="BJ33" s="828">
        <v>0</v>
      </c>
    </row>
    <row r="34" spans="1:62" ht="25.5">
      <c r="A34" s="823" t="s">
        <v>1834</v>
      </c>
      <c r="B34" s="823" t="s">
        <v>1835</v>
      </c>
      <c r="C34" s="824" t="s">
        <v>1836</v>
      </c>
      <c r="D34" s="824"/>
      <c r="E34" s="824"/>
      <c r="F34" s="824"/>
      <c r="G34" s="824"/>
      <c r="H34" s="824"/>
      <c r="I34" s="824"/>
      <c r="J34" s="824"/>
      <c r="K34" s="824"/>
      <c r="L34" s="824"/>
      <c r="M34" s="824"/>
      <c r="N34" s="824"/>
      <c r="O34" s="824"/>
      <c r="P34" s="824"/>
      <c r="Q34" s="824"/>
      <c r="R34" s="824"/>
      <c r="S34" s="824"/>
      <c r="T34" s="824"/>
      <c r="U34" s="824"/>
      <c r="V34" s="824"/>
      <c r="W34" s="824"/>
      <c r="X34" s="824"/>
      <c r="Y34" s="824"/>
      <c r="Z34" s="824"/>
      <c r="AA34" s="824"/>
      <c r="AB34" s="824"/>
      <c r="AC34" s="824"/>
      <c r="AD34" s="824"/>
      <c r="AE34" s="824"/>
      <c r="AF34" s="824"/>
      <c r="AG34" s="828">
        <v>3.2</v>
      </c>
      <c r="AH34" s="828">
        <v>0</v>
      </c>
      <c r="AI34" s="828">
        <v>0</v>
      </c>
      <c r="AJ34" s="828">
        <v>0</v>
      </c>
      <c r="AK34" s="828">
        <v>0</v>
      </c>
      <c r="AL34" s="828">
        <v>0</v>
      </c>
      <c r="AM34" s="828">
        <v>0</v>
      </c>
      <c r="AN34" s="828">
        <v>0</v>
      </c>
      <c r="AO34" s="828">
        <v>0</v>
      </c>
      <c r="AP34" s="828">
        <v>0</v>
      </c>
      <c r="AQ34" s="828">
        <v>0</v>
      </c>
      <c r="AR34" s="828">
        <v>0</v>
      </c>
      <c r="AS34" s="828">
        <v>0</v>
      </c>
      <c r="AT34" s="828">
        <v>0</v>
      </c>
      <c r="AU34" s="828">
        <v>0</v>
      </c>
      <c r="AV34" s="828">
        <v>0</v>
      </c>
      <c r="AW34" s="828">
        <v>0</v>
      </c>
      <c r="AX34" s="828">
        <v>0</v>
      </c>
      <c r="AY34" s="828">
        <v>0</v>
      </c>
      <c r="AZ34" s="828">
        <v>0</v>
      </c>
      <c r="BA34" s="828">
        <v>0</v>
      </c>
      <c r="BB34" s="828">
        <v>0</v>
      </c>
      <c r="BC34" s="828">
        <v>0</v>
      </c>
      <c r="BD34" s="828">
        <v>0</v>
      </c>
      <c r="BE34" s="828">
        <v>0</v>
      </c>
      <c r="BF34" s="828">
        <v>0</v>
      </c>
      <c r="BG34" s="828">
        <v>0</v>
      </c>
      <c r="BH34" s="828">
        <v>0</v>
      </c>
      <c r="BI34" s="828">
        <v>0</v>
      </c>
      <c r="BJ34" s="828">
        <v>0</v>
      </c>
    </row>
    <row r="35" spans="1:62" ht="25.5">
      <c r="A35" s="823" t="s">
        <v>1837</v>
      </c>
      <c r="B35" s="823" t="s">
        <v>1838</v>
      </c>
      <c r="C35" s="824" t="s">
        <v>1839</v>
      </c>
      <c r="D35" s="824" t="s">
        <v>1840</v>
      </c>
      <c r="E35" s="824" t="s">
        <v>1841</v>
      </c>
      <c r="F35" s="824" t="s">
        <v>1842</v>
      </c>
      <c r="G35" s="824" t="s">
        <v>1843</v>
      </c>
      <c r="H35" s="824" t="s">
        <v>1844</v>
      </c>
      <c r="I35" s="824" t="s">
        <v>1845</v>
      </c>
      <c r="J35" s="824" t="s">
        <v>1846</v>
      </c>
      <c r="K35" s="824" t="s">
        <v>1847</v>
      </c>
      <c r="L35" s="824" t="s">
        <v>1848</v>
      </c>
      <c r="M35" s="824" t="s">
        <v>1849</v>
      </c>
      <c r="N35" s="824" t="s">
        <v>1850</v>
      </c>
      <c r="O35" s="824" t="s">
        <v>1851</v>
      </c>
      <c r="P35" s="824" t="s">
        <v>1852</v>
      </c>
      <c r="Q35" s="824" t="s">
        <v>1853</v>
      </c>
      <c r="R35" s="824" t="s">
        <v>1854</v>
      </c>
      <c r="S35" s="824" t="s">
        <v>1855</v>
      </c>
      <c r="T35" s="824" t="s">
        <v>1856</v>
      </c>
      <c r="U35" s="824" t="s">
        <v>1857</v>
      </c>
      <c r="V35" s="824" t="s">
        <v>1858</v>
      </c>
      <c r="W35" s="824" t="s">
        <v>1859</v>
      </c>
      <c r="X35" s="824" t="s">
        <v>1860</v>
      </c>
      <c r="Y35" s="824" t="s">
        <v>1861</v>
      </c>
      <c r="Z35" s="824" t="s">
        <v>1862</v>
      </c>
      <c r="AA35" s="824" t="s">
        <v>1863</v>
      </c>
      <c r="AB35" s="824" t="s">
        <v>1864</v>
      </c>
      <c r="AC35" s="824" t="s">
        <v>1865</v>
      </c>
      <c r="AD35" s="824" t="s">
        <v>1866</v>
      </c>
      <c r="AE35" s="824" t="s">
        <v>1867</v>
      </c>
      <c r="AF35" s="824" t="s">
        <v>1868</v>
      </c>
      <c r="AG35" s="828">
        <v>2.4</v>
      </c>
      <c r="AH35" s="828">
        <v>2.9</v>
      </c>
      <c r="AI35" s="828">
        <v>3.4</v>
      </c>
      <c r="AJ35" s="828">
        <v>2</v>
      </c>
      <c r="AK35" s="828">
        <v>2.9</v>
      </c>
      <c r="AL35" s="828">
        <v>2.2999999999999998</v>
      </c>
      <c r="AM35" s="828">
        <v>0</v>
      </c>
      <c r="AN35" s="828">
        <v>0</v>
      </c>
      <c r="AO35" s="828">
        <v>2.9</v>
      </c>
      <c r="AP35" s="828">
        <v>1.5</v>
      </c>
      <c r="AQ35" s="828">
        <v>3.3</v>
      </c>
      <c r="AR35" s="828">
        <v>1.8</v>
      </c>
      <c r="AS35" s="828">
        <v>2.2999999999999998</v>
      </c>
      <c r="AT35" s="828">
        <v>2.5</v>
      </c>
      <c r="AU35" s="828">
        <v>2.1</v>
      </c>
      <c r="AV35" s="828">
        <v>2.2000000000000002</v>
      </c>
      <c r="AW35" s="828">
        <v>1.9</v>
      </c>
      <c r="AX35" s="828">
        <v>2.2999999999999998</v>
      </c>
      <c r="AY35" s="828">
        <v>5</v>
      </c>
      <c r="AZ35" s="828">
        <v>0</v>
      </c>
      <c r="BA35" s="828">
        <v>3.2</v>
      </c>
      <c r="BB35" s="828">
        <v>5</v>
      </c>
      <c r="BC35" s="828">
        <v>3.7</v>
      </c>
      <c r="BD35" s="828">
        <v>3</v>
      </c>
      <c r="BE35" s="828">
        <v>2.8</v>
      </c>
      <c r="BF35" s="828">
        <v>2.9</v>
      </c>
      <c r="BG35" s="828">
        <v>2.4</v>
      </c>
      <c r="BH35" s="828">
        <v>0</v>
      </c>
      <c r="BI35" s="828">
        <v>2.9</v>
      </c>
      <c r="BJ35" s="828">
        <v>2.4</v>
      </c>
    </row>
    <row r="36" spans="1:62" ht="38.25">
      <c r="A36" s="823" t="s">
        <v>1869</v>
      </c>
      <c r="B36" s="823" t="s">
        <v>1870</v>
      </c>
      <c r="C36" s="826" t="s">
        <v>1871</v>
      </c>
      <c r="D36" s="824" t="s">
        <v>1872</v>
      </c>
      <c r="E36" s="826" t="s">
        <v>1873</v>
      </c>
      <c r="F36" s="824" t="s">
        <v>1874</v>
      </c>
      <c r="G36" s="824" t="s">
        <v>1875</v>
      </c>
      <c r="H36" s="824" t="s">
        <v>1876</v>
      </c>
      <c r="I36" s="824"/>
      <c r="J36" s="824"/>
      <c r="K36" s="824"/>
      <c r="L36" s="824"/>
      <c r="M36" s="824"/>
      <c r="N36" s="824"/>
      <c r="O36" s="824"/>
      <c r="P36" s="824"/>
      <c r="Q36" s="824"/>
      <c r="R36" s="824"/>
      <c r="S36" s="824"/>
      <c r="T36" s="824"/>
      <c r="U36" s="824"/>
      <c r="V36" s="824"/>
      <c r="W36" s="824"/>
      <c r="X36" s="824"/>
      <c r="Y36" s="824"/>
      <c r="Z36" s="824"/>
      <c r="AA36" s="824"/>
      <c r="AB36" s="824"/>
      <c r="AC36" s="824"/>
      <c r="AD36" s="824"/>
      <c r="AE36" s="824"/>
      <c r="AF36" s="824"/>
      <c r="AG36" s="828">
        <v>3</v>
      </c>
      <c r="AH36" s="828">
        <v>2.8</v>
      </c>
      <c r="AI36" s="828">
        <v>2.9</v>
      </c>
      <c r="AJ36" s="828">
        <v>2.8</v>
      </c>
      <c r="AK36" s="828">
        <v>4.2</v>
      </c>
      <c r="AL36" s="828">
        <v>2.8</v>
      </c>
      <c r="AM36" s="828">
        <v>0</v>
      </c>
      <c r="AN36" s="828">
        <v>0</v>
      </c>
      <c r="AO36" s="828">
        <v>0</v>
      </c>
      <c r="AP36" s="828">
        <v>0</v>
      </c>
      <c r="AQ36" s="828">
        <v>0</v>
      </c>
      <c r="AR36" s="828">
        <v>0</v>
      </c>
      <c r="AS36" s="828">
        <v>0</v>
      </c>
      <c r="AT36" s="828">
        <v>0</v>
      </c>
      <c r="AU36" s="828">
        <v>0</v>
      </c>
      <c r="AV36" s="828">
        <v>0</v>
      </c>
      <c r="AW36" s="828">
        <v>0</v>
      </c>
      <c r="AX36" s="828">
        <v>0</v>
      </c>
      <c r="AY36" s="828">
        <v>0</v>
      </c>
      <c r="AZ36" s="828">
        <v>0</v>
      </c>
      <c r="BA36" s="828">
        <v>0</v>
      </c>
      <c r="BB36" s="828">
        <v>0</v>
      </c>
      <c r="BC36" s="828">
        <v>0</v>
      </c>
      <c r="BD36" s="828">
        <v>0</v>
      </c>
      <c r="BE36" s="828">
        <v>0</v>
      </c>
      <c r="BF36" s="828">
        <v>0</v>
      </c>
      <c r="BG36" s="828">
        <v>0</v>
      </c>
      <c r="BH36" s="828">
        <v>0</v>
      </c>
      <c r="BI36" s="828">
        <v>0</v>
      </c>
      <c r="BJ36" s="828">
        <v>0</v>
      </c>
    </row>
    <row r="37" spans="1:62">
      <c r="A37" s="823" t="s">
        <v>1877</v>
      </c>
      <c r="B37" s="823" t="s">
        <v>1878</v>
      </c>
      <c r="C37" s="824" t="s">
        <v>1879</v>
      </c>
      <c r="D37" s="824"/>
      <c r="E37" s="824"/>
      <c r="F37" s="824"/>
      <c r="G37" s="824"/>
      <c r="H37" s="824"/>
      <c r="I37" s="824"/>
      <c r="J37" s="824"/>
      <c r="K37" s="824"/>
      <c r="L37" s="824"/>
      <c r="M37" s="824"/>
      <c r="N37" s="824"/>
      <c r="O37" s="824"/>
      <c r="P37" s="824"/>
      <c r="Q37" s="824"/>
      <c r="R37" s="824"/>
      <c r="S37" s="824"/>
      <c r="T37" s="824"/>
      <c r="U37" s="824"/>
      <c r="V37" s="824"/>
      <c r="W37" s="824"/>
      <c r="X37" s="824"/>
      <c r="Y37" s="824"/>
      <c r="Z37" s="824"/>
      <c r="AA37" s="824"/>
      <c r="AB37" s="824"/>
      <c r="AC37" s="824"/>
      <c r="AD37" s="824"/>
      <c r="AE37" s="824"/>
      <c r="AF37" s="824"/>
      <c r="AG37" s="828">
        <v>1.8</v>
      </c>
      <c r="AH37" s="828">
        <v>0</v>
      </c>
      <c r="AI37" s="828">
        <v>0</v>
      </c>
      <c r="AJ37" s="828">
        <v>0</v>
      </c>
      <c r="AK37" s="828">
        <v>0</v>
      </c>
      <c r="AL37" s="828">
        <v>0</v>
      </c>
      <c r="AM37" s="828">
        <v>0</v>
      </c>
      <c r="AN37" s="828">
        <v>0</v>
      </c>
      <c r="AO37" s="828">
        <v>0</v>
      </c>
      <c r="AP37" s="828">
        <v>0</v>
      </c>
      <c r="AQ37" s="828">
        <v>0</v>
      </c>
      <c r="AR37" s="828">
        <v>0</v>
      </c>
      <c r="AS37" s="828">
        <v>0</v>
      </c>
      <c r="AT37" s="828">
        <v>0</v>
      </c>
      <c r="AU37" s="828">
        <v>0</v>
      </c>
      <c r="AV37" s="828">
        <v>0</v>
      </c>
      <c r="AW37" s="828">
        <v>0</v>
      </c>
      <c r="AX37" s="828">
        <v>0</v>
      </c>
      <c r="AY37" s="828">
        <v>0</v>
      </c>
      <c r="AZ37" s="828">
        <v>0</v>
      </c>
      <c r="BA37" s="828">
        <v>0</v>
      </c>
      <c r="BB37" s="828">
        <v>0</v>
      </c>
      <c r="BC37" s="828">
        <v>0</v>
      </c>
      <c r="BD37" s="828">
        <v>0</v>
      </c>
      <c r="BE37" s="828">
        <v>0</v>
      </c>
      <c r="BF37" s="828">
        <v>0</v>
      </c>
      <c r="BG37" s="828">
        <v>0</v>
      </c>
      <c r="BH37" s="828">
        <v>0</v>
      </c>
      <c r="BI37" s="828">
        <v>0</v>
      </c>
      <c r="BJ37" s="828">
        <v>0</v>
      </c>
    </row>
    <row r="38" spans="1:62" ht="38.25">
      <c r="A38" s="823" t="s">
        <v>509</v>
      </c>
      <c r="B38" s="823" t="s">
        <v>510</v>
      </c>
      <c r="C38" s="824" t="s">
        <v>511</v>
      </c>
      <c r="D38" s="824"/>
      <c r="E38" s="824"/>
      <c r="F38" s="824"/>
      <c r="G38" s="824"/>
      <c r="H38" s="824"/>
      <c r="I38" s="824"/>
      <c r="J38" s="824"/>
      <c r="K38" s="824"/>
      <c r="L38" s="824"/>
      <c r="M38" s="824"/>
      <c r="N38" s="824"/>
      <c r="O38" s="824"/>
      <c r="P38" s="824"/>
      <c r="Q38" s="824"/>
      <c r="R38" s="824"/>
      <c r="S38" s="824"/>
      <c r="T38" s="824"/>
      <c r="U38" s="824"/>
      <c r="V38" s="824"/>
      <c r="W38" s="824"/>
      <c r="X38" s="824"/>
      <c r="Y38" s="824"/>
      <c r="Z38" s="824"/>
      <c r="AA38" s="824"/>
      <c r="AB38" s="824"/>
      <c r="AC38" s="824"/>
      <c r="AD38" s="824"/>
      <c r="AE38" s="824"/>
      <c r="AF38" s="824"/>
      <c r="AG38" s="828">
        <v>4.0999999999999996</v>
      </c>
      <c r="AH38" s="828">
        <v>0</v>
      </c>
      <c r="AI38" s="828">
        <v>0</v>
      </c>
      <c r="AJ38" s="828">
        <v>0</v>
      </c>
      <c r="AK38" s="828">
        <v>0</v>
      </c>
      <c r="AL38" s="828">
        <v>0</v>
      </c>
      <c r="AM38" s="828">
        <v>0</v>
      </c>
      <c r="AN38" s="828">
        <v>0</v>
      </c>
      <c r="AO38" s="828">
        <v>0</v>
      </c>
      <c r="AP38" s="828">
        <v>0</v>
      </c>
      <c r="AQ38" s="828">
        <v>0</v>
      </c>
      <c r="AR38" s="828">
        <v>0</v>
      </c>
      <c r="AS38" s="828">
        <v>0</v>
      </c>
      <c r="AT38" s="828">
        <v>0</v>
      </c>
      <c r="AU38" s="828">
        <v>0</v>
      </c>
      <c r="AV38" s="828">
        <v>0</v>
      </c>
      <c r="AW38" s="828">
        <v>0</v>
      </c>
      <c r="AX38" s="828">
        <v>0</v>
      </c>
      <c r="AY38" s="828">
        <v>0</v>
      </c>
      <c r="AZ38" s="828">
        <v>0</v>
      </c>
      <c r="BA38" s="828">
        <v>0</v>
      </c>
      <c r="BB38" s="828">
        <v>0</v>
      </c>
      <c r="BC38" s="828">
        <v>0</v>
      </c>
      <c r="BD38" s="828">
        <v>0</v>
      </c>
      <c r="BE38" s="828">
        <v>0</v>
      </c>
      <c r="BF38" s="828">
        <v>0</v>
      </c>
      <c r="BG38" s="828">
        <v>0</v>
      </c>
      <c r="BH38" s="828">
        <v>0</v>
      </c>
      <c r="BI38" s="828">
        <v>0</v>
      </c>
      <c r="BJ38" s="828">
        <v>0</v>
      </c>
    </row>
    <row r="39" spans="1:62" ht="25.5">
      <c r="A39" s="823" t="s">
        <v>1880</v>
      </c>
      <c r="B39" s="823" t="s">
        <v>1881</v>
      </c>
      <c r="C39" s="826" t="s">
        <v>1882</v>
      </c>
      <c r="D39" s="824" t="s">
        <v>1883</v>
      </c>
      <c r="E39" s="824"/>
      <c r="F39" s="824"/>
      <c r="G39" s="824"/>
      <c r="H39" s="824"/>
      <c r="I39" s="824"/>
      <c r="J39" s="824"/>
      <c r="K39" s="824"/>
      <c r="L39" s="824"/>
      <c r="M39" s="824"/>
      <c r="N39" s="824"/>
      <c r="O39" s="824"/>
      <c r="P39" s="824"/>
      <c r="Q39" s="824"/>
      <c r="R39" s="824"/>
      <c r="S39" s="824"/>
      <c r="T39" s="824"/>
      <c r="U39" s="824"/>
      <c r="V39" s="824"/>
      <c r="W39" s="824"/>
      <c r="X39" s="824"/>
      <c r="Y39" s="824"/>
      <c r="Z39" s="824"/>
      <c r="AA39" s="824"/>
      <c r="AB39" s="824"/>
      <c r="AC39" s="824"/>
      <c r="AD39" s="824"/>
      <c r="AE39" s="824"/>
      <c r="AF39" s="824"/>
      <c r="AG39" s="828">
        <v>5.4</v>
      </c>
      <c r="AH39" s="828">
        <v>5.2</v>
      </c>
      <c r="AI39" s="828">
        <v>0</v>
      </c>
      <c r="AJ39" s="828">
        <v>0</v>
      </c>
      <c r="AK39" s="828">
        <v>0</v>
      </c>
      <c r="AL39" s="828">
        <v>0</v>
      </c>
      <c r="AM39" s="828">
        <v>0</v>
      </c>
      <c r="AN39" s="828">
        <v>0</v>
      </c>
      <c r="AO39" s="828">
        <v>0</v>
      </c>
      <c r="AP39" s="828">
        <v>0</v>
      </c>
      <c r="AQ39" s="828">
        <v>0</v>
      </c>
      <c r="AR39" s="828">
        <v>0</v>
      </c>
      <c r="AS39" s="828">
        <v>0</v>
      </c>
      <c r="AT39" s="828">
        <v>0</v>
      </c>
      <c r="AU39" s="828">
        <v>0</v>
      </c>
      <c r="AV39" s="828">
        <v>0</v>
      </c>
      <c r="AW39" s="828">
        <v>0</v>
      </c>
      <c r="AX39" s="828">
        <v>0</v>
      </c>
      <c r="AY39" s="828">
        <v>0</v>
      </c>
      <c r="AZ39" s="828">
        <v>0</v>
      </c>
      <c r="BA39" s="828">
        <v>0</v>
      </c>
      <c r="BB39" s="828">
        <v>0</v>
      </c>
      <c r="BC39" s="828">
        <v>0</v>
      </c>
      <c r="BD39" s="828">
        <v>0</v>
      </c>
      <c r="BE39" s="828">
        <v>0</v>
      </c>
      <c r="BF39" s="828">
        <v>0</v>
      </c>
      <c r="BG39" s="828">
        <v>0</v>
      </c>
      <c r="BH39" s="828">
        <v>0</v>
      </c>
      <c r="BI39" s="828">
        <v>0</v>
      </c>
      <c r="BJ39" s="828">
        <v>0</v>
      </c>
    </row>
    <row r="40" spans="1:62" ht="51">
      <c r="A40" s="823" t="s">
        <v>1884</v>
      </c>
      <c r="B40" s="823" t="s">
        <v>1885</v>
      </c>
      <c r="C40" s="826" t="s">
        <v>1886</v>
      </c>
      <c r="D40" s="824" t="s">
        <v>1887</v>
      </c>
      <c r="E40" s="824"/>
      <c r="F40" s="824" t="s">
        <v>1888</v>
      </c>
      <c r="G40" s="824"/>
      <c r="H40" s="824" t="s">
        <v>1889</v>
      </c>
      <c r="I40" s="824" t="s">
        <v>1890</v>
      </c>
      <c r="J40" s="824" t="s">
        <v>1891</v>
      </c>
      <c r="K40" s="824" t="s">
        <v>1892</v>
      </c>
      <c r="L40" s="824" t="s">
        <v>1893</v>
      </c>
      <c r="M40" s="826" t="s">
        <v>1894</v>
      </c>
      <c r="N40" s="824" t="s">
        <v>1895</v>
      </c>
      <c r="O40" s="824" t="s">
        <v>1896</v>
      </c>
      <c r="P40" s="824" t="s">
        <v>1897</v>
      </c>
      <c r="Q40" s="824" t="s">
        <v>1898</v>
      </c>
      <c r="R40" s="824"/>
      <c r="S40" s="824"/>
      <c r="T40" s="824"/>
      <c r="U40" s="824"/>
      <c r="V40" s="824"/>
      <c r="W40" s="824"/>
      <c r="X40" s="824"/>
      <c r="Y40" s="824"/>
      <c r="Z40" s="824"/>
      <c r="AA40" s="824"/>
      <c r="AB40" s="824"/>
      <c r="AC40" s="824"/>
      <c r="AD40" s="824"/>
      <c r="AE40" s="824"/>
      <c r="AF40" s="824"/>
      <c r="AG40" s="828">
        <v>4.2</v>
      </c>
      <c r="AH40" s="828">
        <v>5.5</v>
      </c>
      <c r="AI40" s="828">
        <v>0</v>
      </c>
      <c r="AJ40" s="828">
        <v>3.6</v>
      </c>
      <c r="AK40" s="828">
        <v>0</v>
      </c>
      <c r="AL40" s="828">
        <v>0</v>
      </c>
      <c r="AM40" s="828">
        <v>0</v>
      </c>
      <c r="AN40" s="828">
        <v>0</v>
      </c>
      <c r="AO40" s="828">
        <v>0</v>
      </c>
      <c r="AP40" s="828">
        <v>2.2999999999999998</v>
      </c>
      <c r="AQ40" s="828">
        <v>1.8</v>
      </c>
      <c r="AR40" s="828">
        <v>3.2</v>
      </c>
      <c r="AS40" s="828">
        <v>1.6</v>
      </c>
      <c r="AT40" s="828">
        <v>0</v>
      </c>
      <c r="AU40" s="828">
        <v>0</v>
      </c>
      <c r="AV40" s="828">
        <v>0</v>
      </c>
      <c r="AW40" s="828">
        <v>0</v>
      </c>
      <c r="AX40" s="828">
        <v>0</v>
      </c>
      <c r="AY40" s="828">
        <v>0</v>
      </c>
      <c r="AZ40" s="828">
        <v>0</v>
      </c>
      <c r="BA40" s="828">
        <v>0</v>
      </c>
      <c r="BB40" s="828">
        <v>0</v>
      </c>
      <c r="BC40" s="828">
        <v>0</v>
      </c>
      <c r="BD40" s="828">
        <v>0</v>
      </c>
      <c r="BE40" s="828">
        <v>0</v>
      </c>
      <c r="BF40" s="828">
        <v>0</v>
      </c>
      <c r="BG40" s="828">
        <v>0</v>
      </c>
      <c r="BH40" s="828">
        <v>0</v>
      </c>
      <c r="BI40" s="828">
        <v>0</v>
      </c>
      <c r="BJ40" s="828">
        <v>0</v>
      </c>
    </row>
    <row r="41" spans="1:62">
      <c r="A41" s="823" t="s">
        <v>1899</v>
      </c>
      <c r="B41" s="823" t="s">
        <v>1900</v>
      </c>
      <c r="C41" s="824" t="s">
        <v>1901</v>
      </c>
      <c r="D41" s="826"/>
      <c r="E41" s="824"/>
      <c r="F41" s="824"/>
      <c r="G41" s="824"/>
      <c r="H41" s="824"/>
      <c r="I41" s="824"/>
      <c r="J41" s="824"/>
      <c r="K41" s="824"/>
      <c r="L41" s="824"/>
      <c r="M41" s="824"/>
      <c r="N41" s="824"/>
      <c r="O41" s="824"/>
      <c r="P41" s="824"/>
      <c r="Q41" s="824"/>
      <c r="R41" s="824"/>
      <c r="S41" s="824"/>
      <c r="T41" s="824"/>
      <c r="U41" s="824"/>
      <c r="V41" s="824"/>
      <c r="W41" s="824"/>
      <c r="X41" s="824"/>
      <c r="Y41" s="824"/>
      <c r="Z41" s="824"/>
      <c r="AA41" s="824"/>
      <c r="AB41" s="824"/>
      <c r="AC41" s="824"/>
      <c r="AD41" s="824"/>
      <c r="AE41" s="824"/>
      <c r="AF41" s="824"/>
      <c r="AG41" s="828">
        <v>2.5</v>
      </c>
      <c r="AH41" s="828">
        <v>0</v>
      </c>
      <c r="AI41" s="828">
        <v>0</v>
      </c>
      <c r="AJ41" s="828">
        <v>0</v>
      </c>
      <c r="AK41" s="828">
        <v>0</v>
      </c>
      <c r="AL41" s="828">
        <v>0</v>
      </c>
      <c r="AM41" s="828">
        <v>0</v>
      </c>
      <c r="AN41" s="828">
        <v>0</v>
      </c>
      <c r="AO41" s="828">
        <v>0</v>
      </c>
      <c r="AP41" s="828">
        <v>0</v>
      </c>
      <c r="AQ41" s="828">
        <v>0</v>
      </c>
      <c r="AR41" s="828">
        <v>0</v>
      </c>
      <c r="AS41" s="828">
        <v>0</v>
      </c>
      <c r="AT41" s="828">
        <v>0</v>
      </c>
      <c r="AU41" s="828">
        <v>0</v>
      </c>
      <c r="AV41" s="828">
        <v>0</v>
      </c>
      <c r="AW41" s="828">
        <v>0</v>
      </c>
      <c r="AX41" s="828">
        <v>0</v>
      </c>
      <c r="AY41" s="828">
        <v>0</v>
      </c>
      <c r="AZ41" s="828">
        <v>0</v>
      </c>
      <c r="BA41" s="828">
        <v>0</v>
      </c>
      <c r="BB41" s="828">
        <v>0</v>
      </c>
      <c r="BC41" s="828">
        <v>0</v>
      </c>
      <c r="BD41" s="828">
        <v>0</v>
      </c>
      <c r="BE41" s="828">
        <v>0</v>
      </c>
      <c r="BF41" s="828">
        <v>0</v>
      </c>
      <c r="BG41" s="828">
        <v>0</v>
      </c>
      <c r="BH41" s="828">
        <v>0</v>
      </c>
      <c r="BI41" s="828">
        <v>0</v>
      </c>
      <c r="BJ41" s="828">
        <v>0</v>
      </c>
    </row>
    <row r="42" spans="1:62" ht="38.25">
      <c r="A42" s="823" t="s">
        <v>1902</v>
      </c>
      <c r="B42" s="823" t="s">
        <v>1903</v>
      </c>
      <c r="C42" s="824" t="s">
        <v>1904</v>
      </c>
      <c r="D42" s="824" t="s">
        <v>1905</v>
      </c>
      <c r="E42" s="824"/>
      <c r="F42" s="824"/>
      <c r="G42" s="824"/>
      <c r="H42" s="824"/>
      <c r="I42" s="824"/>
      <c r="J42" s="824"/>
      <c r="K42" s="824"/>
      <c r="L42" s="824"/>
      <c r="M42" s="824"/>
      <c r="N42" s="824"/>
      <c r="O42" s="824"/>
      <c r="P42" s="824"/>
      <c r="Q42" s="824"/>
      <c r="R42" s="824"/>
      <c r="S42" s="824"/>
      <c r="T42" s="824"/>
      <c r="U42" s="824"/>
      <c r="V42" s="824"/>
      <c r="W42" s="824"/>
      <c r="X42" s="824"/>
      <c r="Y42" s="824"/>
      <c r="Z42" s="824"/>
      <c r="AA42" s="824"/>
      <c r="AB42" s="824"/>
      <c r="AC42" s="824"/>
      <c r="AD42" s="824"/>
      <c r="AE42" s="824"/>
      <c r="AF42" s="824"/>
      <c r="AG42" s="828">
        <v>3.3</v>
      </c>
      <c r="AH42" s="828">
        <v>4.0999999999999996</v>
      </c>
      <c r="AI42" s="828">
        <v>0</v>
      </c>
      <c r="AJ42" s="828">
        <v>0</v>
      </c>
      <c r="AK42" s="828">
        <v>0</v>
      </c>
      <c r="AL42" s="828">
        <v>0</v>
      </c>
      <c r="AM42" s="828">
        <v>0</v>
      </c>
      <c r="AN42" s="828">
        <v>0</v>
      </c>
      <c r="AO42" s="828">
        <v>0</v>
      </c>
      <c r="AP42" s="828">
        <v>0</v>
      </c>
      <c r="AQ42" s="828">
        <v>0</v>
      </c>
      <c r="AR42" s="828">
        <v>0</v>
      </c>
      <c r="AS42" s="828">
        <v>0</v>
      </c>
      <c r="AT42" s="828">
        <v>0</v>
      </c>
      <c r="AU42" s="828">
        <v>0</v>
      </c>
      <c r="AV42" s="828">
        <v>0</v>
      </c>
      <c r="AW42" s="828">
        <v>0</v>
      </c>
      <c r="AX42" s="828">
        <v>0</v>
      </c>
      <c r="AY42" s="828">
        <v>0</v>
      </c>
      <c r="AZ42" s="828">
        <v>0</v>
      </c>
      <c r="BA42" s="828">
        <v>0</v>
      </c>
      <c r="BB42" s="828">
        <v>0</v>
      </c>
      <c r="BC42" s="828">
        <v>0</v>
      </c>
      <c r="BD42" s="828">
        <v>0</v>
      </c>
      <c r="BE42" s="828">
        <v>0</v>
      </c>
      <c r="BF42" s="828">
        <v>0</v>
      </c>
      <c r="BG42" s="828">
        <v>0</v>
      </c>
      <c r="BH42" s="828">
        <v>0</v>
      </c>
      <c r="BI42" s="828">
        <v>0</v>
      </c>
      <c r="BJ42" s="828">
        <v>0</v>
      </c>
    </row>
    <row r="43" spans="1:62" ht="25.5">
      <c r="A43" s="823" t="s">
        <v>1906</v>
      </c>
      <c r="B43" s="823" t="s">
        <v>1907</v>
      </c>
      <c r="C43" s="824" t="s">
        <v>1908</v>
      </c>
      <c r="D43" s="824" t="s">
        <v>1909</v>
      </c>
      <c r="E43" s="824"/>
      <c r="F43" s="824"/>
      <c r="G43" s="824"/>
      <c r="H43" s="824"/>
      <c r="I43" s="824"/>
      <c r="J43" s="824"/>
      <c r="K43" s="824"/>
      <c r="L43" s="824"/>
      <c r="M43" s="824"/>
      <c r="N43" s="824"/>
      <c r="O43" s="824"/>
      <c r="P43" s="824"/>
      <c r="Q43" s="824"/>
      <c r="R43" s="824"/>
      <c r="S43" s="824"/>
      <c r="T43" s="824"/>
      <c r="U43" s="824"/>
      <c r="V43" s="824"/>
      <c r="W43" s="824"/>
      <c r="X43" s="824"/>
      <c r="Y43" s="824"/>
      <c r="Z43" s="824"/>
      <c r="AA43" s="824"/>
      <c r="AB43" s="824"/>
      <c r="AC43" s="824"/>
      <c r="AD43" s="824"/>
      <c r="AE43" s="824"/>
      <c r="AF43" s="824"/>
      <c r="AG43" s="828">
        <v>31.1</v>
      </c>
      <c r="AH43" s="828">
        <v>5.2</v>
      </c>
      <c r="AI43" s="828">
        <v>0</v>
      </c>
      <c r="AJ43" s="828">
        <v>0</v>
      </c>
      <c r="AK43" s="828">
        <v>0</v>
      </c>
      <c r="AL43" s="828">
        <v>0</v>
      </c>
      <c r="AM43" s="828">
        <v>0</v>
      </c>
      <c r="AN43" s="828">
        <v>0</v>
      </c>
      <c r="AO43" s="828">
        <v>0</v>
      </c>
      <c r="AP43" s="828">
        <v>0</v>
      </c>
      <c r="AQ43" s="828">
        <v>0</v>
      </c>
      <c r="AR43" s="828">
        <v>0</v>
      </c>
      <c r="AS43" s="828">
        <v>0</v>
      </c>
      <c r="AT43" s="828">
        <v>0</v>
      </c>
      <c r="AU43" s="828">
        <v>0</v>
      </c>
      <c r="AV43" s="828">
        <v>0</v>
      </c>
      <c r="AW43" s="828">
        <v>0</v>
      </c>
      <c r="AX43" s="828">
        <v>0</v>
      </c>
      <c r="AY43" s="828">
        <v>0</v>
      </c>
      <c r="AZ43" s="828">
        <v>0</v>
      </c>
      <c r="BA43" s="828">
        <v>0</v>
      </c>
      <c r="BB43" s="828">
        <v>0</v>
      </c>
      <c r="BC43" s="828">
        <v>0</v>
      </c>
      <c r="BD43" s="828">
        <v>0</v>
      </c>
      <c r="BE43" s="828">
        <v>0</v>
      </c>
      <c r="BF43" s="828">
        <v>0</v>
      </c>
      <c r="BG43" s="828">
        <v>0</v>
      </c>
      <c r="BH43" s="828">
        <v>0</v>
      </c>
      <c r="BI43" s="828">
        <v>0</v>
      </c>
      <c r="BJ43" s="828">
        <v>0</v>
      </c>
    </row>
    <row r="44" spans="1:62" ht="51">
      <c r="A44" s="823" t="s">
        <v>1906</v>
      </c>
      <c r="B44" s="823" t="s">
        <v>1910</v>
      </c>
      <c r="C44" s="826" t="s">
        <v>1911</v>
      </c>
      <c r="D44" s="824" t="s">
        <v>1912</v>
      </c>
      <c r="E44" s="824" t="s">
        <v>1913</v>
      </c>
      <c r="F44" s="824"/>
      <c r="G44" s="826" t="s">
        <v>1914</v>
      </c>
      <c r="H44" s="824"/>
      <c r="I44" s="824"/>
      <c r="J44" s="824"/>
      <c r="K44" s="824"/>
      <c r="L44" s="824"/>
      <c r="M44" s="824"/>
      <c r="N44" s="824"/>
      <c r="O44" s="824"/>
      <c r="P44" s="824"/>
      <c r="Q44" s="824"/>
      <c r="R44" s="824"/>
      <c r="S44" s="824"/>
      <c r="T44" s="824"/>
      <c r="U44" s="824"/>
      <c r="V44" s="824"/>
      <c r="W44" s="824"/>
      <c r="X44" s="824"/>
      <c r="Y44" s="824"/>
      <c r="Z44" s="824"/>
      <c r="AA44" s="824"/>
      <c r="AB44" s="824"/>
      <c r="AC44" s="824"/>
      <c r="AD44" s="824"/>
      <c r="AE44" s="824"/>
      <c r="AF44" s="824"/>
      <c r="AG44" s="828">
        <v>2.7</v>
      </c>
      <c r="AH44" s="828">
        <v>2.2000000000000002</v>
      </c>
      <c r="AI44" s="828">
        <v>1.6</v>
      </c>
      <c r="AJ44" s="828">
        <v>0</v>
      </c>
      <c r="AK44" s="828">
        <v>2.7</v>
      </c>
      <c r="AL44" s="828">
        <v>0</v>
      </c>
      <c r="AM44" s="828">
        <v>0</v>
      </c>
      <c r="AN44" s="828">
        <v>0</v>
      </c>
      <c r="AO44" s="828">
        <v>0</v>
      </c>
      <c r="AP44" s="828">
        <v>0</v>
      </c>
      <c r="AQ44" s="828">
        <v>0</v>
      </c>
      <c r="AR44" s="828">
        <v>0</v>
      </c>
      <c r="AS44" s="828">
        <v>0</v>
      </c>
      <c r="AT44" s="828">
        <v>0</v>
      </c>
      <c r="AU44" s="828">
        <v>0</v>
      </c>
      <c r="AV44" s="828">
        <v>0</v>
      </c>
      <c r="AW44" s="828">
        <v>0</v>
      </c>
      <c r="AX44" s="828">
        <v>0</v>
      </c>
      <c r="AY44" s="828">
        <v>0</v>
      </c>
      <c r="AZ44" s="828">
        <v>0</v>
      </c>
      <c r="BA44" s="828">
        <v>0</v>
      </c>
      <c r="BB44" s="828">
        <v>0</v>
      </c>
      <c r="BC44" s="828">
        <v>0</v>
      </c>
      <c r="BD44" s="828">
        <v>0</v>
      </c>
      <c r="BE44" s="828">
        <v>0</v>
      </c>
      <c r="BF44" s="828">
        <v>0</v>
      </c>
      <c r="BG44" s="828">
        <v>0</v>
      </c>
      <c r="BH44" s="828">
        <v>0</v>
      </c>
      <c r="BI44" s="828">
        <v>0</v>
      </c>
      <c r="BJ44" s="828">
        <v>0</v>
      </c>
    </row>
    <row r="45" spans="1:62" ht="38.25">
      <c r="A45" s="823" t="s">
        <v>1915</v>
      </c>
      <c r="B45" s="823" t="s">
        <v>1916</v>
      </c>
      <c r="C45" s="826" t="s">
        <v>1917</v>
      </c>
      <c r="D45" s="824"/>
      <c r="E45" s="824"/>
      <c r="F45" s="824" t="s">
        <v>1918</v>
      </c>
      <c r="G45" s="826" t="s">
        <v>1919</v>
      </c>
      <c r="H45" s="824" t="s">
        <v>1920</v>
      </c>
      <c r="I45" s="824"/>
      <c r="J45" s="824"/>
      <c r="K45" s="824"/>
      <c r="L45" s="824"/>
      <c r="M45" s="824"/>
      <c r="N45" s="824"/>
      <c r="O45" s="824"/>
      <c r="P45" s="824"/>
      <c r="Q45" s="824"/>
      <c r="R45" s="824"/>
      <c r="S45" s="824"/>
      <c r="T45" s="824"/>
      <c r="U45" s="824"/>
      <c r="V45" s="824"/>
      <c r="W45" s="824"/>
      <c r="X45" s="824"/>
      <c r="Y45" s="824"/>
      <c r="Z45" s="824"/>
      <c r="AA45" s="824"/>
      <c r="AB45" s="824"/>
      <c r="AC45" s="824"/>
      <c r="AD45" s="824"/>
      <c r="AE45" s="824"/>
      <c r="AF45" s="824"/>
      <c r="AG45" s="828">
        <v>4</v>
      </c>
      <c r="AH45" s="828">
        <v>0</v>
      </c>
      <c r="AI45" s="828">
        <v>0</v>
      </c>
      <c r="AJ45" s="828">
        <v>3.2</v>
      </c>
      <c r="AK45" s="828">
        <v>2</v>
      </c>
      <c r="AL45" s="828">
        <v>2.2999999999999998</v>
      </c>
      <c r="AM45" s="828">
        <v>0</v>
      </c>
      <c r="AN45" s="828">
        <v>0</v>
      </c>
      <c r="AO45" s="828">
        <v>0</v>
      </c>
      <c r="AP45" s="828">
        <v>0</v>
      </c>
      <c r="AQ45" s="828">
        <v>0</v>
      </c>
      <c r="AR45" s="828">
        <v>0</v>
      </c>
      <c r="AS45" s="828">
        <v>0</v>
      </c>
      <c r="AT45" s="828">
        <v>0</v>
      </c>
      <c r="AU45" s="828">
        <v>0</v>
      </c>
      <c r="AV45" s="828">
        <v>0</v>
      </c>
      <c r="AW45" s="828">
        <v>0</v>
      </c>
      <c r="AX45" s="828">
        <v>0</v>
      </c>
      <c r="AY45" s="828">
        <v>0</v>
      </c>
      <c r="AZ45" s="828">
        <v>0</v>
      </c>
      <c r="BA45" s="828">
        <v>0</v>
      </c>
      <c r="BB45" s="828">
        <v>0</v>
      </c>
      <c r="BC45" s="828">
        <v>0</v>
      </c>
      <c r="BD45" s="828">
        <v>0</v>
      </c>
      <c r="BE45" s="828">
        <v>0</v>
      </c>
      <c r="BF45" s="828">
        <v>0</v>
      </c>
      <c r="BG45" s="828">
        <v>0</v>
      </c>
      <c r="BH45" s="828">
        <v>0</v>
      </c>
      <c r="BI45" s="828">
        <v>0</v>
      </c>
      <c r="BJ45" s="828">
        <v>0</v>
      </c>
    </row>
    <row r="46" spans="1:62" ht="63.75">
      <c r="A46" s="823" t="s">
        <v>1921</v>
      </c>
      <c r="B46" s="823" t="s">
        <v>1922</v>
      </c>
      <c r="C46" s="824"/>
      <c r="D46" s="826" t="s">
        <v>1923</v>
      </c>
      <c r="E46" s="824"/>
      <c r="F46" s="824"/>
      <c r="G46" s="824"/>
      <c r="H46" s="824" t="s">
        <v>1924</v>
      </c>
      <c r="I46" s="824"/>
      <c r="J46" s="824"/>
      <c r="K46" s="824"/>
      <c r="L46" s="824"/>
      <c r="M46" s="824"/>
      <c r="N46" s="824"/>
      <c r="O46" s="824"/>
      <c r="P46" s="824"/>
      <c r="Q46" s="824"/>
      <c r="R46" s="824"/>
      <c r="S46" s="824"/>
      <c r="T46" s="824"/>
      <c r="U46" s="824"/>
      <c r="V46" s="824"/>
      <c r="W46" s="824"/>
      <c r="X46" s="824"/>
      <c r="Y46" s="824"/>
      <c r="Z46" s="824"/>
      <c r="AA46" s="824"/>
      <c r="AB46" s="824"/>
      <c r="AC46" s="824"/>
      <c r="AD46" s="824"/>
      <c r="AE46" s="824"/>
      <c r="AF46" s="824"/>
      <c r="AG46" s="828">
        <v>0</v>
      </c>
      <c r="AH46" s="828">
        <v>8.4</v>
      </c>
      <c r="AI46" s="828">
        <v>0</v>
      </c>
      <c r="AJ46" s="828">
        <v>0</v>
      </c>
      <c r="AK46" s="828">
        <v>0</v>
      </c>
      <c r="AL46" s="828">
        <v>0</v>
      </c>
      <c r="AM46" s="828">
        <v>0</v>
      </c>
      <c r="AN46" s="828">
        <v>0</v>
      </c>
      <c r="AO46" s="828">
        <v>0</v>
      </c>
      <c r="AP46" s="828">
        <v>0</v>
      </c>
      <c r="AQ46" s="828">
        <v>0</v>
      </c>
      <c r="AR46" s="828">
        <v>0</v>
      </c>
      <c r="AS46" s="828">
        <v>0</v>
      </c>
      <c r="AT46" s="828">
        <v>0</v>
      </c>
      <c r="AU46" s="828">
        <v>0</v>
      </c>
      <c r="AV46" s="828">
        <v>0</v>
      </c>
      <c r="AW46" s="828">
        <v>0</v>
      </c>
      <c r="AX46" s="828">
        <v>0</v>
      </c>
      <c r="AY46" s="828">
        <v>0</v>
      </c>
      <c r="AZ46" s="828">
        <v>0</v>
      </c>
      <c r="BA46" s="828">
        <v>0</v>
      </c>
      <c r="BB46" s="828">
        <v>0</v>
      </c>
      <c r="BC46" s="828">
        <v>0</v>
      </c>
      <c r="BD46" s="828">
        <v>0</v>
      </c>
      <c r="BE46" s="828">
        <v>0</v>
      </c>
      <c r="BF46" s="828">
        <v>0</v>
      </c>
      <c r="BG46" s="828">
        <v>0</v>
      </c>
      <c r="BH46" s="828">
        <v>0</v>
      </c>
      <c r="BI46" s="828">
        <v>0</v>
      </c>
      <c r="BJ46" s="828">
        <v>0</v>
      </c>
    </row>
    <row r="47" spans="1:62" ht="38.25">
      <c r="A47" s="823" t="s">
        <v>1921</v>
      </c>
      <c r="B47" s="823" t="s">
        <v>1925</v>
      </c>
      <c r="C47" s="826" t="s">
        <v>1926</v>
      </c>
      <c r="D47" s="824"/>
      <c r="E47" s="824"/>
      <c r="F47" s="824"/>
      <c r="G47" s="824"/>
      <c r="H47" s="824"/>
      <c r="I47" s="824"/>
      <c r="J47" s="824"/>
      <c r="K47" s="824"/>
      <c r="L47" s="824"/>
      <c r="M47" s="824"/>
      <c r="N47" s="824"/>
      <c r="O47" s="824"/>
      <c r="P47" s="824"/>
      <c r="Q47" s="824"/>
      <c r="R47" s="824"/>
      <c r="S47" s="824"/>
      <c r="T47" s="824"/>
      <c r="U47" s="824"/>
      <c r="V47" s="824"/>
      <c r="W47" s="824"/>
      <c r="X47" s="824"/>
      <c r="Y47" s="824"/>
      <c r="Z47" s="824"/>
      <c r="AA47" s="824"/>
      <c r="AB47" s="824"/>
      <c r="AC47" s="824"/>
      <c r="AD47" s="824"/>
      <c r="AE47" s="824"/>
      <c r="AF47" s="824"/>
      <c r="AG47" s="828">
        <v>7.5</v>
      </c>
      <c r="AH47" s="828">
        <v>0</v>
      </c>
      <c r="AI47" s="828">
        <v>0</v>
      </c>
      <c r="AJ47" s="828">
        <v>0</v>
      </c>
      <c r="AK47" s="828">
        <v>0</v>
      </c>
      <c r="AL47" s="828">
        <v>0</v>
      </c>
      <c r="AM47" s="828">
        <v>0</v>
      </c>
      <c r="AN47" s="828">
        <v>0</v>
      </c>
      <c r="AO47" s="828">
        <v>0</v>
      </c>
      <c r="AP47" s="828">
        <v>0</v>
      </c>
      <c r="AQ47" s="828">
        <v>0</v>
      </c>
      <c r="AR47" s="828">
        <v>0</v>
      </c>
      <c r="AS47" s="828">
        <v>0</v>
      </c>
      <c r="AT47" s="828">
        <v>0</v>
      </c>
      <c r="AU47" s="828">
        <v>0</v>
      </c>
      <c r="AV47" s="828">
        <v>0</v>
      </c>
      <c r="AW47" s="828">
        <v>0</v>
      </c>
      <c r="AX47" s="828">
        <v>0</v>
      </c>
      <c r="AY47" s="828">
        <v>0</v>
      </c>
      <c r="AZ47" s="828">
        <v>0</v>
      </c>
      <c r="BA47" s="828">
        <v>0</v>
      </c>
      <c r="BB47" s="828">
        <v>0</v>
      </c>
      <c r="BC47" s="828">
        <v>0</v>
      </c>
      <c r="BD47" s="828">
        <v>0</v>
      </c>
      <c r="BE47" s="828">
        <v>0</v>
      </c>
      <c r="BF47" s="828">
        <v>0</v>
      </c>
      <c r="BG47" s="828">
        <v>0</v>
      </c>
      <c r="BH47" s="828">
        <v>0</v>
      </c>
      <c r="BI47" s="828">
        <v>0</v>
      </c>
      <c r="BJ47" s="828">
        <v>0</v>
      </c>
    </row>
    <row r="48" spans="1:62" ht="25.5">
      <c r="A48" s="823" t="s">
        <v>1927</v>
      </c>
      <c r="B48" s="823" t="s">
        <v>1928</v>
      </c>
      <c r="C48" s="826" t="s">
        <v>1929</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8">
        <v>2.8</v>
      </c>
      <c r="AH48" s="828">
        <v>0</v>
      </c>
      <c r="AI48" s="828">
        <v>0</v>
      </c>
      <c r="AJ48" s="828">
        <v>0</v>
      </c>
      <c r="AK48" s="828">
        <v>0</v>
      </c>
      <c r="AL48" s="828">
        <v>0</v>
      </c>
      <c r="AM48" s="828">
        <v>0</v>
      </c>
      <c r="AN48" s="828">
        <v>0</v>
      </c>
      <c r="AO48" s="828">
        <v>0</v>
      </c>
      <c r="AP48" s="828">
        <v>0</v>
      </c>
      <c r="AQ48" s="828">
        <v>0</v>
      </c>
      <c r="AR48" s="828">
        <v>0</v>
      </c>
      <c r="AS48" s="828">
        <v>0</v>
      </c>
      <c r="AT48" s="828">
        <v>0</v>
      </c>
      <c r="AU48" s="828">
        <v>0</v>
      </c>
      <c r="AV48" s="828">
        <v>0</v>
      </c>
      <c r="AW48" s="828">
        <v>0</v>
      </c>
      <c r="AX48" s="828">
        <v>0</v>
      </c>
      <c r="AY48" s="828">
        <v>0</v>
      </c>
      <c r="AZ48" s="828">
        <v>0</v>
      </c>
      <c r="BA48" s="828">
        <v>0</v>
      </c>
      <c r="BB48" s="828">
        <v>0</v>
      </c>
      <c r="BC48" s="828">
        <v>0</v>
      </c>
      <c r="BD48" s="828">
        <v>0</v>
      </c>
      <c r="BE48" s="828">
        <v>0</v>
      </c>
      <c r="BF48" s="828">
        <v>0</v>
      </c>
      <c r="BG48" s="828">
        <v>0</v>
      </c>
      <c r="BH48" s="828">
        <v>0</v>
      </c>
      <c r="BI48" s="828">
        <v>0</v>
      </c>
      <c r="BJ48" s="828">
        <v>0</v>
      </c>
    </row>
    <row r="49" spans="1:62" ht="51">
      <c r="A49" s="823" t="s">
        <v>1930</v>
      </c>
      <c r="B49" s="823" t="s">
        <v>1931</v>
      </c>
      <c r="C49" s="824"/>
      <c r="D49" s="824"/>
      <c r="E49" s="824"/>
      <c r="F49" s="826" t="s">
        <v>1932</v>
      </c>
      <c r="G49" s="824" t="s">
        <v>1933</v>
      </c>
      <c r="H49" s="824"/>
      <c r="I49" s="824"/>
      <c r="J49" s="824"/>
      <c r="K49" s="824"/>
      <c r="L49" s="824"/>
      <c r="M49" s="824"/>
      <c r="N49" s="824"/>
      <c r="O49" s="824"/>
      <c r="P49" s="824"/>
      <c r="Q49" s="824"/>
      <c r="R49" s="824"/>
      <c r="S49" s="824"/>
      <c r="T49" s="824"/>
      <c r="U49" s="824"/>
      <c r="V49" s="824"/>
      <c r="W49" s="824"/>
      <c r="X49" s="824"/>
      <c r="Y49" s="824"/>
      <c r="Z49" s="824"/>
      <c r="AA49" s="824"/>
      <c r="AB49" s="824"/>
      <c r="AC49" s="824"/>
      <c r="AD49" s="824"/>
      <c r="AE49" s="824"/>
      <c r="AF49" s="824"/>
      <c r="AG49" s="828">
        <v>0</v>
      </c>
      <c r="AH49" s="828">
        <v>0</v>
      </c>
      <c r="AI49" s="828">
        <v>0</v>
      </c>
      <c r="AJ49" s="828">
        <v>4.2</v>
      </c>
      <c r="AK49" s="828">
        <v>2.9</v>
      </c>
      <c r="AL49" s="828">
        <v>0</v>
      </c>
      <c r="AM49" s="828">
        <v>0</v>
      </c>
      <c r="AN49" s="828">
        <v>0</v>
      </c>
      <c r="AO49" s="828">
        <v>0</v>
      </c>
      <c r="AP49" s="828">
        <v>0</v>
      </c>
      <c r="AQ49" s="828">
        <v>0</v>
      </c>
      <c r="AR49" s="828">
        <v>0</v>
      </c>
      <c r="AS49" s="828">
        <v>0</v>
      </c>
      <c r="AT49" s="828">
        <v>0</v>
      </c>
      <c r="AU49" s="828">
        <v>0</v>
      </c>
      <c r="AV49" s="828">
        <v>0</v>
      </c>
      <c r="AW49" s="828">
        <v>0</v>
      </c>
      <c r="AX49" s="828">
        <v>0</v>
      </c>
      <c r="AY49" s="828">
        <v>0</v>
      </c>
      <c r="AZ49" s="828">
        <v>0</v>
      </c>
      <c r="BA49" s="828">
        <v>0</v>
      </c>
      <c r="BB49" s="828">
        <v>0</v>
      </c>
      <c r="BC49" s="828">
        <v>0</v>
      </c>
      <c r="BD49" s="828">
        <v>0</v>
      </c>
      <c r="BE49" s="828">
        <v>0</v>
      </c>
      <c r="BF49" s="828">
        <v>0</v>
      </c>
      <c r="BG49" s="828">
        <v>0</v>
      </c>
      <c r="BH49" s="828">
        <v>0</v>
      </c>
      <c r="BI49" s="828">
        <v>0</v>
      </c>
      <c r="BJ49" s="828">
        <v>0</v>
      </c>
    </row>
    <row r="50" spans="1:62" ht="76.5">
      <c r="A50" s="823" t="s">
        <v>1930</v>
      </c>
      <c r="B50" s="823" t="s">
        <v>1934</v>
      </c>
      <c r="C50" s="826" t="s">
        <v>1935</v>
      </c>
      <c r="D50" s="824"/>
      <c r="E50" s="824"/>
      <c r="F50" s="824"/>
      <c r="G50" s="824"/>
      <c r="H50" s="824"/>
      <c r="I50" s="824"/>
      <c r="J50" s="824"/>
      <c r="K50" s="824"/>
      <c r="L50" s="824"/>
      <c r="M50" s="824"/>
      <c r="N50" s="824"/>
      <c r="O50" s="824"/>
      <c r="P50" s="824"/>
      <c r="Q50" s="824"/>
      <c r="R50" s="824"/>
      <c r="S50" s="824"/>
      <c r="T50" s="824"/>
      <c r="U50" s="824"/>
      <c r="V50" s="824"/>
      <c r="W50" s="824"/>
      <c r="X50" s="824"/>
      <c r="Y50" s="824"/>
      <c r="Z50" s="824"/>
      <c r="AA50" s="824"/>
      <c r="AB50" s="824"/>
      <c r="AC50" s="824"/>
      <c r="AD50" s="824"/>
      <c r="AE50" s="824"/>
      <c r="AF50" s="824"/>
      <c r="AG50" s="828">
        <v>3.1</v>
      </c>
      <c r="AH50" s="828">
        <v>0</v>
      </c>
      <c r="AI50" s="828">
        <v>0</v>
      </c>
      <c r="AJ50" s="828">
        <v>0</v>
      </c>
      <c r="AK50" s="828">
        <v>0</v>
      </c>
      <c r="AL50" s="828">
        <v>0</v>
      </c>
      <c r="AM50" s="828">
        <v>0</v>
      </c>
      <c r="AN50" s="828">
        <v>0</v>
      </c>
      <c r="AO50" s="828">
        <v>0</v>
      </c>
      <c r="AP50" s="828">
        <v>0</v>
      </c>
      <c r="AQ50" s="828">
        <v>0</v>
      </c>
      <c r="AR50" s="828">
        <v>0</v>
      </c>
      <c r="AS50" s="828">
        <v>0</v>
      </c>
      <c r="AT50" s="828">
        <v>0</v>
      </c>
      <c r="AU50" s="828">
        <v>0</v>
      </c>
      <c r="AV50" s="828">
        <v>0</v>
      </c>
      <c r="AW50" s="828">
        <v>0</v>
      </c>
      <c r="AX50" s="828">
        <v>0</v>
      </c>
      <c r="AY50" s="828">
        <v>0</v>
      </c>
      <c r="AZ50" s="828">
        <v>0</v>
      </c>
      <c r="BA50" s="828">
        <v>0</v>
      </c>
      <c r="BB50" s="828">
        <v>0</v>
      </c>
      <c r="BC50" s="828">
        <v>0</v>
      </c>
      <c r="BD50" s="828">
        <v>0</v>
      </c>
      <c r="BE50" s="828">
        <v>0</v>
      </c>
      <c r="BF50" s="828">
        <v>0</v>
      </c>
      <c r="BG50" s="828">
        <v>0</v>
      </c>
      <c r="BH50" s="828">
        <v>0</v>
      </c>
      <c r="BI50" s="828">
        <v>0</v>
      </c>
      <c r="BJ50" s="828">
        <v>0</v>
      </c>
    </row>
    <row r="51" spans="1:62" ht="89.25">
      <c r="A51" s="823" t="s">
        <v>1930</v>
      </c>
      <c r="B51" s="823" t="s">
        <v>1936</v>
      </c>
      <c r="C51" s="826" t="s">
        <v>1937</v>
      </c>
      <c r="D51" s="824"/>
      <c r="E51" s="824"/>
      <c r="F51" s="824"/>
      <c r="G51" s="824"/>
      <c r="H51" s="824"/>
      <c r="I51" s="824"/>
      <c r="J51" s="824"/>
      <c r="K51" s="824"/>
      <c r="L51" s="824"/>
      <c r="M51" s="824"/>
      <c r="N51" s="824"/>
      <c r="O51" s="824"/>
      <c r="P51" s="824"/>
      <c r="Q51" s="824"/>
      <c r="R51" s="824"/>
      <c r="S51" s="824"/>
      <c r="T51" s="824"/>
      <c r="U51" s="824"/>
      <c r="V51" s="824"/>
      <c r="W51" s="824"/>
      <c r="X51" s="824"/>
      <c r="Y51" s="824"/>
      <c r="Z51" s="824"/>
      <c r="AA51" s="824"/>
      <c r="AB51" s="824"/>
      <c r="AC51" s="824"/>
      <c r="AD51" s="824"/>
      <c r="AE51" s="824"/>
      <c r="AF51" s="824"/>
      <c r="AG51" s="828">
        <v>4.5999999999999996</v>
      </c>
      <c r="AH51" s="828">
        <v>0</v>
      </c>
      <c r="AI51" s="828">
        <v>0</v>
      </c>
      <c r="AJ51" s="828">
        <v>0</v>
      </c>
      <c r="AK51" s="828">
        <v>0</v>
      </c>
      <c r="AL51" s="828">
        <v>0</v>
      </c>
      <c r="AM51" s="828">
        <v>0</v>
      </c>
      <c r="AN51" s="828">
        <v>0</v>
      </c>
      <c r="AO51" s="828">
        <v>0</v>
      </c>
      <c r="AP51" s="828">
        <v>0</v>
      </c>
      <c r="AQ51" s="828">
        <v>0</v>
      </c>
      <c r="AR51" s="828">
        <v>0</v>
      </c>
      <c r="AS51" s="828">
        <v>0</v>
      </c>
      <c r="AT51" s="828">
        <v>0</v>
      </c>
      <c r="AU51" s="828">
        <v>0</v>
      </c>
      <c r="AV51" s="828">
        <v>0</v>
      </c>
      <c r="AW51" s="828">
        <v>0</v>
      </c>
      <c r="AX51" s="828">
        <v>0</v>
      </c>
      <c r="AY51" s="828">
        <v>0</v>
      </c>
      <c r="AZ51" s="828">
        <v>0</v>
      </c>
      <c r="BA51" s="828">
        <v>0</v>
      </c>
      <c r="BB51" s="828">
        <v>0</v>
      </c>
      <c r="BC51" s="828">
        <v>0</v>
      </c>
      <c r="BD51" s="828">
        <v>0</v>
      </c>
      <c r="BE51" s="828">
        <v>0</v>
      </c>
      <c r="BF51" s="828">
        <v>0</v>
      </c>
      <c r="BG51" s="828">
        <v>0</v>
      </c>
      <c r="BH51" s="828">
        <v>0</v>
      </c>
      <c r="BI51" s="828">
        <v>0</v>
      </c>
      <c r="BJ51" s="828">
        <v>0</v>
      </c>
    </row>
    <row r="52" spans="1:62" ht="63.75">
      <c r="A52" s="823" t="s">
        <v>1930</v>
      </c>
      <c r="B52" s="823" t="s">
        <v>1938</v>
      </c>
      <c r="C52" s="824"/>
      <c r="D52" s="824"/>
      <c r="E52" s="826" t="s">
        <v>1939</v>
      </c>
      <c r="F52" s="826" t="s">
        <v>1940</v>
      </c>
      <c r="G52" s="824" t="s">
        <v>1941</v>
      </c>
      <c r="H52" s="824"/>
      <c r="I52" s="824"/>
      <c r="J52" s="824"/>
      <c r="K52" s="824"/>
      <c r="L52" s="824"/>
      <c r="M52" s="824"/>
      <c r="N52" s="824"/>
      <c r="O52" s="824"/>
      <c r="P52" s="824"/>
      <c r="Q52" s="824"/>
      <c r="R52" s="824"/>
      <c r="S52" s="824"/>
      <c r="T52" s="824"/>
      <c r="U52" s="824"/>
      <c r="V52" s="824"/>
      <c r="W52" s="824"/>
      <c r="X52" s="824"/>
      <c r="Y52" s="824"/>
      <c r="Z52" s="824"/>
      <c r="AA52" s="824"/>
      <c r="AB52" s="824"/>
      <c r="AC52" s="824"/>
      <c r="AD52" s="824"/>
      <c r="AE52" s="824"/>
      <c r="AF52" s="824"/>
      <c r="AG52" s="828">
        <v>0</v>
      </c>
      <c r="AH52" s="828">
        <v>0</v>
      </c>
      <c r="AI52" s="828">
        <v>4.0999999999999996</v>
      </c>
      <c r="AJ52" s="828">
        <v>5.3</v>
      </c>
      <c r="AK52" s="828">
        <v>5.3</v>
      </c>
      <c r="AL52" s="828">
        <v>0</v>
      </c>
      <c r="AM52" s="828">
        <v>0</v>
      </c>
      <c r="AN52" s="828">
        <v>0</v>
      </c>
      <c r="AO52" s="828">
        <v>0</v>
      </c>
      <c r="AP52" s="828">
        <v>0</v>
      </c>
      <c r="AQ52" s="828">
        <v>0</v>
      </c>
      <c r="AR52" s="828">
        <v>0</v>
      </c>
      <c r="AS52" s="828">
        <v>0</v>
      </c>
      <c r="AT52" s="828">
        <v>0</v>
      </c>
      <c r="AU52" s="828">
        <v>0</v>
      </c>
      <c r="AV52" s="828">
        <v>0</v>
      </c>
      <c r="AW52" s="828">
        <v>0</v>
      </c>
      <c r="AX52" s="828">
        <v>0</v>
      </c>
      <c r="AY52" s="828">
        <v>0</v>
      </c>
      <c r="AZ52" s="828">
        <v>0</v>
      </c>
      <c r="BA52" s="828">
        <v>0</v>
      </c>
      <c r="BB52" s="828">
        <v>0</v>
      </c>
      <c r="BC52" s="828">
        <v>0</v>
      </c>
      <c r="BD52" s="828">
        <v>0</v>
      </c>
      <c r="BE52" s="828">
        <v>0</v>
      </c>
      <c r="BF52" s="828">
        <v>0</v>
      </c>
      <c r="BG52" s="828">
        <v>0</v>
      </c>
      <c r="BH52" s="828">
        <v>0</v>
      </c>
      <c r="BI52" s="828">
        <v>0</v>
      </c>
      <c r="BJ52" s="828">
        <v>0</v>
      </c>
    </row>
    <row r="53" spans="1:62" ht="51">
      <c r="A53" s="823" t="s">
        <v>1942</v>
      </c>
      <c r="B53" s="823" t="s">
        <v>1943</v>
      </c>
      <c r="C53" s="824"/>
      <c r="D53" s="826" t="s">
        <v>1944</v>
      </c>
      <c r="E53" s="824" t="s">
        <v>1945</v>
      </c>
      <c r="F53" s="824"/>
      <c r="G53" s="824"/>
      <c r="H53" s="824"/>
      <c r="I53" s="824"/>
      <c r="J53" s="824"/>
      <c r="K53" s="824"/>
      <c r="L53" s="824"/>
      <c r="M53" s="824"/>
      <c r="N53" s="824"/>
      <c r="O53" s="824"/>
      <c r="P53" s="824"/>
      <c r="Q53" s="824"/>
      <c r="R53" s="824"/>
      <c r="S53" s="824"/>
      <c r="T53" s="824"/>
      <c r="U53" s="824"/>
      <c r="V53" s="824"/>
      <c r="W53" s="824"/>
      <c r="X53" s="824"/>
      <c r="Y53" s="824"/>
      <c r="Z53" s="824"/>
      <c r="AA53" s="824"/>
      <c r="AB53" s="824"/>
      <c r="AC53" s="824"/>
      <c r="AD53" s="824"/>
      <c r="AE53" s="824"/>
      <c r="AF53" s="824"/>
      <c r="AG53" s="828">
        <v>0</v>
      </c>
      <c r="AH53" s="828">
        <v>3.2</v>
      </c>
      <c r="AI53" s="828">
        <v>2.5</v>
      </c>
      <c r="AJ53" s="828">
        <v>0</v>
      </c>
      <c r="AK53" s="828">
        <v>0</v>
      </c>
      <c r="AL53" s="828">
        <v>0</v>
      </c>
      <c r="AM53" s="828">
        <v>0</v>
      </c>
      <c r="AN53" s="828">
        <v>0</v>
      </c>
      <c r="AO53" s="828">
        <v>0</v>
      </c>
      <c r="AP53" s="828">
        <v>0</v>
      </c>
      <c r="AQ53" s="828">
        <v>0</v>
      </c>
      <c r="AR53" s="828">
        <v>0</v>
      </c>
      <c r="AS53" s="828">
        <v>0</v>
      </c>
      <c r="AT53" s="828">
        <v>0</v>
      </c>
      <c r="AU53" s="828">
        <v>0</v>
      </c>
      <c r="AV53" s="828">
        <v>0</v>
      </c>
      <c r="AW53" s="828">
        <v>0</v>
      </c>
      <c r="AX53" s="828">
        <v>0</v>
      </c>
      <c r="AY53" s="828">
        <v>0</v>
      </c>
      <c r="AZ53" s="828">
        <v>0</v>
      </c>
      <c r="BA53" s="828">
        <v>0</v>
      </c>
      <c r="BB53" s="828">
        <v>0</v>
      </c>
      <c r="BC53" s="828">
        <v>0</v>
      </c>
      <c r="BD53" s="828">
        <v>0</v>
      </c>
      <c r="BE53" s="828">
        <v>0</v>
      </c>
      <c r="BF53" s="828">
        <v>0</v>
      </c>
      <c r="BG53" s="828">
        <v>0</v>
      </c>
      <c r="BH53" s="828">
        <v>0</v>
      </c>
      <c r="BI53" s="828">
        <v>0</v>
      </c>
      <c r="BJ53" s="828">
        <v>0</v>
      </c>
    </row>
    <row r="54" spans="1:62" ht="38.25">
      <c r="A54" s="823" t="s">
        <v>1946</v>
      </c>
      <c r="B54" s="823" t="s">
        <v>1947</v>
      </c>
      <c r="C54" s="826" t="s">
        <v>1948</v>
      </c>
      <c r="D54" s="824" t="s">
        <v>1949</v>
      </c>
      <c r="E54" s="826" t="s">
        <v>1950</v>
      </c>
      <c r="F54" s="824"/>
      <c r="G54" s="824"/>
      <c r="H54" s="824"/>
      <c r="I54" s="824"/>
      <c r="J54" s="824"/>
      <c r="K54" s="824"/>
      <c r="L54" s="824"/>
      <c r="M54" s="824"/>
      <c r="N54" s="824"/>
      <c r="O54" s="824"/>
      <c r="P54" s="824"/>
      <c r="Q54" s="824"/>
      <c r="R54" s="824"/>
      <c r="S54" s="824"/>
      <c r="T54" s="824"/>
      <c r="U54" s="824"/>
      <c r="V54" s="824"/>
      <c r="W54" s="824"/>
      <c r="X54" s="824"/>
      <c r="Y54" s="824"/>
      <c r="Z54" s="824"/>
      <c r="AA54" s="824"/>
      <c r="AB54" s="824"/>
      <c r="AC54" s="824"/>
      <c r="AD54" s="824"/>
      <c r="AE54" s="824"/>
      <c r="AF54" s="824"/>
      <c r="AG54" s="828">
        <v>5.2</v>
      </c>
      <c r="AH54" s="828">
        <v>5.5</v>
      </c>
      <c r="AI54" s="828">
        <v>7.5</v>
      </c>
      <c r="AJ54" s="828">
        <v>0</v>
      </c>
      <c r="AK54" s="828">
        <v>0</v>
      </c>
      <c r="AL54" s="828">
        <v>0</v>
      </c>
      <c r="AM54" s="828">
        <v>0</v>
      </c>
      <c r="AN54" s="828">
        <v>0</v>
      </c>
      <c r="AO54" s="828">
        <v>0</v>
      </c>
      <c r="AP54" s="828">
        <v>0</v>
      </c>
      <c r="AQ54" s="828">
        <v>0</v>
      </c>
      <c r="AR54" s="828">
        <v>0</v>
      </c>
      <c r="AS54" s="828">
        <v>0</v>
      </c>
      <c r="AT54" s="828">
        <v>0</v>
      </c>
      <c r="AU54" s="828">
        <v>0</v>
      </c>
      <c r="AV54" s="828">
        <v>0</v>
      </c>
      <c r="AW54" s="828">
        <v>0</v>
      </c>
      <c r="AX54" s="828">
        <v>0</v>
      </c>
      <c r="AY54" s="828">
        <v>0</v>
      </c>
      <c r="AZ54" s="828">
        <v>0</v>
      </c>
      <c r="BA54" s="828">
        <v>0</v>
      </c>
      <c r="BB54" s="828">
        <v>0</v>
      </c>
      <c r="BC54" s="828">
        <v>0</v>
      </c>
      <c r="BD54" s="828">
        <v>0</v>
      </c>
      <c r="BE54" s="828">
        <v>0</v>
      </c>
      <c r="BF54" s="828">
        <v>0</v>
      </c>
      <c r="BG54" s="828">
        <v>0</v>
      </c>
      <c r="BH54" s="828">
        <v>0</v>
      </c>
      <c r="BI54" s="828">
        <v>0</v>
      </c>
      <c r="BJ54" s="828">
        <v>0</v>
      </c>
    </row>
    <row r="55" spans="1:62" ht="63.75">
      <c r="A55" s="823" t="s">
        <v>1951</v>
      </c>
      <c r="B55" s="823" t="s">
        <v>1952</v>
      </c>
      <c r="C55" s="824" t="s">
        <v>1953</v>
      </c>
      <c r="D55" s="826" t="s">
        <v>1954</v>
      </c>
      <c r="E55" s="824" t="s">
        <v>1955</v>
      </c>
      <c r="F55" s="824"/>
      <c r="G55" s="824"/>
      <c r="H55" s="824"/>
      <c r="I55" s="824"/>
      <c r="J55" s="824"/>
      <c r="K55" s="824"/>
      <c r="L55" s="824"/>
      <c r="M55" s="824"/>
      <c r="N55" s="824"/>
      <c r="O55" s="824"/>
      <c r="P55" s="824"/>
      <c r="Q55" s="824"/>
      <c r="R55" s="824"/>
      <c r="S55" s="824"/>
      <c r="T55" s="824"/>
      <c r="U55" s="824"/>
      <c r="V55" s="824"/>
      <c r="W55" s="824"/>
      <c r="X55" s="824"/>
      <c r="Y55" s="824"/>
      <c r="Z55" s="824"/>
      <c r="AA55" s="824"/>
      <c r="AB55" s="824"/>
      <c r="AC55" s="824"/>
      <c r="AD55" s="824"/>
      <c r="AE55" s="824"/>
      <c r="AF55" s="824"/>
      <c r="AG55" s="828">
        <v>6.5</v>
      </c>
      <c r="AH55" s="828">
        <v>1.7</v>
      </c>
      <c r="AI55" s="828">
        <v>1.5</v>
      </c>
      <c r="AJ55" s="828">
        <v>0</v>
      </c>
      <c r="AK55" s="828">
        <v>0</v>
      </c>
      <c r="AL55" s="828">
        <v>0</v>
      </c>
      <c r="AM55" s="828">
        <v>0</v>
      </c>
      <c r="AN55" s="828">
        <v>0</v>
      </c>
      <c r="AO55" s="828">
        <v>0</v>
      </c>
      <c r="AP55" s="828">
        <v>0</v>
      </c>
      <c r="AQ55" s="828">
        <v>0</v>
      </c>
      <c r="AR55" s="828">
        <v>0</v>
      </c>
      <c r="AS55" s="828">
        <v>0</v>
      </c>
      <c r="AT55" s="828">
        <v>0</v>
      </c>
      <c r="AU55" s="828">
        <v>0</v>
      </c>
      <c r="AV55" s="828">
        <v>0</v>
      </c>
      <c r="AW55" s="828">
        <v>0</v>
      </c>
      <c r="AX55" s="828">
        <v>0</v>
      </c>
      <c r="AY55" s="828">
        <v>0</v>
      </c>
      <c r="AZ55" s="828">
        <v>0</v>
      </c>
      <c r="BA55" s="828">
        <v>0</v>
      </c>
      <c r="BB55" s="828">
        <v>0</v>
      </c>
      <c r="BC55" s="828">
        <v>0</v>
      </c>
      <c r="BD55" s="828">
        <v>0</v>
      </c>
      <c r="BE55" s="828">
        <v>0</v>
      </c>
      <c r="BF55" s="828">
        <v>0</v>
      </c>
      <c r="BG55" s="828">
        <v>0</v>
      </c>
      <c r="BH55" s="828">
        <v>0</v>
      </c>
      <c r="BI55" s="828">
        <v>0</v>
      </c>
      <c r="BJ55" s="828">
        <v>0</v>
      </c>
    </row>
    <row r="56" spans="1:62" ht="76.5">
      <c r="A56" s="823" t="s">
        <v>1956</v>
      </c>
      <c r="B56" s="823" t="s">
        <v>1957</v>
      </c>
      <c r="C56" s="826" t="s">
        <v>1958</v>
      </c>
      <c r="D56" s="824" t="s">
        <v>1959</v>
      </c>
      <c r="E56" s="824" t="s">
        <v>1960</v>
      </c>
      <c r="F56" s="824"/>
      <c r="G56" s="824"/>
      <c r="H56" s="824" t="s">
        <v>1961</v>
      </c>
      <c r="I56" s="824" t="s">
        <v>1962</v>
      </c>
      <c r="J56" s="824"/>
      <c r="K56" s="824"/>
      <c r="L56" s="824"/>
      <c r="M56" s="824"/>
      <c r="N56" s="824"/>
      <c r="O56" s="824"/>
      <c r="P56" s="824"/>
      <c r="Q56" s="824"/>
      <c r="R56" s="824"/>
      <c r="S56" s="824"/>
      <c r="T56" s="824"/>
      <c r="U56" s="824"/>
      <c r="V56" s="824"/>
      <c r="W56" s="824"/>
      <c r="X56" s="824"/>
      <c r="Y56" s="824"/>
      <c r="Z56" s="824"/>
      <c r="AA56" s="824"/>
      <c r="AB56" s="824"/>
      <c r="AC56" s="824"/>
      <c r="AD56" s="824"/>
      <c r="AE56" s="824"/>
      <c r="AF56" s="824"/>
      <c r="AG56" s="828">
        <v>3.1</v>
      </c>
      <c r="AH56" s="828">
        <v>2.6</v>
      </c>
      <c r="AI56" s="828">
        <v>2.8</v>
      </c>
      <c r="AJ56" s="828">
        <v>0</v>
      </c>
      <c r="AK56" s="828">
        <v>0</v>
      </c>
      <c r="AL56" s="828">
        <v>0</v>
      </c>
      <c r="AM56" s="828">
        <v>0</v>
      </c>
      <c r="AN56" s="828">
        <v>0</v>
      </c>
      <c r="AO56" s="828">
        <v>0</v>
      </c>
      <c r="AP56" s="828">
        <v>0</v>
      </c>
      <c r="AQ56" s="828">
        <v>0</v>
      </c>
      <c r="AR56" s="828">
        <v>0</v>
      </c>
      <c r="AS56" s="828">
        <v>0</v>
      </c>
      <c r="AT56" s="828">
        <v>0</v>
      </c>
      <c r="AU56" s="828">
        <v>0</v>
      </c>
      <c r="AV56" s="828">
        <v>0</v>
      </c>
      <c r="AW56" s="828">
        <v>0</v>
      </c>
      <c r="AX56" s="828">
        <v>0</v>
      </c>
      <c r="AY56" s="828">
        <v>0</v>
      </c>
      <c r="AZ56" s="828">
        <v>0</v>
      </c>
      <c r="BA56" s="828">
        <v>0</v>
      </c>
      <c r="BB56" s="828">
        <v>0</v>
      </c>
      <c r="BC56" s="828">
        <v>0</v>
      </c>
      <c r="BD56" s="828">
        <v>0</v>
      </c>
      <c r="BE56" s="828">
        <v>0</v>
      </c>
      <c r="BF56" s="828">
        <v>0</v>
      </c>
      <c r="BG56" s="828">
        <v>0</v>
      </c>
      <c r="BH56" s="828">
        <v>0</v>
      </c>
      <c r="BI56" s="828">
        <v>0</v>
      </c>
      <c r="BJ56" s="828">
        <v>0</v>
      </c>
    </row>
    <row r="57" spans="1:62" ht="76.5">
      <c r="A57" s="823" t="s">
        <v>1963</v>
      </c>
      <c r="B57" s="823" t="s">
        <v>1964</v>
      </c>
      <c r="C57" s="824" t="s">
        <v>1965</v>
      </c>
      <c r="D57" s="824" t="s">
        <v>1966</v>
      </c>
      <c r="E57" s="826" t="s">
        <v>1967</v>
      </c>
      <c r="F57" s="824" t="s">
        <v>1968</v>
      </c>
      <c r="G57" s="824"/>
      <c r="H57" s="824"/>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8">
        <v>5.9</v>
      </c>
      <c r="AH57" s="828">
        <v>6.1</v>
      </c>
      <c r="AI57" s="828">
        <v>6.2</v>
      </c>
      <c r="AJ57" s="828">
        <v>6</v>
      </c>
      <c r="AK57" s="828">
        <v>0</v>
      </c>
      <c r="AL57" s="828">
        <v>0</v>
      </c>
      <c r="AM57" s="828">
        <v>0</v>
      </c>
      <c r="AN57" s="828">
        <v>0</v>
      </c>
      <c r="AO57" s="828">
        <v>0</v>
      </c>
      <c r="AP57" s="828">
        <v>0</v>
      </c>
      <c r="AQ57" s="828">
        <v>0</v>
      </c>
      <c r="AR57" s="828">
        <v>0</v>
      </c>
      <c r="AS57" s="828">
        <v>0</v>
      </c>
      <c r="AT57" s="828">
        <v>0</v>
      </c>
      <c r="AU57" s="828">
        <v>0</v>
      </c>
      <c r="AV57" s="828">
        <v>0</v>
      </c>
      <c r="AW57" s="828">
        <v>0</v>
      </c>
      <c r="AX57" s="828">
        <v>0</v>
      </c>
      <c r="AY57" s="828">
        <v>0</v>
      </c>
      <c r="AZ57" s="828">
        <v>0</v>
      </c>
      <c r="BA57" s="828">
        <v>0</v>
      </c>
      <c r="BB57" s="828">
        <v>0</v>
      </c>
      <c r="BC57" s="828">
        <v>0</v>
      </c>
      <c r="BD57" s="828">
        <v>0</v>
      </c>
      <c r="BE57" s="828">
        <v>0</v>
      </c>
      <c r="BF57" s="828">
        <v>0</v>
      </c>
      <c r="BG57" s="828">
        <v>0</v>
      </c>
      <c r="BH57" s="828">
        <v>0</v>
      </c>
      <c r="BI57" s="828">
        <v>0</v>
      </c>
      <c r="BJ57" s="828">
        <v>0</v>
      </c>
    </row>
    <row r="58" spans="1:62" ht="38.25">
      <c r="A58" s="823" t="s">
        <v>1969</v>
      </c>
      <c r="B58" s="823" t="s">
        <v>1970</v>
      </c>
      <c r="C58" s="824" t="s">
        <v>1971</v>
      </c>
      <c r="D58" s="824" t="s">
        <v>1972</v>
      </c>
      <c r="E58" s="824" t="s">
        <v>1973</v>
      </c>
      <c r="F58" s="824"/>
      <c r="G58" s="824"/>
      <c r="H58" s="824"/>
      <c r="I58" s="824"/>
      <c r="J58" s="824"/>
      <c r="K58" s="824"/>
      <c r="L58" s="824"/>
      <c r="M58" s="824"/>
      <c r="N58" s="824"/>
      <c r="O58" s="824"/>
      <c r="P58" s="824"/>
      <c r="Q58" s="824"/>
      <c r="R58" s="824"/>
      <c r="S58" s="824"/>
      <c r="T58" s="824"/>
      <c r="U58" s="824"/>
      <c r="V58" s="824"/>
      <c r="W58" s="824"/>
      <c r="X58" s="824"/>
      <c r="Y58" s="824"/>
      <c r="Z58" s="824"/>
      <c r="AA58" s="824"/>
      <c r="AB58" s="824"/>
      <c r="AC58" s="824"/>
      <c r="AD58" s="824"/>
      <c r="AE58" s="824"/>
      <c r="AF58" s="824"/>
      <c r="AG58" s="828">
        <v>2.8</v>
      </c>
      <c r="AH58" s="828">
        <v>1.8</v>
      </c>
      <c r="AI58" s="828">
        <v>4.4000000000000004</v>
      </c>
      <c r="AJ58" s="828">
        <v>0</v>
      </c>
      <c r="AK58" s="828">
        <v>0</v>
      </c>
      <c r="AL58" s="828">
        <v>0</v>
      </c>
      <c r="AM58" s="828">
        <v>0</v>
      </c>
      <c r="AN58" s="828">
        <v>0</v>
      </c>
      <c r="AO58" s="828">
        <v>0</v>
      </c>
      <c r="AP58" s="828">
        <v>0</v>
      </c>
      <c r="AQ58" s="828">
        <v>0</v>
      </c>
      <c r="AR58" s="828">
        <v>0</v>
      </c>
      <c r="AS58" s="828">
        <v>0</v>
      </c>
      <c r="AT58" s="828">
        <v>0</v>
      </c>
      <c r="AU58" s="828">
        <v>0</v>
      </c>
      <c r="AV58" s="828">
        <v>0</v>
      </c>
      <c r="AW58" s="828">
        <v>0</v>
      </c>
      <c r="AX58" s="828">
        <v>0</v>
      </c>
      <c r="AY58" s="828">
        <v>0</v>
      </c>
      <c r="AZ58" s="828">
        <v>0</v>
      </c>
      <c r="BA58" s="828">
        <v>0</v>
      </c>
      <c r="BB58" s="828">
        <v>0</v>
      </c>
      <c r="BC58" s="828">
        <v>0</v>
      </c>
      <c r="BD58" s="828">
        <v>0</v>
      </c>
      <c r="BE58" s="828">
        <v>0</v>
      </c>
      <c r="BF58" s="828">
        <v>0</v>
      </c>
      <c r="BG58" s="828">
        <v>0</v>
      </c>
      <c r="BH58" s="828">
        <v>0</v>
      </c>
      <c r="BI58" s="828">
        <v>0</v>
      </c>
      <c r="BJ58" s="828">
        <v>0</v>
      </c>
    </row>
    <row r="59" spans="1:62" ht="25.5">
      <c r="A59" s="823" t="s">
        <v>1974</v>
      </c>
      <c r="B59" s="823" t="s">
        <v>1975</v>
      </c>
      <c r="C59" s="826" t="s">
        <v>1976</v>
      </c>
      <c r="D59" s="826"/>
      <c r="E59" s="824"/>
      <c r="F59" s="824"/>
      <c r="G59" s="824"/>
      <c r="H59" s="824"/>
      <c r="I59" s="824"/>
      <c r="J59" s="824"/>
      <c r="K59" s="824"/>
      <c r="L59" s="824"/>
      <c r="M59" s="824"/>
      <c r="N59" s="824"/>
      <c r="O59" s="824"/>
      <c r="P59" s="824"/>
      <c r="Q59" s="824"/>
      <c r="R59" s="824"/>
      <c r="S59" s="824"/>
      <c r="T59" s="824"/>
      <c r="U59" s="824"/>
      <c r="V59" s="824"/>
      <c r="W59" s="824"/>
      <c r="X59" s="824"/>
      <c r="Y59" s="824"/>
      <c r="Z59" s="824"/>
      <c r="AA59" s="824"/>
      <c r="AB59" s="824"/>
      <c r="AC59" s="824"/>
      <c r="AD59" s="824"/>
      <c r="AE59" s="824"/>
      <c r="AF59" s="824"/>
      <c r="AG59" s="828">
        <v>8.4</v>
      </c>
      <c r="AH59" s="828">
        <v>0</v>
      </c>
      <c r="AI59" s="828">
        <v>0</v>
      </c>
      <c r="AJ59" s="828">
        <v>0</v>
      </c>
      <c r="AK59" s="828">
        <v>0</v>
      </c>
      <c r="AL59" s="828">
        <v>0</v>
      </c>
      <c r="AM59" s="828">
        <v>0</v>
      </c>
      <c r="AN59" s="828">
        <v>0</v>
      </c>
      <c r="AO59" s="828">
        <v>0</v>
      </c>
      <c r="AP59" s="828">
        <v>0</v>
      </c>
      <c r="AQ59" s="828">
        <v>0</v>
      </c>
      <c r="AR59" s="828">
        <v>0</v>
      </c>
      <c r="AS59" s="828">
        <v>0</v>
      </c>
      <c r="AT59" s="828">
        <v>0</v>
      </c>
      <c r="AU59" s="828">
        <v>0</v>
      </c>
      <c r="AV59" s="828">
        <v>0</v>
      </c>
      <c r="AW59" s="828">
        <v>0</v>
      </c>
      <c r="AX59" s="828">
        <v>0</v>
      </c>
      <c r="AY59" s="828">
        <v>0</v>
      </c>
      <c r="AZ59" s="828">
        <v>0</v>
      </c>
      <c r="BA59" s="828">
        <v>0</v>
      </c>
      <c r="BB59" s="828">
        <v>0</v>
      </c>
      <c r="BC59" s="828">
        <v>0</v>
      </c>
      <c r="BD59" s="828">
        <v>0</v>
      </c>
      <c r="BE59" s="828">
        <v>0</v>
      </c>
      <c r="BF59" s="828">
        <v>0</v>
      </c>
      <c r="BG59" s="828">
        <v>0</v>
      </c>
      <c r="BH59" s="828">
        <v>0</v>
      </c>
      <c r="BI59" s="828">
        <v>0</v>
      </c>
      <c r="BJ59" s="828">
        <v>0</v>
      </c>
    </row>
    <row r="60" spans="1:62" ht="38.25">
      <c r="A60" s="823" t="s">
        <v>1977</v>
      </c>
      <c r="B60" s="823" t="s">
        <v>1978</v>
      </c>
      <c r="C60" s="824" t="s">
        <v>1979</v>
      </c>
      <c r="D60" s="826" t="s">
        <v>1980</v>
      </c>
      <c r="E60" s="824" t="s">
        <v>1981</v>
      </c>
      <c r="F60" s="824"/>
      <c r="G60" s="824"/>
      <c r="H60" s="824"/>
      <c r="I60" s="824"/>
      <c r="J60" s="824"/>
      <c r="K60" s="824"/>
      <c r="L60" s="824"/>
      <c r="M60" s="824"/>
      <c r="N60" s="824"/>
      <c r="O60" s="824"/>
      <c r="P60" s="824"/>
      <c r="Q60" s="824"/>
      <c r="R60" s="824"/>
      <c r="S60" s="824"/>
      <c r="T60" s="824"/>
      <c r="U60" s="824"/>
      <c r="V60" s="824"/>
      <c r="W60" s="824"/>
      <c r="X60" s="824"/>
      <c r="Y60" s="824"/>
      <c r="Z60" s="824"/>
      <c r="AA60" s="824"/>
      <c r="AB60" s="824"/>
      <c r="AC60" s="824"/>
      <c r="AD60" s="824"/>
      <c r="AE60" s="824"/>
      <c r="AF60" s="824"/>
      <c r="AG60" s="828">
        <v>3.7</v>
      </c>
      <c r="AH60" s="828">
        <v>6.3</v>
      </c>
      <c r="AI60" s="828">
        <v>7</v>
      </c>
      <c r="AJ60" s="828">
        <v>0</v>
      </c>
      <c r="AK60" s="828">
        <v>0</v>
      </c>
      <c r="AL60" s="828">
        <v>0</v>
      </c>
      <c r="AM60" s="828">
        <v>0</v>
      </c>
      <c r="AN60" s="828">
        <v>0</v>
      </c>
      <c r="AO60" s="828">
        <v>0</v>
      </c>
      <c r="AP60" s="828">
        <v>0</v>
      </c>
      <c r="AQ60" s="828">
        <v>0</v>
      </c>
      <c r="AR60" s="828">
        <v>0</v>
      </c>
      <c r="AS60" s="828">
        <v>0</v>
      </c>
      <c r="AT60" s="828">
        <v>0</v>
      </c>
      <c r="AU60" s="828">
        <v>0</v>
      </c>
      <c r="AV60" s="828">
        <v>0</v>
      </c>
      <c r="AW60" s="828">
        <v>0</v>
      </c>
      <c r="AX60" s="828">
        <v>0</v>
      </c>
      <c r="AY60" s="828">
        <v>0</v>
      </c>
      <c r="AZ60" s="828">
        <v>0</v>
      </c>
      <c r="BA60" s="828">
        <v>0</v>
      </c>
      <c r="BB60" s="828">
        <v>0</v>
      </c>
      <c r="BC60" s="828">
        <v>0</v>
      </c>
      <c r="BD60" s="828">
        <v>0</v>
      </c>
      <c r="BE60" s="828">
        <v>0</v>
      </c>
      <c r="BF60" s="828">
        <v>0</v>
      </c>
      <c r="BG60" s="828">
        <v>0</v>
      </c>
      <c r="BH60" s="828">
        <v>0</v>
      </c>
      <c r="BI60" s="828">
        <v>0</v>
      </c>
      <c r="BJ60" s="828">
        <v>0</v>
      </c>
    </row>
    <row r="61" spans="1:62" ht="25.5">
      <c r="A61" s="823" t="s">
        <v>1977</v>
      </c>
      <c r="B61" s="823" t="s">
        <v>1982</v>
      </c>
      <c r="C61" s="824" t="s">
        <v>1983</v>
      </c>
      <c r="D61" s="824" t="s">
        <v>1984</v>
      </c>
      <c r="E61" s="824"/>
      <c r="F61" s="824"/>
      <c r="G61" s="824"/>
      <c r="H61" s="824"/>
      <c r="I61" s="824"/>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8">
        <v>6.9</v>
      </c>
      <c r="AH61" s="828">
        <v>5.9</v>
      </c>
      <c r="AI61" s="828">
        <v>0</v>
      </c>
      <c r="AJ61" s="828">
        <v>0</v>
      </c>
      <c r="AK61" s="828">
        <v>0</v>
      </c>
      <c r="AL61" s="828">
        <v>0</v>
      </c>
      <c r="AM61" s="828">
        <v>0</v>
      </c>
      <c r="AN61" s="828">
        <v>0</v>
      </c>
      <c r="AO61" s="828">
        <v>0</v>
      </c>
      <c r="AP61" s="828">
        <v>0</v>
      </c>
      <c r="AQ61" s="828">
        <v>0</v>
      </c>
      <c r="AR61" s="828">
        <v>0</v>
      </c>
      <c r="AS61" s="828">
        <v>0</v>
      </c>
      <c r="AT61" s="828">
        <v>0</v>
      </c>
      <c r="AU61" s="828">
        <v>0</v>
      </c>
      <c r="AV61" s="828">
        <v>0</v>
      </c>
      <c r="AW61" s="828">
        <v>0</v>
      </c>
      <c r="AX61" s="828">
        <v>0</v>
      </c>
      <c r="AY61" s="828">
        <v>0</v>
      </c>
      <c r="AZ61" s="828">
        <v>0</v>
      </c>
      <c r="BA61" s="828">
        <v>0</v>
      </c>
      <c r="BB61" s="828">
        <v>0</v>
      </c>
      <c r="BC61" s="828">
        <v>0</v>
      </c>
      <c r="BD61" s="828">
        <v>0</v>
      </c>
      <c r="BE61" s="828">
        <v>0</v>
      </c>
      <c r="BF61" s="828">
        <v>0</v>
      </c>
      <c r="BG61" s="828">
        <v>0</v>
      </c>
      <c r="BH61" s="828">
        <v>0</v>
      </c>
      <c r="BI61" s="828">
        <v>0</v>
      </c>
      <c r="BJ61" s="828">
        <v>0</v>
      </c>
    </row>
    <row r="62" spans="1:62" ht="51">
      <c r="A62" s="823" t="s">
        <v>1985</v>
      </c>
      <c r="B62" s="823" t="s">
        <v>1986</v>
      </c>
      <c r="C62" s="824"/>
      <c r="D62" s="826" t="s">
        <v>1987</v>
      </c>
      <c r="E62" s="824" t="s">
        <v>1988</v>
      </c>
      <c r="F62" s="824" t="s">
        <v>1989</v>
      </c>
      <c r="G62" s="824" t="s">
        <v>1990</v>
      </c>
      <c r="H62" s="824" t="s">
        <v>1991</v>
      </c>
      <c r="I62" s="824" t="s">
        <v>1992</v>
      </c>
      <c r="J62" s="826" t="s">
        <v>1993</v>
      </c>
      <c r="K62" s="824" t="s">
        <v>1994</v>
      </c>
      <c r="L62" s="824"/>
      <c r="M62" s="824"/>
      <c r="N62" s="824"/>
      <c r="O62" s="824"/>
      <c r="P62" s="824"/>
      <c r="Q62" s="824"/>
      <c r="R62" s="824"/>
      <c r="S62" s="824"/>
      <c r="T62" s="824"/>
      <c r="U62" s="824"/>
      <c r="V62" s="824"/>
      <c r="W62" s="824"/>
      <c r="X62" s="824"/>
      <c r="Y62" s="824"/>
      <c r="Z62" s="824"/>
      <c r="AA62" s="824"/>
      <c r="AB62" s="824"/>
      <c r="AC62" s="824"/>
      <c r="AD62" s="824"/>
      <c r="AE62" s="824"/>
      <c r="AF62" s="824"/>
      <c r="AG62" s="828">
        <v>0</v>
      </c>
      <c r="AH62" s="828">
        <v>4.2</v>
      </c>
      <c r="AI62" s="828">
        <v>3.6</v>
      </c>
      <c r="AJ62" s="828">
        <v>2.2999999999999998</v>
      </c>
      <c r="AK62" s="828">
        <v>5.2</v>
      </c>
      <c r="AL62" s="828">
        <v>0</v>
      </c>
      <c r="AM62" s="828">
        <v>5.4</v>
      </c>
      <c r="AN62" s="828">
        <v>6.3</v>
      </c>
      <c r="AO62" s="828">
        <v>0</v>
      </c>
      <c r="AP62" s="828">
        <v>0</v>
      </c>
      <c r="AQ62" s="828">
        <v>0</v>
      </c>
      <c r="AR62" s="828">
        <v>0</v>
      </c>
      <c r="AS62" s="828">
        <v>0</v>
      </c>
      <c r="AT62" s="828">
        <v>0</v>
      </c>
      <c r="AU62" s="828">
        <v>0</v>
      </c>
      <c r="AV62" s="828">
        <v>0</v>
      </c>
      <c r="AW62" s="828">
        <v>0</v>
      </c>
      <c r="AX62" s="828">
        <v>0</v>
      </c>
      <c r="AY62" s="828">
        <v>0</v>
      </c>
      <c r="AZ62" s="828">
        <v>0</v>
      </c>
      <c r="BA62" s="828">
        <v>0</v>
      </c>
      <c r="BB62" s="828">
        <v>0</v>
      </c>
      <c r="BC62" s="828">
        <v>0</v>
      </c>
      <c r="BD62" s="828">
        <v>0</v>
      </c>
      <c r="BE62" s="828">
        <v>0</v>
      </c>
      <c r="BF62" s="828">
        <v>0</v>
      </c>
      <c r="BG62" s="828">
        <v>0</v>
      </c>
      <c r="BH62" s="828">
        <v>0</v>
      </c>
      <c r="BI62" s="828">
        <v>0</v>
      </c>
      <c r="BJ62" s="828">
        <v>0</v>
      </c>
    </row>
    <row r="63" spans="1:62" ht="51">
      <c r="A63" s="823" t="s">
        <v>1995</v>
      </c>
      <c r="B63" s="823" t="s">
        <v>1996</v>
      </c>
      <c r="C63" s="826" t="s">
        <v>1997</v>
      </c>
      <c r="D63" s="824" t="s">
        <v>1998</v>
      </c>
      <c r="E63" s="824"/>
      <c r="F63" s="824"/>
      <c r="G63" s="824"/>
      <c r="H63" s="824"/>
      <c r="I63" s="824"/>
      <c r="J63" s="824"/>
      <c r="K63" s="824"/>
      <c r="L63" s="824"/>
      <c r="M63" s="824"/>
      <c r="N63" s="824"/>
      <c r="O63" s="824"/>
      <c r="P63" s="824"/>
      <c r="Q63" s="824"/>
      <c r="R63" s="824"/>
      <c r="S63" s="824"/>
      <c r="T63" s="824"/>
      <c r="U63" s="824"/>
      <c r="V63" s="824"/>
      <c r="W63" s="824"/>
      <c r="X63" s="824"/>
      <c r="Y63" s="824"/>
      <c r="Z63" s="824"/>
      <c r="AA63" s="824"/>
      <c r="AB63" s="824"/>
      <c r="AC63" s="824"/>
      <c r="AD63" s="824"/>
      <c r="AE63" s="824"/>
      <c r="AF63" s="824"/>
      <c r="AG63" s="828">
        <v>4.0999999999999996</v>
      </c>
      <c r="AH63" s="828">
        <v>3.4</v>
      </c>
      <c r="AI63" s="828">
        <v>0</v>
      </c>
      <c r="AJ63" s="828">
        <v>0</v>
      </c>
      <c r="AK63" s="828">
        <v>0</v>
      </c>
      <c r="AL63" s="828">
        <v>0</v>
      </c>
      <c r="AM63" s="828">
        <v>0</v>
      </c>
      <c r="AN63" s="828">
        <v>0</v>
      </c>
      <c r="AO63" s="828">
        <v>0</v>
      </c>
      <c r="AP63" s="828">
        <v>0</v>
      </c>
      <c r="AQ63" s="828">
        <v>0</v>
      </c>
      <c r="AR63" s="828">
        <v>0</v>
      </c>
      <c r="AS63" s="828">
        <v>0</v>
      </c>
      <c r="AT63" s="828">
        <v>0</v>
      </c>
      <c r="AU63" s="828">
        <v>0</v>
      </c>
      <c r="AV63" s="828">
        <v>0</v>
      </c>
      <c r="AW63" s="828">
        <v>0</v>
      </c>
      <c r="AX63" s="828">
        <v>0</v>
      </c>
      <c r="AY63" s="828">
        <v>0</v>
      </c>
      <c r="AZ63" s="828">
        <v>0</v>
      </c>
      <c r="BA63" s="828">
        <v>0</v>
      </c>
      <c r="BB63" s="828">
        <v>0</v>
      </c>
      <c r="BC63" s="828">
        <v>0</v>
      </c>
      <c r="BD63" s="828">
        <v>0</v>
      </c>
      <c r="BE63" s="828">
        <v>0</v>
      </c>
      <c r="BF63" s="828">
        <v>0</v>
      </c>
      <c r="BG63" s="828">
        <v>0</v>
      </c>
      <c r="BH63" s="828">
        <v>0</v>
      </c>
      <c r="BI63" s="828">
        <v>0</v>
      </c>
      <c r="BJ63" s="828">
        <v>0</v>
      </c>
    </row>
    <row r="64" spans="1:62" ht="38.25">
      <c r="A64" s="823" t="s">
        <v>1999</v>
      </c>
      <c r="B64" s="823" t="s">
        <v>2000</v>
      </c>
      <c r="C64" s="826" t="s">
        <v>2001</v>
      </c>
      <c r="D64" s="824" t="s">
        <v>2002</v>
      </c>
      <c r="E64" s="824"/>
      <c r="F64" s="824"/>
      <c r="G64" s="824"/>
      <c r="H64" s="824"/>
      <c r="I64" s="824"/>
      <c r="J64" s="824"/>
      <c r="K64" s="824"/>
      <c r="L64" s="824"/>
      <c r="M64" s="824"/>
      <c r="N64" s="824"/>
      <c r="O64" s="824"/>
      <c r="P64" s="824"/>
      <c r="Q64" s="824"/>
      <c r="R64" s="824"/>
      <c r="S64" s="824"/>
      <c r="T64" s="824"/>
      <c r="U64" s="824"/>
      <c r="V64" s="824"/>
      <c r="W64" s="824"/>
      <c r="X64" s="824"/>
      <c r="Y64" s="824"/>
      <c r="Z64" s="824"/>
      <c r="AA64" s="824"/>
      <c r="AB64" s="824"/>
      <c r="AC64" s="824"/>
      <c r="AD64" s="824"/>
      <c r="AE64" s="824"/>
      <c r="AF64" s="824"/>
      <c r="AG64" s="828">
        <v>4.3</v>
      </c>
      <c r="AH64" s="828">
        <v>4.3</v>
      </c>
      <c r="AI64" s="828">
        <v>0</v>
      </c>
      <c r="AJ64" s="828">
        <v>0</v>
      </c>
      <c r="AK64" s="828">
        <v>0</v>
      </c>
      <c r="AL64" s="828">
        <v>0</v>
      </c>
      <c r="AM64" s="828">
        <v>0</v>
      </c>
      <c r="AN64" s="828">
        <v>0</v>
      </c>
      <c r="AO64" s="828">
        <v>0</v>
      </c>
      <c r="AP64" s="828">
        <v>0</v>
      </c>
      <c r="AQ64" s="828">
        <v>0</v>
      </c>
      <c r="AR64" s="828">
        <v>0</v>
      </c>
      <c r="AS64" s="828">
        <v>0</v>
      </c>
      <c r="AT64" s="828">
        <v>0</v>
      </c>
      <c r="AU64" s="828">
        <v>0</v>
      </c>
      <c r="AV64" s="828">
        <v>0</v>
      </c>
      <c r="AW64" s="828">
        <v>0</v>
      </c>
      <c r="AX64" s="828">
        <v>0</v>
      </c>
      <c r="AY64" s="828">
        <v>0</v>
      </c>
      <c r="AZ64" s="828">
        <v>0</v>
      </c>
      <c r="BA64" s="828">
        <v>0</v>
      </c>
      <c r="BB64" s="828">
        <v>0</v>
      </c>
      <c r="BC64" s="828">
        <v>0</v>
      </c>
      <c r="BD64" s="828">
        <v>0</v>
      </c>
      <c r="BE64" s="828">
        <v>0</v>
      </c>
      <c r="BF64" s="828">
        <v>0</v>
      </c>
      <c r="BG64" s="828">
        <v>0</v>
      </c>
      <c r="BH64" s="828">
        <v>0</v>
      </c>
      <c r="BI64" s="828">
        <v>0</v>
      </c>
      <c r="BJ64" s="828">
        <v>0</v>
      </c>
    </row>
    <row r="65" spans="1:62" ht="25.5">
      <c r="A65" s="823" t="s">
        <v>2003</v>
      </c>
      <c r="B65" s="823" t="s">
        <v>2004</v>
      </c>
      <c r="C65" s="824"/>
      <c r="D65" s="824" t="s">
        <v>2005</v>
      </c>
      <c r="E65" s="824"/>
      <c r="F65" s="824"/>
      <c r="G65" s="824"/>
      <c r="H65" s="824"/>
      <c r="I65" s="824"/>
      <c r="J65" s="824"/>
      <c r="K65" s="824"/>
      <c r="L65" s="824"/>
      <c r="M65" s="824"/>
      <c r="N65" s="824"/>
      <c r="O65" s="824"/>
      <c r="P65" s="824"/>
      <c r="Q65" s="824"/>
      <c r="R65" s="824"/>
      <c r="S65" s="824"/>
      <c r="T65" s="824"/>
      <c r="U65" s="824"/>
      <c r="V65" s="824"/>
      <c r="W65" s="824"/>
      <c r="X65" s="824"/>
      <c r="Y65" s="824"/>
      <c r="Z65" s="824"/>
      <c r="AA65" s="824"/>
      <c r="AB65" s="824"/>
      <c r="AC65" s="824"/>
      <c r="AD65" s="824"/>
      <c r="AE65" s="824"/>
      <c r="AF65" s="824"/>
      <c r="AG65" s="828">
        <v>0</v>
      </c>
      <c r="AH65" s="828">
        <v>5.3</v>
      </c>
      <c r="AI65" s="828">
        <v>0</v>
      </c>
      <c r="AJ65" s="828">
        <v>0</v>
      </c>
      <c r="AK65" s="828">
        <v>0</v>
      </c>
      <c r="AL65" s="828">
        <v>0</v>
      </c>
      <c r="AM65" s="828">
        <v>0</v>
      </c>
      <c r="AN65" s="828">
        <v>0</v>
      </c>
      <c r="AO65" s="828">
        <v>0</v>
      </c>
      <c r="AP65" s="828">
        <v>0</v>
      </c>
      <c r="AQ65" s="828">
        <v>0</v>
      </c>
      <c r="AR65" s="828">
        <v>0</v>
      </c>
      <c r="AS65" s="828">
        <v>0</v>
      </c>
      <c r="AT65" s="828">
        <v>0</v>
      </c>
      <c r="AU65" s="828">
        <v>0</v>
      </c>
      <c r="AV65" s="828">
        <v>0</v>
      </c>
      <c r="AW65" s="828">
        <v>0</v>
      </c>
      <c r="AX65" s="828">
        <v>0</v>
      </c>
      <c r="AY65" s="828">
        <v>0</v>
      </c>
      <c r="AZ65" s="828">
        <v>0</v>
      </c>
      <c r="BA65" s="828">
        <v>0</v>
      </c>
      <c r="BB65" s="828">
        <v>0</v>
      </c>
      <c r="BC65" s="828">
        <v>0</v>
      </c>
      <c r="BD65" s="828">
        <v>0</v>
      </c>
      <c r="BE65" s="828">
        <v>0</v>
      </c>
      <c r="BF65" s="828">
        <v>0</v>
      </c>
      <c r="BG65" s="828">
        <v>0</v>
      </c>
      <c r="BH65" s="828">
        <v>0</v>
      </c>
      <c r="BI65" s="828">
        <v>0</v>
      </c>
      <c r="BJ65" s="828">
        <v>0</v>
      </c>
    </row>
  </sheetData>
  <sheetProtection password="857C" sheet="1" objects="1" scenarios="1"/>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39"/>
  <sheetViews>
    <sheetView topLeftCell="A34" zoomScaleNormal="100" workbookViewId="0">
      <selection activeCell="B37" sqref="B37"/>
    </sheetView>
  </sheetViews>
  <sheetFormatPr defaultRowHeight="15"/>
  <cols>
    <col min="1" max="1" width="43" style="816" customWidth="1"/>
    <col min="2" max="2" width="28.7109375" style="817" customWidth="1"/>
    <col min="3" max="40" width="20.7109375" style="827" customWidth="1"/>
    <col min="41" max="41" width="10.28515625" style="827" customWidth="1"/>
    <col min="42" max="42" width="30" style="827" customWidth="1"/>
    <col min="43" max="82" width="20.7109375" style="827" customWidth="1"/>
    <col min="83" max="83" width="13" style="827" customWidth="1"/>
    <col min="84" max="1025" width="20.7109375" style="827" customWidth="1"/>
  </cols>
  <sheetData>
    <row r="1" spans="1:82">
      <c r="A1" s="819" t="s">
        <v>502</v>
      </c>
      <c r="B1" s="819" t="s">
        <v>503</v>
      </c>
      <c r="C1" s="830" t="s">
        <v>718</v>
      </c>
      <c r="D1" s="830" t="s">
        <v>1668</v>
      </c>
      <c r="E1" s="830" t="s">
        <v>720</v>
      </c>
      <c r="F1" s="830" t="s">
        <v>721</v>
      </c>
      <c r="G1" s="830" t="s">
        <v>722</v>
      </c>
      <c r="H1" s="830" t="s">
        <v>723</v>
      </c>
      <c r="I1" s="830" t="s">
        <v>724</v>
      </c>
      <c r="J1" s="830" t="s">
        <v>725</v>
      </c>
      <c r="K1" s="830" t="s">
        <v>726</v>
      </c>
      <c r="L1" s="830" t="s">
        <v>727</v>
      </c>
      <c r="M1" s="830" t="s">
        <v>728</v>
      </c>
      <c r="N1" s="830" t="s">
        <v>729</v>
      </c>
      <c r="O1" s="830" t="s">
        <v>730</v>
      </c>
      <c r="P1" s="830" t="s">
        <v>731</v>
      </c>
      <c r="Q1" s="830" t="s">
        <v>732</v>
      </c>
      <c r="R1" s="830" t="s">
        <v>733</v>
      </c>
      <c r="S1" s="830" t="s">
        <v>734</v>
      </c>
      <c r="T1" s="830" t="s">
        <v>735</v>
      </c>
      <c r="U1" s="830" t="s">
        <v>736</v>
      </c>
      <c r="V1" s="830" t="s">
        <v>737</v>
      </c>
      <c r="W1" s="830" t="s">
        <v>738</v>
      </c>
      <c r="X1" s="830" t="s">
        <v>739</v>
      </c>
      <c r="Y1" s="830" t="s">
        <v>740</v>
      </c>
      <c r="Z1" s="830" t="s">
        <v>741</v>
      </c>
      <c r="AA1" s="830" t="s">
        <v>742</v>
      </c>
      <c r="AB1" s="830" t="s">
        <v>743</v>
      </c>
      <c r="AC1" s="830" t="s">
        <v>744</v>
      </c>
      <c r="AD1" s="830" t="s">
        <v>745</v>
      </c>
      <c r="AE1" s="830" t="s">
        <v>746</v>
      </c>
      <c r="AF1" s="830" t="s">
        <v>747</v>
      </c>
      <c r="AG1" s="830" t="s">
        <v>748</v>
      </c>
      <c r="AH1" s="830" t="s">
        <v>749</v>
      </c>
      <c r="AI1" s="830" t="s">
        <v>750</v>
      </c>
      <c r="AJ1" s="830" t="s">
        <v>751</v>
      </c>
      <c r="AK1" s="830" t="s">
        <v>752</v>
      </c>
      <c r="AL1" s="830" t="s">
        <v>753</v>
      </c>
      <c r="AM1" s="830" t="s">
        <v>754</v>
      </c>
      <c r="AN1" s="830" t="s">
        <v>755</v>
      </c>
      <c r="AO1" s="830" t="s">
        <v>756</v>
      </c>
      <c r="AP1" s="830" t="s">
        <v>757</v>
      </c>
      <c r="AQ1" s="830" t="s">
        <v>831</v>
      </c>
      <c r="AR1" s="830" t="s">
        <v>832</v>
      </c>
      <c r="AS1" s="830" t="s">
        <v>833</v>
      </c>
      <c r="AT1" s="830" t="s">
        <v>834</v>
      </c>
      <c r="AU1" s="830" t="s">
        <v>835</v>
      </c>
      <c r="AV1" s="830" t="s">
        <v>836</v>
      </c>
      <c r="AW1" s="830" t="s">
        <v>837</v>
      </c>
      <c r="AX1" s="830" t="s">
        <v>838</v>
      </c>
      <c r="AY1" s="830" t="s">
        <v>839</v>
      </c>
      <c r="AZ1" s="830" t="s">
        <v>840</v>
      </c>
      <c r="BA1" s="830" t="s">
        <v>841</v>
      </c>
      <c r="BB1" s="830" t="s">
        <v>842</v>
      </c>
      <c r="BC1" s="830" t="s">
        <v>843</v>
      </c>
      <c r="BD1" s="830" t="s">
        <v>844</v>
      </c>
      <c r="BE1" s="830" t="s">
        <v>845</v>
      </c>
      <c r="BF1" s="830" t="s">
        <v>846</v>
      </c>
      <c r="BG1" s="830" t="s">
        <v>847</v>
      </c>
      <c r="BH1" s="830" t="s">
        <v>848</v>
      </c>
      <c r="BI1" s="830" t="s">
        <v>849</v>
      </c>
      <c r="BJ1" s="830" t="s">
        <v>850</v>
      </c>
      <c r="BK1" s="830" t="s">
        <v>851</v>
      </c>
      <c r="BL1" s="830" t="s">
        <v>852</v>
      </c>
      <c r="BM1" s="830" t="s">
        <v>853</v>
      </c>
      <c r="BN1" s="830" t="s">
        <v>854</v>
      </c>
      <c r="BO1" s="830" t="s">
        <v>855</v>
      </c>
      <c r="BP1" s="830" t="s">
        <v>856</v>
      </c>
      <c r="BQ1" s="830" t="s">
        <v>857</v>
      </c>
      <c r="BR1" s="830" t="s">
        <v>858</v>
      </c>
      <c r="BS1" s="830" t="s">
        <v>859</v>
      </c>
      <c r="BT1" s="830" t="s">
        <v>860</v>
      </c>
      <c r="BU1" s="830" t="s">
        <v>861</v>
      </c>
      <c r="BV1" s="830" t="s">
        <v>862</v>
      </c>
      <c r="BW1" s="830" t="s">
        <v>863</v>
      </c>
      <c r="BX1" s="830" t="s">
        <v>864</v>
      </c>
      <c r="BY1" s="830" t="s">
        <v>865</v>
      </c>
      <c r="BZ1" s="830" t="s">
        <v>866</v>
      </c>
      <c r="CA1" s="830" t="s">
        <v>867</v>
      </c>
      <c r="CB1" s="830" t="s">
        <v>868</v>
      </c>
      <c r="CC1" s="830" t="s">
        <v>869</v>
      </c>
      <c r="CD1" s="830" t="s">
        <v>870</v>
      </c>
    </row>
    <row r="2" spans="1:82" ht="38.25">
      <c r="A2" s="823" t="s">
        <v>2006</v>
      </c>
      <c r="B2" s="823" t="s">
        <v>2007</v>
      </c>
      <c r="C2" s="826" t="s">
        <v>2008</v>
      </c>
      <c r="D2" s="824" t="s">
        <v>2009</v>
      </c>
      <c r="E2" s="826" t="s">
        <v>2010</v>
      </c>
      <c r="F2" s="824" t="s">
        <v>2011</v>
      </c>
      <c r="G2" s="826" t="s">
        <v>2012</v>
      </c>
      <c r="H2" s="826" t="s">
        <v>2013</v>
      </c>
      <c r="I2" s="824"/>
      <c r="J2" s="824"/>
      <c r="K2" s="826"/>
      <c r="L2" s="826"/>
      <c r="M2" s="824"/>
      <c r="N2" s="831"/>
      <c r="O2" s="831"/>
      <c r="P2" s="831"/>
      <c r="Q2" s="831"/>
      <c r="R2" s="831"/>
      <c r="S2" s="831"/>
      <c r="T2" s="831"/>
      <c r="U2" s="831"/>
      <c r="V2" s="831"/>
      <c r="W2" s="831"/>
      <c r="X2" s="831"/>
      <c r="Y2" s="831"/>
      <c r="Z2" s="831"/>
      <c r="AA2" s="831"/>
      <c r="AB2" s="831"/>
      <c r="AC2" s="831"/>
      <c r="AD2" s="831"/>
      <c r="AE2" s="831"/>
      <c r="AF2" s="831"/>
      <c r="AG2" s="831"/>
      <c r="AH2" s="831"/>
      <c r="AI2" s="831"/>
      <c r="AJ2" s="831"/>
      <c r="AK2" s="831"/>
      <c r="AL2" s="831"/>
      <c r="AM2" s="831"/>
      <c r="AN2" s="831"/>
      <c r="AO2" s="831"/>
      <c r="AP2" s="831"/>
      <c r="AQ2" s="828">
        <v>3.6</v>
      </c>
      <c r="AR2" s="828">
        <v>3.8</v>
      </c>
      <c r="AS2" s="828">
        <v>3.8</v>
      </c>
      <c r="AT2" s="828">
        <v>3.8</v>
      </c>
      <c r="AU2" s="828">
        <v>2</v>
      </c>
      <c r="AV2" s="828">
        <v>3.6</v>
      </c>
      <c r="AW2" s="828">
        <v>0</v>
      </c>
      <c r="AX2" s="828">
        <v>0</v>
      </c>
      <c r="AY2" s="828">
        <v>0</v>
      </c>
      <c r="AZ2" s="828">
        <v>0</v>
      </c>
      <c r="BA2" s="828">
        <v>0</v>
      </c>
      <c r="BB2" s="828">
        <v>0</v>
      </c>
      <c r="BC2" s="828">
        <v>0</v>
      </c>
      <c r="BD2" s="828">
        <v>0</v>
      </c>
      <c r="BE2" s="828">
        <v>0</v>
      </c>
      <c r="BF2" s="828">
        <v>0</v>
      </c>
      <c r="BG2" s="828">
        <v>0</v>
      </c>
      <c r="BH2" s="828">
        <v>0</v>
      </c>
      <c r="BI2" s="828">
        <v>0</v>
      </c>
      <c r="BJ2" s="828">
        <v>0</v>
      </c>
      <c r="BK2" s="828">
        <v>0</v>
      </c>
      <c r="BL2" s="828">
        <v>0</v>
      </c>
      <c r="BM2" s="828">
        <v>0</v>
      </c>
      <c r="BN2" s="828">
        <v>0</v>
      </c>
      <c r="BO2" s="828">
        <v>0</v>
      </c>
      <c r="BP2" s="828">
        <v>0</v>
      </c>
      <c r="BQ2" s="828">
        <v>0</v>
      </c>
      <c r="BR2" s="828">
        <v>0</v>
      </c>
      <c r="BS2" s="828">
        <v>0</v>
      </c>
      <c r="BT2" s="828">
        <v>0</v>
      </c>
      <c r="BU2" s="828">
        <v>0</v>
      </c>
      <c r="BV2" s="828">
        <v>0</v>
      </c>
      <c r="BW2" s="828">
        <v>0</v>
      </c>
      <c r="BX2" s="828">
        <v>0</v>
      </c>
      <c r="BY2" s="828">
        <v>0</v>
      </c>
      <c r="BZ2" s="828">
        <v>0</v>
      </c>
      <c r="CA2" s="828">
        <v>0</v>
      </c>
      <c r="CB2" s="828">
        <v>0</v>
      </c>
      <c r="CC2" s="828">
        <v>0</v>
      </c>
      <c r="CD2" s="828">
        <v>0</v>
      </c>
    </row>
    <row r="3" spans="1:82" ht="38.25">
      <c r="A3" s="823" t="s">
        <v>2014</v>
      </c>
      <c r="B3" s="823" t="s">
        <v>2015</v>
      </c>
      <c r="C3" s="826" t="s">
        <v>2016</v>
      </c>
      <c r="D3" s="826" t="s">
        <v>2017</v>
      </c>
      <c r="E3" s="826" t="s">
        <v>2018</v>
      </c>
      <c r="F3" s="824"/>
      <c r="G3" s="831"/>
      <c r="H3" s="831"/>
      <c r="I3" s="831"/>
      <c r="J3" s="831"/>
      <c r="K3" s="831"/>
      <c r="L3" s="831"/>
      <c r="M3" s="831"/>
      <c r="N3" s="831"/>
      <c r="O3" s="831"/>
      <c r="P3" s="831"/>
      <c r="Q3" s="831"/>
      <c r="R3" s="831"/>
      <c r="S3" s="831"/>
      <c r="T3" s="831"/>
      <c r="U3" s="831"/>
      <c r="V3" s="831"/>
      <c r="W3" s="831"/>
      <c r="X3" s="831"/>
      <c r="Y3" s="831"/>
      <c r="Z3" s="831"/>
      <c r="AA3" s="831"/>
      <c r="AB3" s="831"/>
      <c r="AC3" s="831"/>
      <c r="AD3" s="831"/>
      <c r="AE3" s="831"/>
      <c r="AF3" s="831"/>
      <c r="AG3" s="831"/>
      <c r="AH3" s="831"/>
      <c r="AI3" s="831"/>
      <c r="AJ3" s="831"/>
      <c r="AK3" s="831"/>
      <c r="AL3" s="831"/>
      <c r="AM3" s="831"/>
      <c r="AN3" s="831"/>
      <c r="AO3" s="831"/>
      <c r="AP3" s="831"/>
      <c r="AQ3" s="828">
        <v>10.3</v>
      </c>
      <c r="AR3" s="828">
        <v>10.1</v>
      </c>
      <c r="AS3" s="828">
        <v>20</v>
      </c>
      <c r="AT3" s="828">
        <v>0</v>
      </c>
      <c r="AU3" s="828">
        <v>0</v>
      </c>
      <c r="AV3" s="828">
        <v>0</v>
      </c>
      <c r="AW3" s="828">
        <v>0</v>
      </c>
      <c r="AX3" s="828">
        <v>0</v>
      </c>
      <c r="AY3" s="828">
        <v>0</v>
      </c>
      <c r="AZ3" s="828">
        <v>0</v>
      </c>
      <c r="BA3" s="828">
        <v>0</v>
      </c>
      <c r="BB3" s="828">
        <v>0</v>
      </c>
      <c r="BC3" s="828">
        <v>0</v>
      </c>
      <c r="BD3" s="828">
        <v>0</v>
      </c>
      <c r="BE3" s="828">
        <v>0</v>
      </c>
      <c r="BF3" s="828">
        <v>0</v>
      </c>
      <c r="BG3" s="828">
        <v>0</v>
      </c>
      <c r="BH3" s="828">
        <v>0</v>
      </c>
      <c r="BI3" s="828">
        <v>0</v>
      </c>
      <c r="BJ3" s="828">
        <v>0</v>
      </c>
      <c r="BK3" s="828">
        <v>0</v>
      </c>
      <c r="BL3" s="828">
        <v>0</v>
      </c>
      <c r="BM3" s="828">
        <v>0</v>
      </c>
      <c r="BN3" s="828">
        <v>0</v>
      </c>
      <c r="BO3" s="828">
        <v>0</v>
      </c>
      <c r="BP3" s="828">
        <v>0</v>
      </c>
      <c r="BQ3" s="828">
        <v>0</v>
      </c>
      <c r="BR3" s="828">
        <v>0</v>
      </c>
      <c r="BS3" s="828">
        <v>0</v>
      </c>
      <c r="BT3" s="828">
        <v>0</v>
      </c>
      <c r="BU3" s="828">
        <v>0</v>
      </c>
      <c r="BV3" s="828">
        <v>0</v>
      </c>
      <c r="BW3" s="828">
        <v>0</v>
      </c>
      <c r="BX3" s="828">
        <v>0</v>
      </c>
      <c r="BY3" s="828">
        <v>0</v>
      </c>
      <c r="BZ3" s="828">
        <v>0</v>
      </c>
      <c r="CA3" s="828">
        <v>0</v>
      </c>
      <c r="CB3" s="828">
        <v>0</v>
      </c>
      <c r="CC3" s="828">
        <v>0</v>
      </c>
      <c r="CD3" s="828">
        <v>0</v>
      </c>
    </row>
    <row r="4" spans="1:82" ht="89.25">
      <c r="A4" s="823" t="s">
        <v>2019</v>
      </c>
      <c r="B4" s="823" t="s">
        <v>2020</v>
      </c>
      <c r="C4" s="826" t="s">
        <v>2021</v>
      </c>
      <c r="D4" s="826"/>
      <c r="E4" s="831"/>
      <c r="F4" s="831"/>
      <c r="G4" s="831"/>
      <c r="H4" s="831"/>
      <c r="I4" s="831"/>
      <c r="J4" s="831"/>
      <c r="K4" s="831"/>
      <c r="L4" s="831"/>
      <c r="M4" s="831"/>
      <c r="N4" s="831"/>
      <c r="O4" s="831"/>
      <c r="P4" s="831"/>
      <c r="Q4" s="831"/>
      <c r="R4" s="831"/>
      <c r="S4" s="831"/>
      <c r="T4" s="831"/>
      <c r="U4" s="831"/>
      <c r="V4" s="831"/>
      <c r="W4" s="831"/>
      <c r="X4" s="831"/>
      <c r="Y4" s="831"/>
      <c r="Z4" s="831"/>
      <c r="AA4" s="831"/>
      <c r="AB4" s="831"/>
      <c r="AC4" s="831"/>
      <c r="AD4" s="831"/>
      <c r="AE4" s="831"/>
      <c r="AF4" s="831"/>
      <c r="AG4" s="831"/>
      <c r="AH4" s="831"/>
      <c r="AI4" s="831"/>
      <c r="AJ4" s="831"/>
      <c r="AK4" s="831"/>
      <c r="AL4" s="831"/>
      <c r="AM4" s="831"/>
      <c r="AN4" s="831"/>
      <c r="AO4" s="831"/>
      <c r="AP4" s="831"/>
      <c r="AQ4" s="828">
        <v>9.8000000000000007</v>
      </c>
      <c r="AR4" s="828">
        <v>0</v>
      </c>
      <c r="AS4" s="828">
        <v>0</v>
      </c>
      <c r="AT4" s="828">
        <v>0</v>
      </c>
      <c r="AU4" s="828">
        <v>0</v>
      </c>
      <c r="AV4" s="828">
        <v>0</v>
      </c>
      <c r="AW4" s="828">
        <v>0</v>
      </c>
      <c r="AX4" s="828">
        <v>0</v>
      </c>
      <c r="AY4" s="828">
        <v>0</v>
      </c>
      <c r="AZ4" s="828">
        <v>0</v>
      </c>
      <c r="BA4" s="828">
        <v>0</v>
      </c>
      <c r="BB4" s="828">
        <v>0</v>
      </c>
      <c r="BC4" s="828">
        <v>0</v>
      </c>
      <c r="BD4" s="828">
        <v>0</v>
      </c>
      <c r="BE4" s="828">
        <v>0</v>
      </c>
      <c r="BF4" s="828">
        <v>0</v>
      </c>
      <c r="BG4" s="828">
        <v>0</v>
      </c>
      <c r="BH4" s="828">
        <v>0</v>
      </c>
      <c r="BI4" s="828">
        <v>0</v>
      </c>
      <c r="BJ4" s="828">
        <v>0</v>
      </c>
      <c r="BK4" s="828">
        <v>0</v>
      </c>
      <c r="BL4" s="828">
        <v>0</v>
      </c>
      <c r="BM4" s="828">
        <v>0</v>
      </c>
      <c r="BN4" s="828">
        <v>0</v>
      </c>
      <c r="BO4" s="828">
        <v>0</v>
      </c>
      <c r="BP4" s="828">
        <v>0</v>
      </c>
      <c r="BQ4" s="828">
        <v>0</v>
      </c>
      <c r="BR4" s="828">
        <v>0</v>
      </c>
      <c r="BS4" s="828">
        <v>0</v>
      </c>
      <c r="BT4" s="828">
        <v>0</v>
      </c>
      <c r="BU4" s="828">
        <v>0</v>
      </c>
      <c r="BV4" s="828">
        <v>0</v>
      </c>
      <c r="BW4" s="828">
        <v>0</v>
      </c>
      <c r="BX4" s="828">
        <v>0</v>
      </c>
      <c r="BY4" s="828">
        <v>0</v>
      </c>
      <c r="BZ4" s="828">
        <v>0</v>
      </c>
      <c r="CA4" s="828">
        <v>0</v>
      </c>
      <c r="CB4" s="828">
        <v>0</v>
      </c>
      <c r="CC4" s="828">
        <v>0</v>
      </c>
      <c r="CD4" s="828">
        <v>0</v>
      </c>
    </row>
    <row r="5" spans="1:82" ht="38.25">
      <c r="A5" s="823" t="s">
        <v>2022</v>
      </c>
      <c r="B5" s="823" t="s">
        <v>2023</v>
      </c>
      <c r="C5" s="831" t="s">
        <v>2024</v>
      </c>
      <c r="D5" s="831" t="s">
        <v>2025</v>
      </c>
      <c r="E5" s="831" t="s">
        <v>2026</v>
      </c>
      <c r="F5" s="831"/>
      <c r="G5" s="831"/>
      <c r="H5" s="831"/>
      <c r="I5" s="831"/>
      <c r="J5" s="831"/>
      <c r="K5" s="831"/>
      <c r="L5" s="831"/>
      <c r="M5" s="831"/>
      <c r="N5" s="831"/>
      <c r="O5" s="831"/>
      <c r="P5" s="831"/>
      <c r="Q5" s="831"/>
      <c r="R5" s="831"/>
      <c r="S5" s="831"/>
      <c r="T5" s="831"/>
      <c r="U5" s="831"/>
      <c r="V5" s="831"/>
      <c r="W5" s="831"/>
      <c r="X5" s="831"/>
      <c r="Y5" s="831"/>
      <c r="Z5" s="831"/>
      <c r="AA5" s="831"/>
      <c r="AB5" s="831"/>
      <c r="AC5" s="831"/>
      <c r="AD5" s="831"/>
      <c r="AE5" s="831"/>
      <c r="AF5" s="831"/>
      <c r="AG5" s="831"/>
      <c r="AH5" s="831"/>
      <c r="AI5" s="831"/>
      <c r="AJ5" s="831"/>
      <c r="AK5" s="831"/>
      <c r="AL5" s="831"/>
      <c r="AM5" s="831"/>
      <c r="AN5" s="831"/>
      <c r="AO5" s="831"/>
      <c r="AP5" s="831"/>
      <c r="AQ5" s="828">
        <v>24</v>
      </c>
      <c r="AR5" s="828">
        <v>22.7</v>
      </c>
      <c r="AS5" s="828">
        <v>24.6</v>
      </c>
      <c r="AT5" s="828">
        <v>0</v>
      </c>
      <c r="AU5" s="828">
        <v>0</v>
      </c>
      <c r="AV5" s="828">
        <v>0</v>
      </c>
      <c r="AW5" s="828">
        <v>0</v>
      </c>
      <c r="AX5" s="828">
        <v>0</v>
      </c>
      <c r="AY5" s="828">
        <v>0</v>
      </c>
      <c r="AZ5" s="828">
        <v>0</v>
      </c>
      <c r="BA5" s="828">
        <v>0</v>
      </c>
      <c r="BB5" s="828">
        <v>0</v>
      </c>
      <c r="BC5" s="828">
        <v>0</v>
      </c>
      <c r="BD5" s="828">
        <v>0</v>
      </c>
      <c r="BE5" s="828">
        <v>0</v>
      </c>
      <c r="BF5" s="828">
        <v>0</v>
      </c>
      <c r="BG5" s="828">
        <v>0</v>
      </c>
      <c r="BH5" s="828">
        <v>0</v>
      </c>
      <c r="BI5" s="828">
        <v>0</v>
      </c>
      <c r="BJ5" s="828">
        <v>0</v>
      </c>
      <c r="BK5" s="828">
        <v>0</v>
      </c>
      <c r="BL5" s="828">
        <v>0</v>
      </c>
      <c r="BM5" s="828">
        <v>0</v>
      </c>
      <c r="BN5" s="828">
        <v>0</v>
      </c>
      <c r="BO5" s="828">
        <v>0</v>
      </c>
      <c r="BP5" s="828">
        <v>0</v>
      </c>
      <c r="BQ5" s="828">
        <v>0</v>
      </c>
      <c r="BR5" s="828">
        <v>0</v>
      </c>
      <c r="BS5" s="828">
        <v>0</v>
      </c>
      <c r="BT5" s="828">
        <v>0</v>
      </c>
      <c r="BU5" s="828">
        <v>0</v>
      </c>
      <c r="BV5" s="828">
        <v>0</v>
      </c>
      <c r="BW5" s="828">
        <v>0</v>
      </c>
      <c r="BX5" s="828">
        <v>0</v>
      </c>
      <c r="BY5" s="828">
        <v>0</v>
      </c>
      <c r="BZ5" s="828">
        <v>0</v>
      </c>
      <c r="CA5" s="828">
        <v>0</v>
      </c>
      <c r="CB5" s="828">
        <v>0</v>
      </c>
      <c r="CC5" s="828">
        <v>0</v>
      </c>
      <c r="CD5" s="828">
        <v>0</v>
      </c>
    </row>
    <row r="6" spans="1:82" ht="25.5">
      <c r="A6" s="823" t="s">
        <v>2027</v>
      </c>
      <c r="B6" s="823" t="s">
        <v>2028</v>
      </c>
      <c r="C6" s="831" t="s">
        <v>2029</v>
      </c>
      <c r="D6" s="831"/>
      <c r="E6" s="831"/>
      <c r="F6" s="831"/>
      <c r="G6" s="831"/>
      <c r="H6" s="831"/>
      <c r="I6" s="831"/>
      <c r="J6" s="831"/>
      <c r="K6" s="831"/>
      <c r="L6" s="831"/>
      <c r="M6" s="831"/>
      <c r="N6" s="831"/>
      <c r="O6" s="831"/>
      <c r="P6" s="831"/>
      <c r="Q6" s="831"/>
      <c r="R6" s="831"/>
      <c r="S6" s="831"/>
      <c r="T6" s="831"/>
      <c r="U6" s="831"/>
      <c r="V6" s="831"/>
      <c r="W6" s="831"/>
      <c r="X6" s="831"/>
      <c r="Y6" s="831"/>
      <c r="Z6" s="831"/>
      <c r="AA6" s="831"/>
      <c r="AB6" s="831"/>
      <c r="AC6" s="831"/>
      <c r="AD6" s="831"/>
      <c r="AE6" s="831"/>
      <c r="AF6" s="831"/>
      <c r="AG6" s="831"/>
      <c r="AH6" s="831"/>
      <c r="AI6" s="831"/>
      <c r="AJ6" s="831"/>
      <c r="AK6" s="831"/>
      <c r="AL6" s="831"/>
      <c r="AM6" s="831"/>
      <c r="AN6" s="831"/>
      <c r="AO6" s="831"/>
      <c r="AP6" s="831"/>
      <c r="AQ6" s="828">
        <v>2</v>
      </c>
      <c r="AR6" s="828">
        <v>0</v>
      </c>
      <c r="AS6" s="828">
        <v>0</v>
      </c>
      <c r="AT6" s="828">
        <v>0</v>
      </c>
      <c r="AU6" s="828">
        <v>0</v>
      </c>
      <c r="AV6" s="828">
        <v>0</v>
      </c>
      <c r="AW6" s="828">
        <v>0</v>
      </c>
      <c r="AX6" s="828">
        <v>0</v>
      </c>
      <c r="AY6" s="828">
        <v>0</v>
      </c>
      <c r="AZ6" s="828">
        <v>0</v>
      </c>
      <c r="BA6" s="828">
        <v>0</v>
      </c>
      <c r="BB6" s="828">
        <v>0</v>
      </c>
      <c r="BC6" s="828">
        <v>0</v>
      </c>
      <c r="BD6" s="828">
        <v>0</v>
      </c>
      <c r="BE6" s="828">
        <v>0</v>
      </c>
      <c r="BF6" s="828">
        <v>0</v>
      </c>
      <c r="BG6" s="828">
        <v>0</v>
      </c>
      <c r="BH6" s="828">
        <v>0</v>
      </c>
      <c r="BI6" s="828">
        <v>0</v>
      </c>
      <c r="BJ6" s="828">
        <v>0</v>
      </c>
      <c r="BK6" s="828">
        <v>0</v>
      </c>
      <c r="BL6" s="828">
        <v>0</v>
      </c>
      <c r="BM6" s="828">
        <v>0</v>
      </c>
      <c r="BN6" s="828">
        <v>0</v>
      </c>
      <c r="BO6" s="828">
        <v>0</v>
      </c>
      <c r="BP6" s="828">
        <v>0</v>
      </c>
      <c r="BQ6" s="828">
        <v>0</v>
      </c>
      <c r="BR6" s="828">
        <v>0</v>
      </c>
      <c r="BS6" s="828">
        <v>0</v>
      </c>
      <c r="BT6" s="828">
        <v>0</v>
      </c>
      <c r="BU6" s="828">
        <v>0</v>
      </c>
      <c r="BV6" s="828">
        <v>0</v>
      </c>
      <c r="BW6" s="828">
        <v>0</v>
      </c>
      <c r="BX6" s="828">
        <v>0</v>
      </c>
      <c r="BY6" s="828">
        <v>0</v>
      </c>
      <c r="BZ6" s="828">
        <v>0</v>
      </c>
      <c r="CA6" s="828">
        <v>0</v>
      </c>
      <c r="CB6" s="828">
        <v>0</v>
      </c>
      <c r="CC6" s="828">
        <v>0</v>
      </c>
      <c r="CD6" s="828">
        <v>0</v>
      </c>
    </row>
    <row r="7" spans="1:82" ht="89.25">
      <c r="A7" s="823" t="s">
        <v>2030</v>
      </c>
      <c r="B7" s="823" t="s">
        <v>2031</v>
      </c>
      <c r="C7" s="826" t="s">
        <v>2032</v>
      </c>
      <c r="D7" s="826"/>
      <c r="E7" s="824"/>
      <c r="F7" s="824"/>
      <c r="G7" s="831"/>
      <c r="H7" s="831"/>
      <c r="I7" s="831"/>
      <c r="J7" s="831"/>
      <c r="K7" s="831"/>
      <c r="L7" s="831"/>
      <c r="M7" s="831"/>
      <c r="N7" s="831"/>
      <c r="O7" s="831"/>
      <c r="P7" s="831"/>
      <c r="Q7" s="831"/>
      <c r="R7" s="831"/>
      <c r="S7" s="831"/>
      <c r="T7" s="831"/>
      <c r="U7" s="831"/>
      <c r="V7" s="831"/>
      <c r="W7" s="831"/>
      <c r="X7" s="831"/>
      <c r="Y7" s="831"/>
      <c r="Z7" s="831"/>
      <c r="AA7" s="831"/>
      <c r="AB7" s="831"/>
      <c r="AC7" s="831"/>
      <c r="AD7" s="831"/>
      <c r="AE7" s="831"/>
      <c r="AF7" s="831"/>
      <c r="AG7" s="831"/>
      <c r="AH7" s="831"/>
      <c r="AI7" s="831"/>
      <c r="AJ7" s="831"/>
      <c r="AK7" s="831"/>
      <c r="AL7" s="831"/>
      <c r="AM7" s="831"/>
      <c r="AN7" s="831"/>
      <c r="AO7" s="831"/>
      <c r="AP7" s="831"/>
      <c r="AQ7" s="828">
        <v>9.8000000000000007</v>
      </c>
      <c r="AR7" s="828">
        <v>0</v>
      </c>
      <c r="AS7" s="828">
        <v>0</v>
      </c>
      <c r="AT7" s="828">
        <v>0</v>
      </c>
      <c r="AU7" s="828">
        <v>0</v>
      </c>
      <c r="AV7" s="828">
        <v>0</v>
      </c>
      <c r="AW7" s="828">
        <v>0</v>
      </c>
      <c r="AX7" s="828">
        <v>0</v>
      </c>
      <c r="AY7" s="828">
        <v>0</v>
      </c>
      <c r="AZ7" s="828">
        <v>0</v>
      </c>
      <c r="BA7" s="828">
        <v>0</v>
      </c>
      <c r="BB7" s="828">
        <v>0</v>
      </c>
      <c r="BC7" s="828">
        <v>0</v>
      </c>
      <c r="BD7" s="828">
        <v>0</v>
      </c>
      <c r="BE7" s="828">
        <v>0</v>
      </c>
      <c r="BF7" s="828">
        <v>0</v>
      </c>
      <c r="BG7" s="828">
        <v>0</v>
      </c>
      <c r="BH7" s="828">
        <v>0</v>
      </c>
      <c r="BI7" s="828">
        <v>0</v>
      </c>
      <c r="BJ7" s="828">
        <v>0</v>
      </c>
      <c r="BK7" s="828">
        <v>0</v>
      </c>
      <c r="BL7" s="828">
        <v>0</v>
      </c>
      <c r="BM7" s="828">
        <v>0</v>
      </c>
      <c r="BN7" s="828">
        <v>0</v>
      </c>
      <c r="BO7" s="828">
        <v>0</v>
      </c>
      <c r="BP7" s="828">
        <v>0</v>
      </c>
      <c r="BQ7" s="828">
        <v>0</v>
      </c>
      <c r="BR7" s="828">
        <v>0</v>
      </c>
      <c r="BS7" s="828">
        <v>0</v>
      </c>
      <c r="BT7" s="828">
        <v>0</v>
      </c>
      <c r="BU7" s="828">
        <v>0</v>
      </c>
      <c r="BV7" s="828">
        <v>0</v>
      </c>
      <c r="BW7" s="828">
        <v>0</v>
      </c>
      <c r="BX7" s="828">
        <v>0</v>
      </c>
      <c r="BY7" s="828">
        <v>0</v>
      </c>
      <c r="BZ7" s="828">
        <v>0</v>
      </c>
      <c r="CA7" s="828">
        <v>0</v>
      </c>
      <c r="CB7" s="828">
        <v>0</v>
      </c>
      <c r="CC7" s="828">
        <v>0</v>
      </c>
      <c r="CD7" s="828">
        <v>0</v>
      </c>
    </row>
    <row r="8" spans="1:82" ht="89.25">
      <c r="A8" s="823" t="s">
        <v>2033</v>
      </c>
      <c r="B8" s="823" t="s">
        <v>2034</v>
      </c>
      <c r="C8" s="826" t="s">
        <v>2035</v>
      </c>
      <c r="D8" s="831"/>
      <c r="E8" s="831"/>
      <c r="F8" s="831"/>
      <c r="G8" s="831"/>
      <c r="H8" s="831"/>
      <c r="I8" s="831"/>
      <c r="J8" s="831"/>
      <c r="K8" s="831"/>
      <c r="L8" s="831"/>
      <c r="M8" s="831"/>
      <c r="N8" s="831"/>
      <c r="O8" s="824"/>
      <c r="P8" s="824"/>
      <c r="Q8" s="824"/>
      <c r="R8" s="824"/>
      <c r="S8" s="824"/>
      <c r="T8" s="824"/>
      <c r="U8" s="824"/>
      <c r="V8" s="824"/>
      <c r="W8" s="824"/>
      <c r="X8" s="824"/>
      <c r="Y8" s="824"/>
      <c r="Z8" s="824"/>
      <c r="AA8" s="824"/>
      <c r="AB8" s="824"/>
      <c r="AC8" s="824"/>
      <c r="AD8" s="824"/>
      <c r="AE8" s="824"/>
      <c r="AF8" s="824"/>
      <c r="AG8" s="824"/>
      <c r="AH8" s="824"/>
      <c r="AI8" s="824"/>
      <c r="AJ8" s="831"/>
      <c r="AK8" s="831"/>
      <c r="AL8" s="831"/>
      <c r="AM8" s="831"/>
      <c r="AN8" s="831"/>
      <c r="AO8" s="831"/>
      <c r="AP8" s="831"/>
      <c r="AQ8" s="828">
        <v>10.199999999999999</v>
      </c>
      <c r="AR8" s="828">
        <v>0</v>
      </c>
      <c r="AS8" s="828">
        <v>0</v>
      </c>
      <c r="AT8" s="828">
        <v>0</v>
      </c>
      <c r="AU8" s="828">
        <v>0</v>
      </c>
      <c r="AV8" s="828">
        <v>0</v>
      </c>
      <c r="AW8" s="828">
        <v>0</v>
      </c>
      <c r="AX8" s="828">
        <v>0</v>
      </c>
      <c r="AY8" s="828">
        <v>0</v>
      </c>
      <c r="AZ8" s="828">
        <v>0</v>
      </c>
      <c r="BA8" s="828">
        <v>0</v>
      </c>
      <c r="BB8" s="828">
        <v>0</v>
      </c>
      <c r="BC8" s="828">
        <v>0</v>
      </c>
      <c r="BD8" s="828">
        <v>0</v>
      </c>
      <c r="BE8" s="828">
        <v>0</v>
      </c>
      <c r="BF8" s="828">
        <v>0</v>
      </c>
      <c r="BG8" s="828">
        <v>0</v>
      </c>
      <c r="BH8" s="828">
        <v>0</v>
      </c>
      <c r="BI8" s="828">
        <v>0</v>
      </c>
      <c r="BJ8" s="828">
        <v>0</v>
      </c>
      <c r="BK8" s="828">
        <v>0</v>
      </c>
      <c r="BL8" s="828">
        <v>0</v>
      </c>
      <c r="BM8" s="828">
        <v>0</v>
      </c>
      <c r="BN8" s="828">
        <v>0</v>
      </c>
      <c r="BO8" s="828">
        <v>0</v>
      </c>
      <c r="BP8" s="828">
        <v>0</v>
      </c>
      <c r="BQ8" s="828">
        <v>0</v>
      </c>
      <c r="BR8" s="828">
        <v>0</v>
      </c>
      <c r="BS8" s="828">
        <v>0</v>
      </c>
      <c r="BT8" s="828">
        <v>0</v>
      </c>
      <c r="BU8" s="828">
        <v>0</v>
      </c>
      <c r="BV8" s="828">
        <v>0</v>
      </c>
      <c r="BW8" s="828">
        <v>0</v>
      </c>
      <c r="BX8" s="828">
        <v>0</v>
      </c>
      <c r="BY8" s="828">
        <v>0</v>
      </c>
      <c r="BZ8" s="828">
        <v>0</v>
      </c>
      <c r="CA8" s="828">
        <v>0</v>
      </c>
      <c r="CB8" s="828">
        <v>0</v>
      </c>
      <c r="CC8" s="828">
        <v>0</v>
      </c>
      <c r="CD8" s="828">
        <v>0</v>
      </c>
    </row>
    <row r="9" spans="1:82" ht="89.25">
      <c r="A9" s="823" t="s">
        <v>2033</v>
      </c>
      <c r="B9" s="823" t="s">
        <v>2036</v>
      </c>
      <c r="C9" s="824" t="s">
        <v>2037</v>
      </c>
      <c r="D9" s="824" t="s">
        <v>2038</v>
      </c>
      <c r="E9" s="826" t="s">
        <v>2039</v>
      </c>
      <c r="F9" s="824" t="s">
        <v>2040</v>
      </c>
      <c r="G9" s="824" t="s">
        <v>2041</v>
      </c>
      <c r="H9" s="826" t="s">
        <v>2042</v>
      </c>
      <c r="I9" s="824" t="s">
        <v>2043</v>
      </c>
      <c r="J9" s="824" t="s">
        <v>2044</v>
      </c>
      <c r="K9" s="824" t="s">
        <v>2045</v>
      </c>
      <c r="L9" s="824" t="s">
        <v>2046</v>
      </c>
      <c r="M9" s="826" t="s">
        <v>2047</v>
      </c>
      <c r="N9" s="824" t="s">
        <v>2048</v>
      </c>
      <c r="O9" s="826" t="s">
        <v>2049</v>
      </c>
      <c r="P9" s="824" t="s">
        <v>2050</v>
      </c>
      <c r="Q9" s="826" t="s">
        <v>2051</v>
      </c>
      <c r="R9" s="824" t="s">
        <v>2052</v>
      </c>
      <c r="S9" s="824" t="s">
        <v>2053</v>
      </c>
      <c r="T9" s="824" t="s">
        <v>2054</v>
      </c>
      <c r="U9" s="826" t="s">
        <v>2055</v>
      </c>
      <c r="V9" s="824" t="s">
        <v>2056</v>
      </c>
      <c r="W9" s="824" t="s">
        <v>2057</v>
      </c>
      <c r="X9" s="826" t="s">
        <v>2058</v>
      </c>
      <c r="Y9" s="824" t="s">
        <v>2059</v>
      </c>
      <c r="Z9" s="826" t="s">
        <v>2060</v>
      </c>
      <c r="AA9" s="824" t="s">
        <v>2061</v>
      </c>
      <c r="AB9" s="826" t="s">
        <v>2062</v>
      </c>
      <c r="AC9" s="826" t="s">
        <v>2063</v>
      </c>
      <c r="AD9" s="824" t="s">
        <v>2064</v>
      </c>
      <c r="AE9" s="824" t="s">
        <v>2065</v>
      </c>
      <c r="AF9" s="824" t="s">
        <v>2066</v>
      </c>
      <c r="AG9" s="824"/>
      <c r="AH9" s="824"/>
      <c r="AI9" s="824"/>
      <c r="AJ9" s="831"/>
      <c r="AK9" s="831"/>
      <c r="AL9" s="831"/>
      <c r="AM9" s="831"/>
      <c r="AN9" s="831"/>
      <c r="AO9" s="831"/>
      <c r="AP9" s="831"/>
      <c r="AQ9" s="828">
        <v>9.9</v>
      </c>
      <c r="AR9" s="828">
        <v>10</v>
      </c>
      <c r="AS9" s="828">
        <v>9.8000000000000007</v>
      </c>
      <c r="AT9" s="828">
        <v>10.9</v>
      </c>
      <c r="AU9" s="828">
        <v>6.5</v>
      </c>
      <c r="AV9" s="828">
        <v>9.6999999999999993</v>
      </c>
      <c r="AW9" s="828">
        <v>13.9</v>
      </c>
      <c r="AX9" s="828">
        <v>9.1</v>
      </c>
      <c r="AY9" s="828">
        <v>10.199999999999999</v>
      </c>
      <c r="AZ9" s="828">
        <v>17.899999999999999</v>
      </c>
      <c r="BA9" s="828">
        <v>9.1999999999999993</v>
      </c>
      <c r="BB9" s="828">
        <v>9.8000000000000007</v>
      </c>
      <c r="BC9" s="828">
        <v>10.5</v>
      </c>
      <c r="BD9" s="828">
        <v>10.6</v>
      </c>
      <c r="BE9" s="828">
        <v>10.9</v>
      </c>
      <c r="BF9" s="828">
        <v>11.3</v>
      </c>
      <c r="BG9" s="828">
        <v>9.9</v>
      </c>
      <c r="BH9" s="828">
        <v>10.1</v>
      </c>
      <c r="BI9" s="828">
        <v>11.3</v>
      </c>
      <c r="BJ9" s="828">
        <v>11.5</v>
      </c>
      <c r="BK9" s="828">
        <v>11.4</v>
      </c>
      <c r="BL9" s="828">
        <v>8.9</v>
      </c>
      <c r="BM9" s="828">
        <v>6.9</v>
      </c>
      <c r="BN9" s="828">
        <v>10.4</v>
      </c>
      <c r="BO9" s="828">
        <v>8.5</v>
      </c>
      <c r="BP9" s="828">
        <v>6.7</v>
      </c>
      <c r="BQ9" s="828">
        <v>11.4</v>
      </c>
      <c r="BR9" s="828">
        <v>11.4</v>
      </c>
      <c r="BS9" s="828">
        <v>0</v>
      </c>
      <c r="BT9" s="828">
        <v>9.9</v>
      </c>
      <c r="BU9" s="828">
        <v>0</v>
      </c>
      <c r="BV9" s="828">
        <v>0</v>
      </c>
      <c r="BW9" s="828">
        <v>0</v>
      </c>
      <c r="BX9" s="828">
        <v>0</v>
      </c>
      <c r="BY9" s="828">
        <v>0</v>
      </c>
      <c r="BZ9" s="828">
        <v>0</v>
      </c>
      <c r="CA9" s="828">
        <v>0</v>
      </c>
      <c r="CB9" s="828">
        <v>0</v>
      </c>
      <c r="CC9" s="828">
        <v>0</v>
      </c>
      <c r="CD9" s="828">
        <v>0</v>
      </c>
    </row>
    <row r="10" spans="1:82" ht="89.25">
      <c r="A10" s="823" t="s">
        <v>2067</v>
      </c>
      <c r="B10" s="823" t="s">
        <v>2068</v>
      </c>
      <c r="C10" s="826" t="s">
        <v>2069</v>
      </c>
      <c r="D10" s="824" t="s">
        <v>2070</v>
      </c>
      <c r="E10" s="831"/>
      <c r="F10" s="831"/>
      <c r="G10" s="831"/>
      <c r="H10" s="831"/>
      <c r="I10" s="831"/>
      <c r="J10" s="831"/>
      <c r="K10" s="831"/>
      <c r="L10" s="831"/>
      <c r="M10" s="831"/>
      <c r="N10" s="831"/>
      <c r="O10" s="831"/>
      <c r="P10" s="831"/>
      <c r="Q10" s="831"/>
      <c r="R10" s="831"/>
      <c r="S10" s="831"/>
      <c r="T10" s="831"/>
      <c r="U10" s="831"/>
      <c r="V10" s="831"/>
      <c r="W10" s="831"/>
      <c r="X10" s="831"/>
      <c r="Y10" s="831"/>
      <c r="Z10" s="831"/>
      <c r="AA10" s="831"/>
      <c r="AB10" s="831"/>
      <c r="AC10" s="831"/>
      <c r="AD10" s="831"/>
      <c r="AE10" s="831"/>
      <c r="AF10" s="831"/>
      <c r="AG10" s="831"/>
      <c r="AH10" s="831"/>
      <c r="AI10" s="831"/>
      <c r="AJ10" s="831"/>
      <c r="AK10" s="831"/>
      <c r="AL10" s="831"/>
      <c r="AM10" s="831"/>
      <c r="AN10" s="831"/>
      <c r="AO10" s="831"/>
      <c r="AP10" s="831"/>
      <c r="AQ10" s="828">
        <v>11.3</v>
      </c>
      <c r="AR10" s="828">
        <v>12.2</v>
      </c>
      <c r="AS10" s="828">
        <v>0</v>
      </c>
      <c r="AT10" s="828">
        <v>0</v>
      </c>
      <c r="AU10" s="828">
        <v>0</v>
      </c>
      <c r="AV10" s="828">
        <v>0</v>
      </c>
      <c r="AW10" s="828">
        <v>0</v>
      </c>
      <c r="AX10" s="828">
        <v>0</v>
      </c>
      <c r="AY10" s="828">
        <v>0</v>
      </c>
      <c r="AZ10" s="828">
        <v>0</v>
      </c>
      <c r="BA10" s="828">
        <v>0</v>
      </c>
      <c r="BB10" s="828">
        <v>0</v>
      </c>
      <c r="BC10" s="828">
        <v>0</v>
      </c>
      <c r="BD10" s="828">
        <v>0</v>
      </c>
      <c r="BE10" s="828">
        <v>0</v>
      </c>
      <c r="BF10" s="828">
        <v>0</v>
      </c>
      <c r="BG10" s="828">
        <v>0</v>
      </c>
      <c r="BH10" s="828">
        <v>0</v>
      </c>
      <c r="BI10" s="828">
        <v>0</v>
      </c>
      <c r="BJ10" s="828">
        <v>0</v>
      </c>
      <c r="BK10" s="828">
        <v>0</v>
      </c>
      <c r="BL10" s="828">
        <v>0</v>
      </c>
      <c r="BM10" s="828">
        <v>0</v>
      </c>
      <c r="BN10" s="828">
        <v>0</v>
      </c>
      <c r="BO10" s="828">
        <v>0</v>
      </c>
      <c r="BP10" s="828">
        <v>0</v>
      </c>
      <c r="BQ10" s="828">
        <v>0</v>
      </c>
      <c r="BR10" s="828">
        <v>0</v>
      </c>
      <c r="BS10" s="828">
        <v>0</v>
      </c>
      <c r="BT10" s="828">
        <v>0</v>
      </c>
      <c r="BU10" s="828">
        <v>0</v>
      </c>
      <c r="BV10" s="828">
        <v>0</v>
      </c>
      <c r="BW10" s="828">
        <v>0</v>
      </c>
      <c r="BX10" s="828">
        <v>0</v>
      </c>
      <c r="BY10" s="828">
        <v>0</v>
      </c>
      <c r="BZ10" s="828">
        <v>0</v>
      </c>
      <c r="CA10" s="828">
        <v>0</v>
      </c>
      <c r="CB10" s="828">
        <v>0</v>
      </c>
      <c r="CC10" s="828">
        <v>0</v>
      </c>
      <c r="CD10" s="828">
        <v>0</v>
      </c>
    </row>
    <row r="11" spans="1:82" ht="89.25">
      <c r="A11" s="823" t="s">
        <v>2071</v>
      </c>
      <c r="B11" s="823" t="s">
        <v>2072</v>
      </c>
      <c r="C11" s="824" t="s">
        <v>2073</v>
      </c>
      <c r="D11" s="831"/>
      <c r="E11" s="831"/>
      <c r="F11" s="831"/>
      <c r="G11" s="831"/>
      <c r="H11" s="831"/>
      <c r="I11" s="831"/>
      <c r="J11" s="831"/>
      <c r="K11" s="831"/>
      <c r="L11" s="831"/>
      <c r="M11" s="831"/>
      <c r="N11" s="831"/>
      <c r="O11" s="831"/>
      <c r="P11" s="831"/>
      <c r="Q11" s="831"/>
      <c r="R11" s="831"/>
      <c r="S11" s="831"/>
      <c r="T11" s="831"/>
      <c r="U11" s="831"/>
      <c r="V11" s="831"/>
      <c r="W11" s="831"/>
      <c r="X11" s="831"/>
      <c r="Y11" s="831"/>
      <c r="Z11" s="831"/>
      <c r="AA11" s="831"/>
      <c r="AB11" s="831"/>
      <c r="AC11" s="831"/>
      <c r="AD11" s="831"/>
      <c r="AE11" s="831"/>
      <c r="AF11" s="831"/>
      <c r="AG11" s="831"/>
      <c r="AH11" s="831"/>
      <c r="AI11" s="831"/>
      <c r="AJ11" s="831"/>
      <c r="AK11" s="831"/>
      <c r="AL11" s="831"/>
      <c r="AM11" s="831"/>
      <c r="AN11" s="831"/>
      <c r="AO11" s="831"/>
      <c r="AP11" s="831"/>
      <c r="AQ11" s="828">
        <v>91.5</v>
      </c>
      <c r="AR11" s="828">
        <v>0</v>
      </c>
      <c r="AS11" s="828">
        <v>0</v>
      </c>
      <c r="AT11" s="828">
        <v>0</v>
      </c>
      <c r="AU11" s="828">
        <v>0</v>
      </c>
      <c r="AV11" s="828">
        <v>0</v>
      </c>
      <c r="AW11" s="828">
        <v>0</v>
      </c>
      <c r="AX11" s="828">
        <v>0</v>
      </c>
      <c r="AY11" s="828">
        <v>0</v>
      </c>
      <c r="AZ11" s="828">
        <v>0</v>
      </c>
      <c r="BA11" s="828">
        <v>0</v>
      </c>
      <c r="BB11" s="828">
        <v>0</v>
      </c>
      <c r="BC11" s="828">
        <v>0</v>
      </c>
      <c r="BD11" s="828">
        <v>0</v>
      </c>
      <c r="BE11" s="828">
        <v>0</v>
      </c>
      <c r="BF11" s="828">
        <v>0</v>
      </c>
      <c r="BG11" s="828">
        <v>0</v>
      </c>
      <c r="BH11" s="828">
        <v>0</v>
      </c>
      <c r="BI11" s="828">
        <v>0</v>
      </c>
      <c r="BJ11" s="828">
        <v>0</v>
      </c>
      <c r="BK11" s="828">
        <v>0</v>
      </c>
      <c r="BL11" s="828">
        <v>0</v>
      </c>
      <c r="BM11" s="828">
        <v>0</v>
      </c>
      <c r="BN11" s="828">
        <v>0</v>
      </c>
      <c r="BO11" s="828">
        <v>0</v>
      </c>
      <c r="BP11" s="828">
        <v>0</v>
      </c>
      <c r="BQ11" s="828">
        <v>0</v>
      </c>
      <c r="BR11" s="828">
        <v>0</v>
      </c>
      <c r="BS11" s="828">
        <v>0</v>
      </c>
      <c r="BT11" s="828">
        <v>0</v>
      </c>
      <c r="BU11" s="828">
        <v>0</v>
      </c>
      <c r="BV11" s="828">
        <v>0</v>
      </c>
      <c r="BW11" s="828">
        <v>0</v>
      </c>
      <c r="BX11" s="828">
        <v>0</v>
      </c>
      <c r="BY11" s="828">
        <v>0</v>
      </c>
      <c r="BZ11" s="828">
        <v>0</v>
      </c>
      <c r="CA11" s="828">
        <v>0</v>
      </c>
      <c r="CB11" s="828">
        <v>0</v>
      </c>
      <c r="CC11" s="828">
        <v>0</v>
      </c>
      <c r="CD11" s="828">
        <v>0</v>
      </c>
    </row>
    <row r="12" spans="1:82" ht="89.25">
      <c r="A12" s="823" t="s">
        <v>2074</v>
      </c>
      <c r="B12" s="823" t="s">
        <v>2075</v>
      </c>
      <c r="C12" s="826" t="s">
        <v>2076</v>
      </c>
      <c r="D12" s="824" t="s">
        <v>2077</v>
      </c>
      <c r="E12" s="826" t="s">
        <v>2078</v>
      </c>
      <c r="F12" s="824" t="s">
        <v>2079</v>
      </c>
      <c r="G12" s="824"/>
      <c r="H12" s="824"/>
      <c r="I12" s="826" t="s">
        <v>2080</v>
      </c>
      <c r="J12" s="824" t="s">
        <v>2081</v>
      </c>
      <c r="K12" s="826" t="s">
        <v>2082</v>
      </c>
      <c r="L12" s="824" t="s">
        <v>2083</v>
      </c>
      <c r="M12" s="824" t="s">
        <v>2084</v>
      </c>
      <c r="N12" s="824" t="s">
        <v>2085</v>
      </c>
      <c r="O12" s="824" t="s">
        <v>2086</v>
      </c>
      <c r="P12" s="826" t="s">
        <v>2087</v>
      </c>
      <c r="Q12" s="824" t="s">
        <v>2088</v>
      </c>
      <c r="R12" s="826" t="s">
        <v>2089</v>
      </c>
      <c r="S12" s="824" t="s">
        <v>2090</v>
      </c>
      <c r="T12" s="826" t="s">
        <v>2091</v>
      </c>
      <c r="U12" s="824" t="s">
        <v>2092</v>
      </c>
      <c r="V12" s="824" t="s">
        <v>2093</v>
      </c>
      <c r="W12" s="826" t="s">
        <v>2094</v>
      </c>
      <c r="X12" s="824" t="s">
        <v>2095</v>
      </c>
      <c r="Y12" s="826" t="s">
        <v>2096</v>
      </c>
      <c r="Z12" s="824" t="s">
        <v>2097</v>
      </c>
      <c r="AA12" s="826" t="s">
        <v>2098</v>
      </c>
      <c r="AB12" s="824" t="s">
        <v>2099</v>
      </c>
      <c r="AC12" s="824" t="s">
        <v>2100</v>
      </c>
      <c r="AD12" s="824" t="s">
        <v>2101</v>
      </c>
      <c r="AE12" s="826" t="s">
        <v>2102</v>
      </c>
      <c r="AF12" s="824" t="s">
        <v>2103</v>
      </c>
      <c r="AG12" s="824" t="s">
        <v>2104</v>
      </c>
      <c r="AH12" s="826" t="s">
        <v>2105</v>
      </c>
      <c r="AI12" s="826" t="s">
        <v>2106</v>
      </c>
      <c r="AJ12" s="831"/>
      <c r="AK12" s="831"/>
      <c r="AL12" s="831"/>
      <c r="AM12" s="831"/>
      <c r="AN12" s="831"/>
      <c r="AO12" s="831"/>
      <c r="AP12" s="831"/>
      <c r="AQ12" s="828">
        <v>22.7</v>
      </c>
      <c r="AR12" s="828">
        <v>22.7</v>
      </c>
      <c r="AS12" s="828">
        <v>24.8</v>
      </c>
      <c r="AT12" s="828">
        <v>24.8</v>
      </c>
      <c r="AU12" s="828">
        <v>0</v>
      </c>
      <c r="AV12" s="828">
        <v>0</v>
      </c>
      <c r="AW12" s="828">
        <v>28.6</v>
      </c>
      <c r="AX12" s="828">
        <v>28.6</v>
      </c>
      <c r="AY12" s="828">
        <v>22.7</v>
      </c>
      <c r="AZ12" s="828">
        <v>22.7</v>
      </c>
      <c r="BA12" s="828">
        <v>0</v>
      </c>
      <c r="BB12" s="828">
        <v>0</v>
      </c>
      <c r="BC12" s="828">
        <v>0</v>
      </c>
      <c r="BD12" s="828">
        <v>26</v>
      </c>
      <c r="BE12" s="828">
        <v>26.2</v>
      </c>
      <c r="BF12" s="828">
        <v>26.5</v>
      </c>
      <c r="BG12" s="828">
        <v>26.5</v>
      </c>
      <c r="BH12" s="828">
        <v>24.3</v>
      </c>
      <c r="BI12" s="828">
        <v>24.3</v>
      </c>
      <c r="BJ12" s="828">
        <v>20.9</v>
      </c>
      <c r="BK12" s="828">
        <v>26.7</v>
      </c>
      <c r="BL12" s="828">
        <v>27.3</v>
      </c>
      <c r="BM12" s="828">
        <v>35</v>
      </c>
      <c r="BN12" s="828">
        <v>35</v>
      </c>
      <c r="BO12" s="828">
        <v>26.7</v>
      </c>
      <c r="BP12" s="828">
        <v>18.399999999999999</v>
      </c>
      <c r="BQ12" s="828">
        <v>0</v>
      </c>
      <c r="BR12" s="828">
        <v>28.9</v>
      </c>
      <c r="BS12" s="828">
        <v>31.8</v>
      </c>
      <c r="BT12" s="828">
        <v>0</v>
      </c>
      <c r="BU12" s="828">
        <v>0</v>
      </c>
      <c r="BV12" s="828">
        <v>15.6</v>
      </c>
      <c r="BW12" s="828">
        <v>11.7</v>
      </c>
      <c r="BX12" s="828">
        <v>0</v>
      </c>
      <c r="BY12" s="828">
        <v>0</v>
      </c>
      <c r="BZ12" s="828">
        <v>0</v>
      </c>
      <c r="CA12" s="828">
        <v>0</v>
      </c>
      <c r="CB12" s="828">
        <v>0</v>
      </c>
      <c r="CC12" s="828">
        <v>0</v>
      </c>
      <c r="CD12" s="828">
        <v>0</v>
      </c>
    </row>
    <row r="13" spans="1:82" ht="25.5">
      <c r="A13" s="823" t="s">
        <v>2107</v>
      </c>
      <c r="B13" s="823" t="s">
        <v>2108</v>
      </c>
      <c r="C13" s="824" t="s">
        <v>2109</v>
      </c>
      <c r="D13" s="831"/>
      <c r="E13" s="831"/>
      <c r="F13" s="831"/>
      <c r="G13" s="831"/>
      <c r="H13" s="831"/>
      <c r="I13" s="831"/>
      <c r="J13" s="831"/>
      <c r="K13" s="831"/>
      <c r="L13" s="831"/>
      <c r="M13" s="831"/>
      <c r="N13" s="831"/>
      <c r="O13" s="831"/>
      <c r="P13" s="831"/>
      <c r="Q13" s="831"/>
      <c r="R13" s="831"/>
      <c r="S13" s="831"/>
      <c r="T13" s="831"/>
      <c r="U13" s="831"/>
      <c r="V13" s="831"/>
      <c r="W13" s="831"/>
      <c r="X13" s="831"/>
      <c r="Y13" s="831"/>
      <c r="Z13" s="831"/>
      <c r="AA13" s="831"/>
      <c r="AB13" s="831"/>
      <c r="AC13" s="831"/>
      <c r="AD13" s="831"/>
      <c r="AE13" s="831"/>
      <c r="AF13" s="831"/>
      <c r="AG13" s="831"/>
      <c r="AH13" s="831"/>
      <c r="AI13" s="831"/>
      <c r="AJ13" s="831"/>
      <c r="AK13" s="831"/>
      <c r="AL13" s="831"/>
      <c r="AM13" s="831"/>
      <c r="AN13" s="831"/>
      <c r="AO13" s="831"/>
      <c r="AP13" s="831"/>
      <c r="AQ13" s="828">
        <v>9.9</v>
      </c>
      <c r="AR13" s="828">
        <v>0</v>
      </c>
      <c r="AS13" s="828">
        <v>0</v>
      </c>
      <c r="AT13" s="828">
        <v>0</v>
      </c>
      <c r="AU13" s="828">
        <v>0</v>
      </c>
      <c r="AV13" s="828">
        <v>0</v>
      </c>
      <c r="AW13" s="828">
        <v>0</v>
      </c>
      <c r="AX13" s="828">
        <v>0</v>
      </c>
      <c r="AY13" s="828">
        <v>0</v>
      </c>
      <c r="AZ13" s="828">
        <v>0</v>
      </c>
      <c r="BA13" s="828">
        <v>0</v>
      </c>
      <c r="BB13" s="828">
        <v>0</v>
      </c>
      <c r="BC13" s="828">
        <v>0</v>
      </c>
      <c r="BD13" s="828">
        <v>0</v>
      </c>
      <c r="BE13" s="828">
        <v>0</v>
      </c>
      <c r="BF13" s="828">
        <v>0</v>
      </c>
      <c r="BG13" s="828">
        <v>0</v>
      </c>
      <c r="BH13" s="828">
        <v>0</v>
      </c>
      <c r="BI13" s="828">
        <v>0</v>
      </c>
      <c r="BJ13" s="828">
        <v>0</v>
      </c>
      <c r="BK13" s="828">
        <v>0</v>
      </c>
      <c r="BL13" s="828">
        <v>0</v>
      </c>
      <c r="BM13" s="828">
        <v>0</v>
      </c>
      <c r="BN13" s="828">
        <v>0</v>
      </c>
      <c r="BO13" s="828">
        <v>0</v>
      </c>
      <c r="BP13" s="828">
        <v>0</v>
      </c>
      <c r="BQ13" s="828">
        <v>0</v>
      </c>
      <c r="BR13" s="828">
        <v>0</v>
      </c>
      <c r="BS13" s="828">
        <v>0</v>
      </c>
      <c r="BT13" s="828">
        <v>0</v>
      </c>
      <c r="BU13" s="828">
        <v>0</v>
      </c>
      <c r="BV13" s="828">
        <v>0</v>
      </c>
      <c r="BW13" s="828">
        <v>0</v>
      </c>
      <c r="BX13" s="828">
        <v>0</v>
      </c>
      <c r="BY13" s="828">
        <v>0</v>
      </c>
      <c r="BZ13" s="828">
        <v>0</v>
      </c>
      <c r="CA13" s="828">
        <v>0</v>
      </c>
      <c r="CB13" s="828">
        <v>0</v>
      </c>
      <c r="CC13" s="828">
        <v>0</v>
      </c>
      <c r="CD13" s="828">
        <v>0</v>
      </c>
    </row>
    <row r="14" spans="1:82" ht="38.25">
      <c r="A14" s="823" t="s">
        <v>2110</v>
      </c>
      <c r="B14" s="823" t="s">
        <v>2111</v>
      </c>
      <c r="C14" s="826" t="s">
        <v>2112</v>
      </c>
      <c r="D14" s="824" t="s">
        <v>2113</v>
      </c>
      <c r="E14" s="824"/>
      <c r="F14" s="824"/>
      <c r="G14" s="824"/>
      <c r="H14" s="831"/>
      <c r="I14" s="831"/>
      <c r="J14" s="831"/>
      <c r="K14" s="831"/>
      <c r="L14" s="831"/>
      <c r="M14" s="831"/>
      <c r="N14" s="831"/>
      <c r="O14" s="831"/>
      <c r="P14" s="831"/>
      <c r="Q14" s="831"/>
      <c r="R14" s="831"/>
      <c r="S14" s="831"/>
      <c r="T14" s="831"/>
      <c r="U14" s="831"/>
      <c r="V14" s="831"/>
      <c r="W14" s="831"/>
      <c r="X14" s="831"/>
      <c r="Y14" s="831"/>
      <c r="Z14" s="831"/>
      <c r="AA14" s="831"/>
      <c r="AB14" s="831"/>
      <c r="AC14" s="831"/>
      <c r="AD14" s="831"/>
      <c r="AE14" s="831"/>
      <c r="AF14" s="831"/>
      <c r="AG14" s="831"/>
      <c r="AH14" s="831"/>
      <c r="AI14" s="831"/>
      <c r="AJ14" s="831"/>
      <c r="AK14" s="831"/>
      <c r="AL14" s="831"/>
      <c r="AM14" s="831"/>
      <c r="AN14" s="831"/>
      <c r="AO14" s="831"/>
      <c r="AP14" s="831"/>
      <c r="AQ14" s="828">
        <v>23.6</v>
      </c>
      <c r="AR14" s="828">
        <v>23.6</v>
      </c>
      <c r="AS14" s="828">
        <v>0</v>
      </c>
      <c r="AT14" s="828">
        <v>0</v>
      </c>
      <c r="AU14" s="828">
        <v>0</v>
      </c>
      <c r="AV14" s="828">
        <v>0</v>
      </c>
      <c r="AW14" s="828">
        <v>0</v>
      </c>
      <c r="AX14" s="828">
        <v>0</v>
      </c>
      <c r="AY14" s="828">
        <v>0</v>
      </c>
      <c r="AZ14" s="828">
        <v>0</v>
      </c>
      <c r="BA14" s="828">
        <v>0</v>
      </c>
      <c r="BB14" s="828">
        <v>0</v>
      </c>
      <c r="BC14" s="828">
        <v>0</v>
      </c>
      <c r="BD14" s="828">
        <v>0</v>
      </c>
      <c r="BE14" s="828">
        <v>0</v>
      </c>
      <c r="BF14" s="828">
        <v>0</v>
      </c>
      <c r="BG14" s="828">
        <v>0</v>
      </c>
      <c r="BH14" s="828">
        <v>0</v>
      </c>
      <c r="BI14" s="828">
        <v>0</v>
      </c>
      <c r="BJ14" s="828">
        <v>0</v>
      </c>
      <c r="BK14" s="828">
        <v>0</v>
      </c>
      <c r="BL14" s="828">
        <v>0</v>
      </c>
      <c r="BM14" s="828">
        <v>0</v>
      </c>
      <c r="BN14" s="828">
        <v>0</v>
      </c>
      <c r="BO14" s="828">
        <v>0</v>
      </c>
      <c r="BP14" s="828">
        <v>0</v>
      </c>
      <c r="BQ14" s="828">
        <v>0</v>
      </c>
      <c r="BR14" s="828">
        <v>0</v>
      </c>
      <c r="BS14" s="828">
        <v>0</v>
      </c>
      <c r="BT14" s="828">
        <v>0</v>
      </c>
      <c r="BU14" s="828">
        <v>0</v>
      </c>
      <c r="BV14" s="828">
        <v>0</v>
      </c>
      <c r="BW14" s="828">
        <v>0</v>
      </c>
      <c r="BX14" s="828">
        <v>0</v>
      </c>
      <c r="BY14" s="828">
        <v>0</v>
      </c>
      <c r="BZ14" s="828">
        <v>0</v>
      </c>
      <c r="CA14" s="828">
        <v>0</v>
      </c>
      <c r="CB14" s="828">
        <v>0</v>
      </c>
      <c r="CC14" s="828">
        <v>0</v>
      </c>
      <c r="CD14" s="828">
        <v>0</v>
      </c>
    </row>
    <row r="15" spans="1:82" ht="63.75">
      <c r="A15" s="823" t="s">
        <v>2114</v>
      </c>
      <c r="B15" s="823" t="s">
        <v>2115</v>
      </c>
      <c r="C15" s="824"/>
      <c r="D15" s="824"/>
      <c r="E15" s="826" t="s">
        <v>2116</v>
      </c>
      <c r="F15" s="826"/>
      <c r="G15" s="826" t="s">
        <v>2117</v>
      </c>
      <c r="H15" s="826" t="s">
        <v>2118</v>
      </c>
      <c r="I15" s="831"/>
      <c r="J15" s="831"/>
      <c r="K15" s="831"/>
      <c r="L15" s="831"/>
      <c r="M15" s="831"/>
      <c r="N15" s="831"/>
      <c r="O15" s="831"/>
      <c r="P15" s="831"/>
      <c r="Q15" s="831"/>
      <c r="R15" s="831"/>
      <c r="S15" s="831"/>
      <c r="T15" s="831"/>
      <c r="U15" s="831"/>
      <c r="V15" s="831"/>
      <c r="W15" s="831"/>
      <c r="X15" s="831"/>
      <c r="Y15" s="831"/>
      <c r="Z15" s="831"/>
      <c r="AA15" s="831"/>
      <c r="AB15" s="831"/>
      <c r="AC15" s="831"/>
      <c r="AD15" s="831"/>
      <c r="AE15" s="831"/>
      <c r="AF15" s="831"/>
      <c r="AG15" s="831"/>
      <c r="AH15" s="831"/>
      <c r="AI15" s="831"/>
      <c r="AJ15" s="831"/>
      <c r="AK15" s="831"/>
      <c r="AL15" s="831"/>
      <c r="AM15" s="831"/>
      <c r="AN15" s="831"/>
      <c r="AO15" s="831"/>
      <c r="AP15" s="831"/>
      <c r="AQ15" s="828">
        <v>0</v>
      </c>
      <c r="AR15" s="828">
        <v>0</v>
      </c>
      <c r="AS15" s="828">
        <v>2.2999999999999998</v>
      </c>
      <c r="AT15" s="828">
        <v>0</v>
      </c>
      <c r="AU15" s="828">
        <v>5</v>
      </c>
      <c r="AV15" s="828">
        <v>19.3</v>
      </c>
      <c r="AW15" s="828">
        <v>0</v>
      </c>
      <c r="AX15" s="828">
        <v>0</v>
      </c>
      <c r="AY15" s="828">
        <v>0</v>
      </c>
      <c r="AZ15" s="828">
        <v>0</v>
      </c>
      <c r="BA15" s="828">
        <v>0</v>
      </c>
      <c r="BB15" s="828">
        <v>0</v>
      </c>
      <c r="BC15" s="828">
        <v>0</v>
      </c>
      <c r="BD15" s="828">
        <v>0</v>
      </c>
      <c r="BE15" s="828">
        <v>0</v>
      </c>
      <c r="BF15" s="828">
        <v>0</v>
      </c>
      <c r="BG15" s="828">
        <v>0</v>
      </c>
      <c r="BH15" s="828">
        <v>0</v>
      </c>
      <c r="BI15" s="828">
        <v>0</v>
      </c>
      <c r="BJ15" s="828">
        <v>0</v>
      </c>
      <c r="BK15" s="828">
        <v>0</v>
      </c>
      <c r="BL15" s="828">
        <v>0</v>
      </c>
      <c r="BM15" s="828">
        <v>0</v>
      </c>
      <c r="BN15" s="828">
        <v>0</v>
      </c>
      <c r="BO15" s="828">
        <v>0</v>
      </c>
      <c r="BP15" s="828">
        <v>0</v>
      </c>
      <c r="BQ15" s="828">
        <v>0</v>
      </c>
      <c r="BR15" s="828">
        <v>0</v>
      </c>
      <c r="BS15" s="828">
        <v>0</v>
      </c>
      <c r="BT15" s="828">
        <v>0</v>
      </c>
      <c r="BU15" s="828">
        <v>0</v>
      </c>
      <c r="BV15" s="828">
        <v>0</v>
      </c>
      <c r="BW15" s="828">
        <v>0</v>
      </c>
      <c r="BX15" s="828">
        <v>0</v>
      </c>
      <c r="BY15" s="828">
        <v>0</v>
      </c>
      <c r="BZ15" s="828">
        <v>0</v>
      </c>
      <c r="CA15" s="828">
        <v>0</v>
      </c>
      <c r="CB15" s="828">
        <v>0</v>
      </c>
      <c r="CC15" s="828">
        <v>0</v>
      </c>
      <c r="CD15" s="828">
        <v>0</v>
      </c>
    </row>
    <row r="16" spans="1:82" ht="51">
      <c r="A16" s="823" t="s">
        <v>2119</v>
      </c>
      <c r="B16" s="823" t="s">
        <v>2120</v>
      </c>
      <c r="C16" s="824" t="s">
        <v>2121</v>
      </c>
      <c r="D16" s="824" t="s">
        <v>2122</v>
      </c>
      <c r="E16" s="826"/>
      <c r="F16" s="831"/>
      <c r="G16" s="831"/>
      <c r="H16" s="831"/>
      <c r="I16" s="831"/>
      <c r="J16" s="831"/>
      <c r="K16" s="831"/>
      <c r="L16" s="831"/>
      <c r="M16" s="831"/>
      <c r="N16" s="831"/>
      <c r="O16" s="831"/>
      <c r="P16" s="831"/>
      <c r="Q16" s="831"/>
      <c r="R16" s="831"/>
      <c r="S16" s="831"/>
      <c r="T16" s="831"/>
      <c r="U16" s="831"/>
      <c r="V16" s="831"/>
      <c r="W16" s="831"/>
      <c r="X16" s="831"/>
      <c r="Y16" s="831"/>
      <c r="Z16" s="831"/>
      <c r="AA16" s="831"/>
      <c r="AB16" s="831"/>
      <c r="AC16" s="831"/>
      <c r="AD16" s="831"/>
      <c r="AE16" s="831"/>
      <c r="AF16" s="831"/>
      <c r="AG16" s="831"/>
      <c r="AH16" s="831"/>
      <c r="AI16" s="831"/>
      <c r="AJ16" s="831"/>
      <c r="AK16" s="831"/>
      <c r="AL16" s="831"/>
      <c r="AM16" s="831"/>
      <c r="AN16" s="831"/>
      <c r="AO16" s="831"/>
      <c r="AP16" s="831"/>
      <c r="AQ16" s="828">
        <v>5.0999999999999996</v>
      </c>
      <c r="AR16" s="828">
        <v>15</v>
      </c>
      <c r="AS16" s="828">
        <v>0</v>
      </c>
      <c r="AT16" s="828">
        <v>0</v>
      </c>
      <c r="AU16" s="828">
        <v>0</v>
      </c>
      <c r="AV16" s="828">
        <v>0</v>
      </c>
      <c r="AW16" s="828">
        <v>0</v>
      </c>
      <c r="AX16" s="828">
        <v>0</v>
      </c>
      <c r="AY16" s="828">
        <v>0</v>
      </c>
      <c r="AZ16" s="828">
        <v>0</v>
      </c>
      <c r="BA16" s="828">
        <v>0</v>
      </c>
      <c r="BB16" s="828">
        <v>0</v>
      </c>
      <c r="BC16" s="828">
        <v>0</v>
      </c>
      <c r="BD16" s="828">
        <v>0</v>
      </c>
      <c r="BE16" s="828">
        <v>0</v>
      </c>
      <c r="BF16" s="828">
        <v>0</v>
      </c>
      <c r="BG16" s="828">
        <v>0</v>
      </c>
      <c r="BH16" s="828">
        <v>0</v>
      </c>
      <c r="BI16" s="828">
        <v>0</v>
      </c>
      <c r="BJ16" s="828">
        <v>0</v>
      </c>
      <c r="BK16" s="828">
        <v>0</v>
      </c>
      <c r="BL16" s="828">
        <v>0</v>
      </c>
      <c r="BM16" s="828">
        <v>0</v>
      </c>
      <c r="BN16" s="828">
        <v>0</v>
      </c>
      <c r="BO16" s="828">
        <v>0</v>
      </c>
      <c r="BP16" s="828">
        <v>0</v>
      </c>
      <c r="BQ16" s="828">
        <v>0</v>
      </c>
      <c r="BR16" s="828">
        <v>0</v>
      </c>
      <c r="BS16" s="828">
        <v>0</v>
      </c>
      <c r="BT16" s="828">
        <v>0</v>
      </c>
      <c r="BU16" s="828">
        <v>0</v>
      </c>
      <c r="BV16" s="828">
        <v>0</v>
      </c>
      <c r="BW16" s="828">
        <v>0</v>
      </c>
      <c r="BX16" s="828">
        <v>0</v>
      </c>
      <c r="BY16" s="828">
        <v>0</v>
      </c>
      <c r="BZ16" s="828">
        <v>0</v>
      </c>
      <c r="CA16" s="828">
        <v>0</v>
      </c>
      <c r="CB16" s="828">
        <v>0</v>
      </c>
      <c r="CC16" s="828">
        <v>0</v>
      </c>
      <c r="CD16" s="828">
        <v>0</v>
      </c>
    </row>
    <row r="17" spans="1:82" ht="102">
      <c r="A17" s="823" t="s">
        <v>2123</v>
      </c>
      <c r="B17" s="823" t="s">
        <v>2124</v>
      </c>
      <c r="C17" s="824" t="s">
        <v>2125</v>
      </c>
      <c r="D17" s="831" t="s">
        <v>2126</v>
      </c>
      <c r="E17" s="831" t="s">
        <v>2127</v>
      </c>
      <c r="F17" s="824"/>
      <c r="G17" s="824"/>
      <c r="H17" s="824" t="s">
        <v>2128</v>
      </c>
      <c r="I17" s="824"/>
      <c r="J17" s="824" t="s">
        <v>2129</v>
      </c>
      <c r="K17" s="824" t="s">
        <v>2130</v>
      </c>
      <c r="L17" s="824" t="s">
        <v>2131</v>
      </c>
      <c r="M17" s="824" t="s">
        <v>2132</v>
      </c>
      <c r="N17" s="824" t="s">
        <v>2133</v>
      </c>
      <c r="O17" s="824" t="s">
        <v>2134</v>
      </c>
      <c r="P17" s="824" t="s">
        <v>2135</v>
      </c>
      <c r="Q17" s="824" t="s">
        <v>2136</v>
      </c>
      <c r="R17" s="824" t="s">
        <v>2137</v>
      </c>
      <c r="S17" s="824" t="s">
        <v>2138</v>
      </c>
      <c r="T17" s="824" t="s">
        <v>2139</v>
      </c>
      <c r="U17" s="831"/>
      <c r="V17" s="831"/>
      <c r="W17" s="831"/>
      <c r="X17" s="831"/>
      <c r="Y17" s="831"/>
      <c r="Z17" s="831"/>
      <c r="AA17" s="831"/>
      <c r="AB17" s="831"/>
      <c r="AC17" s="831"/>
      <c r="AD17" s="831"/>
      <c r="AE17" s="831"/>
      <c r="AF17" s="831"/>
      <c r="AG17" s="831"/>
      <c r="AH17" s="831"/>
      <c r="AI17" s="831"/>
      <c r="AJ17" s="831"/>
      <c r="AK17" s="831"/>
      <c r="AL17" s="831"/>
      <c r="AM17" s="831"/>
      <c r="AN17" s="831"/>
      <c r="AO17" s="831"/>
      <c r="AP17" s="831"/>
      <c r="AQ17" s="828">
        <v>16.8</v>
      </c>
      <c r="AR17" s="828">
        <v>14</v>
      </c>
      <c r="AS17" s="828">
        <v>19.899999999999999</v>
      </c>
      <c r="AT17" s="828">
        <v>0</v>
      </c>
      <c r="AU17" s="828">
        <v>0</v>
      </c>
      <c r="AV17" s="828">
        <v>91.5</v>
      </c>
      <c r="AW17" s="828">
        <v>0</v>
      </c>
      <c r="AX17" s="828">
        <v>0</v>
      </c>
      <c r="AY17" s="828">
        <v>0</v>
      </c>
      <c r="AZ17" s="828">
        <v>0</v>
      </c>
      <c r="BA17" s="828">
        <v>0</v>
      </c>
      <c r="BB17" s="828">
        <v>0</v>
      </c>
      <c r="BC17" s="828">
        <v>25</v>
      </c>
      <c r="BD17" s="828">
        <v>0</v>
      </c>
      <c r="BE17" s="828">
        <v>0</v>
      </c>
      <c r="BF17" s="828">
        <v>22.1</v>
      </c>
      <c r="BG17" s="828">
        <v>0</v>
      </c>
      <c r="BH17" s="828">
        <v>0</v>
      </c>
      <c r="BI17" s="828">
        <v>0</v>
      </c>
      <c r="BJ17" s="828">
        <v>0</v>
      </c>
      <c r="BK17" s="828">
        <v>0</v>
      </c>
      <c r="BL17" s="828">
        <v>0</v>
      </c>
      <c r="BM17" s="828">
        <v>0</v>
      </c>
      <c r="BN17" s="828">
        <v>0</v>
      </c>
      <c r="BO17" s="828">
        <v>0</v>
      </c>
      <c r="BP17" s="828">
        <v>0</v>
      </c>
      <c r="BQ17" s="828">
        <v>0</v>
      </c>
      <c r="BR17" s="828">
        <v>0</v>
      </c>
      <c r="BS17" s="828">
        <v>0</v>
      </c>
      <c r="BT17" s="828">
        <v>0</v>
      </c>
      <c r="BU17" s="828">
        <v>0</v>
      </c>
      <c r="BV17" s="828">
        <v>0</v>
      </c>
      <c r="BW17" s="828">
        <v>0</v>
      </c>
      <c r="BX17" s="828">
        <v>0</v>
      </c>
      <c r="BY17" s="828">
        <v>0</v>
      </c>
      <c r="BZ17" s="828">
        <v>0</v>
      </c>
      <c r="CA17" s="828">
        <v>0</v>
      </c>
      <c r="CB17" s="828">
        <v>0</v>
      </c>
      <c r="CC17" s="828">
        <v>0</v>
      </c>
      <c r="CD17" s="828">
        <v>0</v>
      </c>
    </row>
    <row r="18" spans="1:82" ht="63.75">
      <c r="A18" s="823" t="s">
        <v>2140</v>
      </c>
      <c r="B18" s="823" t="s">
        <v>2141</v>
      </c>
      <c r="C18" s="826" t="s">
        <v>2142</v>
      </c>
      <c r="D18" s="826" t="s">
        <v>2143</v>
      </c>
      <c r="E18" s="826" t="s">
        <v>2144</v>
      </c>
      <c r="F18" s="824" t="s">
        <v>2145</v>
      </c>
      <c r="G18" s="824" t="s">
        <v>2146</v>
      </c>
      <c r="H18" s="824"/>
      <c r="I18" s="826"/>
      <c r="J18" s="824" t="s">
        <v>2147</v>
      </c>
      <c r="K18" s="831"/>
      <c r="L18" s="831"/>
      <c r="M18" s="831"/>
      <c r="N18" s="831"/>
      <c r="O18" s="831"/>
      <c r="P18" s="831"/>
      <c r="Q18" s="831"/>
      <c r="R18" s="831"/>
      <c r="S18" s="831"/>
      <c r="T18" s="831"/>
      <c r="U18" s="831"/>
      <c r="V18" s="831"/>
      <c r="W18" s="831"/>
      <c r="X18" s="831"/>
      <c r="Y18" s="831"/>
      <c r="Z18" s="831"/>
      <c r="AA18" s="831"/>
      <c r="AB18" s="831"/>
      <c r="AC18" s="831"/>
      <c r="AD18" s="831"/>
      <c r="AE18" s="831"/>
      <c r="AF18" s="831"/>
      <c r="AG18" s="831"/>
      <c r="AH18" s="831"/>
      <c r="AI18" s="831"/>
      <c r="AJ18" s="831"/>
      <c r="AK18" s="831"/>
      <c r="AL18" s="831"/>
      <c r="AM18" s="831"/>
      <c r="AN18" s="831"/>
      <c r="AO18" s="831"/>
      <c r="AP18" s="831"/>
      <c r="AQ18" s="828">
        <v>17.2</v>
      </c>
      <c r="AR18" s="828">
        <v>17.2</v>
      </c>
      <c r="AS18" s="828">
        <v>20.9</v>
      </c>
      <c r="AT18" s="828">
        <v>21.2</v>
      </c>
      <c r="AU18" s="828">
        <v>16.8</v>
      </c>
      <c r="AV18" s="828">
        <v>0</v>
      </c>
      <c r="AW18" s="828">
        <v>0</v>
      </c>
      <c r="AX18" s="828">
        <v>0</v>
      </c>
      <c r="AY18" s="828">
        <v>0</v>
      </c>
      <c r="AZ18" s="828">
        <v>0</v>
      </c>
      <c r="BA18" s="828">
        <v>0</v>
      </c>
      <c r="BB18" s="828">
        <v>0</v>
      </c>
      <c r="BC18" s="828">
        <v>0</v>
      </c>
      <c r="BD18" s="828">
        <v>0</v>
      </c>
      <c r="BE18" s="828">
        <v>0</v>
      </c>
      <c r="BF18" s="828">
        <v>0</v>
      </c>
      <c r="BG18" s="828">
        <v>0</v>
      </c>
      <c r="BH18" s="828">
        <v>0</v>
      </c>
      <c r="BI18" s="828">
        <v>0</v>
      </c>
      <c r="BJ18" s="828">
        <v>0</v>
      </c>
      <c r="BK18" s="828">
        <v>0</v>
      </c>
      <c r="BL18" s="828">
        <v>0</v>
      </c>
      <c r="BM18" s="828">
        <v>0</v>
      </c>
      <c r="BN18" s="828">
        <v>0</v>
      </c>
      <c r="BO18" s="828">
        <v>0</v>
      </c>
      <c r="BP18" s="828">
        <v>0</v>
      </c>
      <c r="BQ18" s="828">
        <v>0</v>
      </c>
      <c r="BR18" s="828">
        <v>0</v>
      </c>
      <c r="BS18" s="828">
        <v>0</v>
      </c>
      <c r="BT18" s="828">
        <v>0</v>
      </c>
      <c r="BU18" s="828">
        <v>0</v>
      </c>
      <c r="BV18" s="828">
        <v>0</v>
      </c>
      <c r="BW18" s="828">
        <v>0</v>
      </c>
      <c r="BX18" s="828">
        <v>0</v>
      </c>
      <c r="BY18" s="828">
        <v>0</v>
      </c>
      <c r="BZ18" s="828">
        <v>0</v>
      </c>
      <c r="CA18" s="828">
        <v>0</v>
      </c>
      <c r="CB18" s="828">
        <v>0</v>
      </c>
      <c r="CC18" s="828">
        <v>0</v>
      </c>
      <c r="CD18" s="828">
        <v>0</v>
      </c>
    </row>
    <row r="19" spans="1:82" ht="76.5">
      <c r="A19" s="823" t="s">
        <v>2148</v>
      </c>
      <c r="B19" s="823" t="s">
        <v>2149</v>
      </c>
      <c r="C19" s="826" t="s">
        <v>2150</v>
      </c>
      <c r="D19" s="824" t="s">
        <v>2151</v>
      </c>
      <c r="E19" s="826" t="s">
        <v>2152</v>
      </c>
      <c r="F19" s="824"/>
      <c r="G19" s="824" t="s">
        <v>2153</v>
      </c>
      <c r="H19" s="824" t="s">
        <v>1079</v>
      </c>
      <c r="I19" s="826"/>
      <c r="J19" s="826" t="s">
        <v>2154</v>
      </c>
      <c r="K19" s="824" t="s">
        <v>2155</v>
      </c>
      <c r="L19" s="831"/>
      <c r="M19" s="831"/>
      <c r="N19" s="831"/>
      <c r="O19" s="831"/>
      <c r="P19" s="831"/>
      <c r="Q19" s="831"/>
      <c r="R19" s="831"/>
      <c r="S19" s="831"/>
      <c r="T19" s="831"/>
      <c r="U19" s="831"/>
      <c r="V19" s="831"/>
      <c r="W19" s="831"/>
      <c r="X19" s="831"/>
      <c r="Y19" s="831"/>
      <c r="Z19" s="831"/>
      <c r="AA19" s="831"/>
      <c r="AB19" s="831"/>
      <c r="AC19" s="831"/>
      <c r="AD19" s="831"/>
      <c r="AE19" s="831"/>
      <c r="AF19" s="831"/>
      <c r="AG19" s="831"/>
      <c r="AH19" s="831"/>
      <c r="AI19" s="831"/>
      <c r="AJ19" s="831"/>
      <c r="AK19" s="831"/>
      <c r="AL19" s="831"/>
      <c r="AM19" s="831"/>
      <c r="AN19" s="831"/>
      <c r="AO19" s="831"/>
      <c r="AP19" s="831"/>
      <c r="AQ19" s="828">
        <v>26.4</v>
      </c>
      <c r="AR19" s="828">
        <v>25.7</v>
      </c>
      <c r="AS19" s="828">
        <v>17.5</v>
      </c>
      <c r="AT19" s="828">
        <v>0</v>
      </c>
      <c r="AU19" s="828">
        <v>14.1</v>
      </c>
      <c r="AV19" s="828">
        <v>8.1999999999999993</v>
      </c>
      <c r="AW19" s="828">
        <v>0</v>
      </c>
      <c r="AX19" s="828">
        <v>22.7</v>
      </c>
      <c r="AY19" s="828">
        <v>0</v>
      </c>
      <c r="AZ19" s="828">
        <v>0</v>
      </c>
      <c r="BA19" s="828">
        <v>0</v>
      </c>
      <c r="BB19" s="828">
        <v>0</v>
      </c>
      <c r="BC19" s="828">
        <v>0</v>
      </c>
      <c r="BD19" s="828">
        <v>0</v>
      </c>
      <c r="BE19" s="828">
        <v>0</v>
      </c>
      <c r="BF19" s="828">
        <v>0</v>
      </c>
      <c r="BG19" s="828">
        <v>0</v>
      </c>
      <c r="BH19" s="828">
        <v>0</v>
      </c>
      <c r="BI19" s="828">
        <v>0</v>
      </c>
      <c r="BJ19" s="828">
        <v>0</v>
      </c>
      <c r="BK19" s="828">
        <v>0</v>
      </c>
      <c r="BL19" s="828">
        <v>0</v>
      </c>
      <c r="BM19" s="828">
        <v>0</v>
      </c>
      <c r="BN19" s="828">
        <v>0</v>
      </c>
      <c r="BO19" s="828">
        <v>0</v>
      </c>
      <c r="BP19" s="828">
        <v>0</v>
      </c>
      <c r="BQ19" s="828">
        <v>0</v>
      </c>
      <c r="BR19" s="828">
        <v>0</v>
      </c>
      <c r="BS19" s="828">
        <v>0</v>
      </c>
      <c r="BT19" s="828">
        <v>0</v>
      </c>
      <c r="BU19" s="828">
        <v>0</v>
      </c>
      <c r="BV19" s="828">
        <v>0</v>
      </c>
      <c r="BW19" s="828">
        <v>0</v>
      </c>
      <c r="BX19" s="828">
        <v>0</v>
      </c>
      <c r="BY19" s="828">
        <v>0</v>
      </c>
      <c r="BZ19" s="828">
        <v>0</v>
      </c>
      <c r="CA19" s="828">
        <v>0</v>
      </c>
      <c r="CB19" s="828">
        <v>0</v>
      </c>
      <c r="CC19" s="828">
        <v>0</v>
      </c>
      <c r="CD19" s="828">
        <v>0</v>
      </c>
    </row>
    <row r="20" spans="1:82" ht="38.25">
      <c r="A20" s="823" t="s">
        <v>2156</v>
      </c>
      <c r="B20" s="823" t="s">
        <v>2157</v>
      </c>
      <c r="C20" s="826" t="s">
        <v>2158</v>
      </c>
      <c r="D20" s="824"/>
      <c r="E20" s="824"/>
      <c r="F20" s="824"/>
      <c r="G20" s="824"/>
      <c r="H20" s="824"/>
      <c r="I20" s="824"/>
      <c r="J20" s="826" t="s">
        <v>2159</v>
      </c>
      <c r="K20" s="824" t="s">
        <v>2160</v>
      </c>
      <c r="L20" s="831"/>
      <c r="M20" s="831"/>
      <c r="N20" s="831"/>
      <c r="O20" s="831"/>
      <c r="P20" s="831"/>
      <c r="Q20" s="831"/>
      <c r="R20" s="831"/>
      <c r="S20" s="831"/>
      <c r="T20" s="831"/>
      <c r="U20" s="831"/>
      <c r="V20" s="831"/>
      <c r="W20" s="831"/>
      <c r="X20" s="831"/>
      <c r="Y20" s="831"/>
      <c r="Z20" s="831"/>
      <c r="AA20" s="831"/>
      <c r="AB20" s="831"/>
      <c r="AC20" s="831"/>
      <c r="AD20" s="831"/>
      <c r="AE20" s="831"/>
      <c r="AF20" s="831"/>
      <c r="AG20" s="831"/>
      <c r="AH20" s="831"/>
      <c r="AI20" s="831"/>
      <c r="AJ20" s="831"/>
      <c r="AK20" s="831"/>
      <c r="AL20" s="831"/>
      <c r="AM20" s="831"/>
      <c r="AN20" s="831"/>
      <c r="AO20" s="831"/>
      <c r="AP20" s="831"/>
      <c r="AQ20" s="828">
        <v>9.1999999999999993</v>
      </c>
      <c r="AR20" s="828">
        <v>0</v>
      </c>
      <c r="AS20" s="828">
        <v>0</v>
      </c>
      <c r="AT20" s="828">
        <v>0</v>
      </c>
      <c r="AU20" s="828">
        <v>0</v>
      </c>
      <c r="AV20" s="828">
        <v>0</v>
      </c>
      <c r="AW20" s="828">
        <v>0</v>
      </c>
      <c r="AX20" s="828">
        <v>9.1999999999999993</v>
      </c>
      <c r="AY20" s="828">
        <v>0</v>
      </c>
      <c r="AZ20" s="828">
        <v>0</v>
      </c>
      <c r="BA20" s="828">
        <v>0</v>
      </c>
      <c r="BB20" s="828">
        <v>0</v>
      </c>
      <c r="BC20" s="828">
        <v>0</v>
      </c>
      <c r="BD20" s="828">
        <v>0</v>
      </c>
      <c r="BE20" s="828">
        <v>0</v>
      </c>
      <c r="BF20" s="828">
        <v>0</v>
      </c>
      <c r="BG20" s="828">
        <v>0</v>
      </c>
      <c r="BH20" s="828">
        <v>0</v>
      </c>
      <c r="BI20" s="828">
        <v>0</v>
      </c>
      <c r="BJ20" s="828">
        <v>0</v>
      </c>
      <c r="BK20" s="828">
        <v>0</v>
      </c>
      <c r="BL20" s="828">
        <v>0</v>
      </c>
      <c r="BM20" s="828">
        <v>0</v>
      </c>
      <c r="BN20" s="828">
        <v>0</v>
      </c>
      <c r="BO20" s="828">
        <v>0</v>
      </c>
      <c r="BP20" s="828">
        <v>0</v>
      </c>
      <c r="BQ20" s="828">
        <v>0</v>
      </c>
      <c r="BR20" s="828">
        <v>0</v>
      </c>
      <c r="BS20" s="828">
        <v>0</v>
      </c>
      <c r="BT20" s="828">
        <v>0</v>
      </c>
      <c r="BU20" s="828">
        <v>0</v>
      </c>
      <c r="BV20" s="828">
        <v>0</v>
      </c>
      <c r="BW20" s="828">
        <v>0</v>
      </c>
      <c r="BX20" s="828">
        <v>0</v>
      </c>
      <c r="BY20" s="828">
        <v>0</v>
      </c>
      <c r="BZ20" s="828">
        <v>0</v>
      </c>
      <c r="CA20" s="828">
        <v>0</v>
      </c>
      <c r="CB20" s="828">
        <v>0</v>
      </c>
      <c r="CC20" s="828">
        <v>0</v>
      </c>
      <c r="CD20" s="828">
        <v>0</v>
      </c>
    </row>
    <row r="21" spans="1:82" ht="38.25">
      <c r="A21" s="823" t="s">
        <v>2161</v>
      </c>
      <c r="B21" s="823" t="s">
        <v>2162</v>
      </c>
      <c r="C21" s="824" t="s">
        <v>2163</v>
      </c>
      <c r="D21" s="826" t="s">
        <v>2164</v>
      </c>
      <c r="E21" s="831"/>
      <c r="F21" s="831"/>
      <c r="G21" s="831"/>
      <c r="H21" s="831"/>
      <c r="I21" s="831"/>
      <c r="J21" s="831"/>
      <c r="K21" s="831"/>
      <c r="L21" s="831"/>
      <c r="M21" s="831"/>
      <c r="N21" s="831"/>
      <c r="O21" s="831"/>
      <c r="P21" s="831"/>
      <c r="Q21" s="831"/>
      <c r="R21" s="831"/>
      <c r="S21" s="831"/>
      <c r="T21" s="831"/>
      <c r="U21" s="831"/>
      <c r="V21" s="831"/>
      <c r="W21" s="831"/>
      <c r="X21" s="831"/>
      <c r="Y21" s="831"/>
      <c r="Z21" s="831"/>
      <c r="AA21" s="831"/>
      <c r="AB21" s="831"/>
      <c r="AC21" s="831"/>
      <c r="AD21" s="831"/>
      <c r="AE21" s="831"/>
      <c r="AF21" s="831"/>
      <c r="AG21" s="831"/>
      <c r="AH21" s="831"/>
      <c r="AI21" s="831"/>
      <c r="AJ21" s="831"/>
      <c r="AK21" s="831"/>
      <c r="AL21" s="831"/>
      <c r="AM21" s="831"/>
      <c r="AN21" s="831"/>
      <c r="AO21" s="831"/>
      <c r="AP21" s="831"/>
      <c r="AQ21" s="828">
        <v>7.4</v>
      </c>
      <c r="AR21" s="828">
        <v>10.4</v>
      </c>
      <c r="AS21" s="828">
        <v>0</v>
      </c>
      <c r="AT21" s="828">
        <v>0</v>
      </c>
      <c r="AU21" s="828">
        <v>0</v>
      </c>
      <c r="AV21" s="828">
        <v>0</v>
      </c>
      <c r="AW21" s="828">
        <v>0</v>
      </c>
      <c r="AX21" s="828">
        <v>0</v>
      </c>
      <c r="AY21" s="828">
        <v>0</v>
      </c>
      <c r="AZ21" s="828">
        <v>0</v>
      </c>
      <c r="BA21" s="828">
        <v>0</v>
      </c>
      <c r="BB21" s="828">
        <v>0</v>
      </c>
      <c r="BC21" s="828">
        <v>0</v>
      </c>
      <c r="BD21" s="828">
        <v>0</v>
      </c>
      <c r="BE21" s="828">
        <v>0</v>
      </c>
      <c r="BF21" s="828">
        <v>0</v>
      </c>
      <c r="BG21" s="828">
        <v>0</v>
      </c>
      <c r="BH21" s="828">
        <v>0</v>
      </c>
      <c r="BI21" s="828">
        <v>0</v>
      </c>
      <c r="BJ21" s="828">
        <v>0</v>
      </c>
      <c r="BK21" s="828">
        <v>0</v>
      </c>
      <c r="BL21" s="828">
        <v>0</v>
      </c>
      <c r="BM21" s="828">
        <v>0</v>
      </c>
      <c r="BN21" s="828">
        <v>0</v>
      </c>
      <c r="BO21" s="828">
        <v>0</v>
      </c>
      <c r="BP21" s="828">
        <v>0</v>
      </c>
      <c r="BQ21" s="828">
        <v>0</v>
      </c>
      <c r="BR21" s="828">
        <v>0</v>
      </c>
      <c r="BS21" s="828">
        <v>0</v>
      </c>
      <c r="BT21" s="828">
        <v>0</v>
      </c>
      <c r="BU21" s="828">
        <v>0</v>
      </c>
      <c r="BV21" s="828">
        <v>0</v>
      </c>
      <c r="BW21" s="828">
        <v>0</v>
      </c>
      <c r="BX21" s="828">
        <v>0</v>
      </c>
      <c r="BY21" s="828">
        <v>0</v>
      </c>
      <c r="BZ21" s="828">
        <v>0</v>
      </c>
      <c r="CA21" s="828">
        <v>0</v>
      </c>
      <c r="CB21" s="828">
        <v>0</v>
      </c>
      <c r="CC21" s="828">
        <v>0</v>
      </c>
      <c r="CD21" s="828">
        <v>0</v>
      </c>
    </row>
    <row r="22" spans="1:82" ht="51">
      <c r="A22" s="823" t="s">
        <v>2161</v>
      </c>
      <c r="B22" s="823" t="s">
        <v>2165</v>
      </c>
      <c r="C22" s="826"/>
      <c r="D22" s="826" t="s">
        <v>2166</v>
      </c>
      <c r="E22" s="831"/>
      <c r="F22" s="831"/>
      <c r="G22" s="831"/>
      <c r="H22" s="831"/>
      <c r="I22" s="831"/>
      <c r="J22" s="831"/>
      <c r="K22" s="831"/>
      <c r="L22" s="831"/>
      <c r="M22" s="831"/>
      <c r="N22" s="831"/>
      <c r="O22" s="831"/>
      <c r="P22" s="831"/>
      <c r="Q22" s="831"/>
      <c r="R22" s="831"/>
      <c r="S22" s="831"/>
      <c r="T22" s="831"/>
      <c r="U22" s="831"/>
      <c r="V22" s="831"/>
      <c r="W22" s="831"/>
      <c r="X22" s="831"/>
      <c r="Y22" s="831"/>
      <c r="Z22" s="831"/>
      <c r="AA22" s="831"/>
      <c r="AB22" s="831"/>
      <c r="AC22" s="831"/>
      <c r="AD22" s="831"/>
      <c r="AE22" s="831"/>
      <c r="AF22" s="831"/>
      <c r="AG22" s="831"/>
      <c r="AH22" s="831"/>
      <c r="AI22" s="831"/>
      <c r="AJ22" s="831"/>
      <c r="AK22" s="831"/>
      <c r="AL22" s="831"/>
      <c r="AM22" s="831"/>
      <c r="AN22" s="831"/>
      <c r="AO22" s="831"/>
      <c r="AP22" s="831"/>
      <c r="AQ22" s="828">
        <v>0</v>
      </c>
      <c r="AR22" s="828">
        <v>9.4</v>
      </c>
      <c r="AS22" s="828">
        <v>0</v>
      </c>
      <c r="AT22" s="828">
        <v>0</v>
      </c>
      <c r="AU22" s="828">
        <v>0</v>
      </c>
      <c r="AV22" s="828">
        <v>0</v>
      </c>
      <c r="AW22" s="828">
        <v>0</v>
      </c>
      <c r="AX22" s="828">
        <v>0</v>
      </c>
      <c r="AY22" s="828">
        <v>0</v>
      </c>
      <c r="AZ22" s="828">
        <v>0</v>
      </c>
      <c r="BA22" s="828">
        <v>0</v>
      </c>
      <c r="BB22" s="828">
        <v>0</v>
      </c>
      <c r="BC22" s="828">
        <v>0</v>
      </c>
      <c r="BD22" s="828">
        <v>0</v>
      </c>
      <c r="BE22" s="828">
        <v>0</v>
      </c>
      <c r="BF22" s="828">
        <v>0</v>
      </c>
      <c r="BG22" s="828">
        <v>0</v>
      </c>
      <c r="BH22" s="828">
        <v>0</v>
      </c>
      <c r="BI22" s="828">
        <v>0</v>
      </c>
      <c r="BJ22" s="828">
        <v>0</v>
      </c>
      <c r="BK22" s="828">
        <v>0</v>
      </c>
      <c r="BL22" s="828">
        <v>0</v>
      </c>
      <c r="BM22" s="828">
        <v>0</v>
      </c>
      <c r="BN22" s="828">
        <v>0</v>
      </c>
      <c r="BO22" s="828">
        <v>0</v>
      </c>
      <c r="BP22" s="828">
        <v>0</v>
      </c>
      <c r="BQ22" s="828">
        <v>0</v>
      </c>
      <c r="BR22" s="828">
        <v>0</v>
      </c>
      <c r="BS22" s="828">
        <v>0</v>
      </c>
      <c r="BT22" s="828">
        <v>0</v>
      </c>
      <c r="BU22" s="828">
        <v>0</v>
      </c>
      <c r="BV22" s="828">
        <v>0</v>
      </c>
      <c r="BW22" s="828">
        <v>0</v>
      </c>
      <c r="BX22" s="828">
        <v>0</v>
      </c>
      <c r="BY22" s="828">
        <v>0</v>
      </c>
      <c r="BZ22" s="828">
        <v>0</v>
      </c>
      <c r="CA22" s="828">
        <v>0</v>
      </c>
      <c r="CB22" s="828">
        <v>0</v>
      </c>
      <c r="CC22" s="828">
        <v>0</v>
      </c>
      <c r="CD22" s="828">
        <v>0</v>
      </c>
    </row>
    <row r="23" spans="1:82" ht="76.5">
      <c r="A23" s="823" t="s">
        <v>2161</v>
      </c>
      <c r="B23" s="823" t="s">
        <v>2167</v>
      </c>
      <c r="C23" s="826" t="s">
        <v>2168</v>
      </c>
      <c r="D23" s="824"/>
      <c r="E23" s="831"/>
      <c r="F23" s="831"/>
      <c r="G23" s="831"/>
      <c r="H23" s="831"/>
      <c r="I23" s="831"/>
      <c r="J23" s="831"/>
      <c r="K23" s="831"/>
      <c r="L23" s="831"/>
      <c r="M23" s="831"/>
      <c r="N23" s="831"/>
      <c r="O23" s="831"/>
      <c r="P23" s="831"/>
      <c r="Q23" s="831"/>
      <c r="R23" s="831"/>
      <c r="S23" s="831"/>
      <c r="T23" s="831"/>
      <c r="U23" s="831"/>
      <c r="V23" s="831"/>
      <c r="W23" s="831"/>
      <c r="X23" s="831"/>
      <c r="Y23" s="831"/>
      <c r="Z23" s="831"/>
      <c r="AA23" s="831"/>
      <c r="AB23" s="831"/>
      <c r="AC23" s="831"/>
      <c r="AD23" s="831"/>
      <c r="AE23" s="831"/>
      <c r="AF23" s="831"/>
      <c r="AG23" s="831"/>
      <c r="AH23" s="831"/>
      <c r="AI23" s="831"/>
      <c r="AJ23" s="831"/>
      <c r="AK23" s="831"/>
      <c r="AL23" s="831"/>
      <c r="AM23" s="831"/>
      <c r="AN23" s="831"/>
      <c r="AO23" s="831"/>
      <c r="AP23" s="831"/>
      <c r="AQ23" s="828">
        <v>16.7</v>
      </c>
      <c r="AR23" s="828">
        <v>0</v>
      </c>
      <c r="AS23" s="828">
        <v>0</v>
      </c>
      <c r="AT23" s="828">
        <v>0</v>
      </c>
      <c r="AU23" s="828">
        <v>0</v>
      </c>
      <c r="AV23" s="828">
        <v>0</v>
      </c>
      <c r="AW23" s="828">
        <v>0</v>
      </c>
      <c r="AX23" s="828">
        <v>0</v>
      </c>
      <c r="AY23" s="828">
        <v>0</v>
      </c>
      <c r="AZ23" s="828">
        <v>0</v>
      </c>
      <c r="BA23" s="828">
        <v>0</v>
      </c>
      <c r="BB23" s="828">
        <v>0</v>
      </c>
      <c r="BC23" s="828">
        <v>0</v>
      </c>
      <c r="BD23" s="828">
        <v>0</v>
      </c>
      <c r="BE23" s="828">
        <v>0</v>
      </c>
      <c r="BF23" s="828">
        <v>0</v>
      </c>
      <c r="BG23" s="828">
        <v>0</v>
      </c>
      <c r="BH23" s="828">
        <v>0</v>
      </c>
      <c r="BI23" s="828">
        <v>0</v>
      </c>
      <c r="BJ23" s="828">
        <v>0</v>
      </c>
      <c r="BK23" s="828">
        <v>0</v>
      </c>
      <c r="BL23" s="828">
        <v>0</v>
      </c>
      <c r="BM23" s="828">
        <v>0</v>
      </c>
      <c r="BN23" s="828">
        <v>0</v>
      </c>
      <c r="BO23" s="828">
        <v>0</v>
      </c>
      <c r="BP23" s="828">
        <v>0</v>
      </c>
      <c r="BQ23" s="828">
        <v>0</v>
      </c>
      <c r="BR23" s="828">
        <v>0</v>
      </c>
      <c r="BS23" s="828">
        <v>0</v>
      </c>
      <c r="BT23" s="828">
        <v>0</v>
      </c>
      <c r="BU23" s="828">
        <v>0</v>
      </c>
      <c r="BV23" s="828">
        <v>0</v>
      </c>
      <c r="BW23" s="828">
        <v>0</v>
      </c>
      <c r="BX23" s="828">
        <v>0</v>
      </c>
      <c r="BY23" s="828">
        <v>0</v>
      </c>
      <c r="BZ23" s="828">
        <v>0</v>
      </c>
      <c r="CA23" s="828">
        <v>0</v>
      </c>
      <c r="CB23" s="828">
        <v>0</v>
      </c>
      <c r="CC23" s="828">
        <v>0</v>
      </c>
      <c r="CD23" s="828">
        <v>0</v>
      </c>
    </row>
    <row r="24" spans="1:82" ht="38.25">
      <c r="A24" s="823" t="s">
        <v>2169</v>
      </c>
      <c r="B24" s="823" t="s">
        <v>2170</v>
      </c>
      <c r="C24" s="826" t="s">
        <v>2171</v>
      </c>
      <c r="D24" s="824"/>
      <c r="E24" s="824"/>
      <c r="F24" s="826"/>
      <c r="G24" s="824"/>
      <c r="H24" s="824"/>
      <c r="I24" s="831"/>
      <c r="J24" s="831"/>
      <c r="K24" s="831"/>
      <c r="L24" s="831"/>
      <c r="M24" s="831"/>
      <c r="N24" s="831"/>
      <c r="O24" s="831"/>
      <c r="P24" s="831"/>
      <c r="Q24" s="831"/>
      <c r="R24" s="831"/>
      <c r="S24" s="831"/>
      <c r="T24" s="831"/>
      <c r="U24" s="831"/>
      <c r="V24" s="831"/>
      <c r="W24" s="831"/>
      <c r="X24" s="831"/>
      <c r="Y24" s="831"/>
      <c r="Z24" s="831"/>
      <c r="AA24" s="831"/>
      <c r="AB24" s="831"/>
      <c r="AC24" s="831"/>
      <c r="AD24" s="831"/>
      <c r="AE24" s="831"/>
      <c r="AF24" s="831"/>
      <c r="AG24" s="831"/>
      <c r="AH24" s="831"/>
      <c r="AI24" s="831"/>
      <c r="AJ24" s="831"/>
      <c r="AK24" s="831"/>
      <c r="AL24" s="831"/>
      <c r="AM24" s="831"/>
      <c r="AN24" s="831"/>
      <c r="AO24" s="831"/>
      <c r="AP24" s="831"/>
      <c r="AQ24" s="828">
        <v>14.7</v>
      </c>
      <c r="AR24" s="828">
        <v>0</v>
      </c>
      <c r="AS24" s="828">
        <v>0</v>
      </c>
      <c r="AT24" s="828">
        <v>0</v>
      </c>
      <c r="AU24" s="828">
        <v>0</v>
      </c>
      <c r="AV24" s="828">
        <v>0</v>
      </c>
      <c r="AW24" s="828">
        <v>0</v>
      </c>
      <c r="AX24" s="828">
        <v>0</v>
      </c>
      <c r="AY24" s="828">
        <v>0</v>
      </c>
      <c r="AZ24" s="828">
        <v>0</v>
      </c>
      <c r="BA24" s="828">
        <v>0</v>
      </c>
      <c r="BB24" s="828">
        <v>0</v>
      </c>
      <c r="BC24" s="828">
        <v>0</v>
      </c>
      <c r="BD24" s="828">
        <v>0</v>
      </c>
      <c r="BE24" s="828">
        <v>0</v>
      </c>
      <c r="BF24" s="828">
        <v>0</v>
      </c>
      <c r="BG24" s="828">
        <v>0</v>
      </c>
      <c r="BH24" s="828">
        <v>0</v>
      </c>
      <c r="BI24" s="828">
        <v>0</v>
      </c>
      <c r="BJ24" s="828">
        <v>0</v>
      </c>
      <c r="BK24" s="828">
        <v>0</v>
      </c>
      <c r="BL24" s="828">
        <v>0</v>
      </c>
      <c r="BM24" s="828">
        <v>0</v>
      </c>
      <c r="BN24" s="828">
        <v>0</v>
      </c>
      <c r="BO24" s="828">
        <v>0</v>
      </c>
      <c r="BP24" s="828">
        <v>0</v>
      </c>
      <c r="BQ24" s="828">
        <v>0</v>
      </c>
      <c r="BR24" s="828">
        <v>0</v>
      </c>
      <c r="BS24" s="828">
        <v>0</v>
      </c>
      <c r="BT24" s="828">
        <v>0</v>
      </c>
      <c r="BU24" s="828">
        <v>0</v>
      </c>
      <c r="BV24" s="828">
        <v>0</v>
      </c>
      <c r="BW24" s="828">
        <v>0</v>
      </c>
      <c r="BX24" s="828">
        <v>0</v>
      </c>
      <c r="BY24" s="828">
        <v>0</v>
      </c>
      <c r="BZ24" s="828">
        <v>0</v>
      </c>
      <c r="CA24" s="828">
        <v>0</v>
      </c>
      <c r="CB24" s="828">
        <v>0</v>
      </c>
      <c r="CC24" s="828">
        <v>0</v>
      </c>
      <c r="CD24" s="828">
        <v>0</v>
      </c>
    </row>
    <row r="25" spans="1:82" ht="63.75">
      <c r="A25" s="823" t="s">
        <v>2172</v>
      </c>
      <c r="B25" s="823" t="s">
        <v>2173</v>
      </c>
      <c r="C25" s="824" t="s">
        <v>2174</v>
      </c>
      <c r="D25" s="831"/>
      <c r="E25" s="831"/>
      <c r="F25" s="831"/>
      <c r="G25" s="831"/>
      <c r="H25" s="831"/>
      <c r="I25" s="831"/>
      <c r="J25" s="831"/>
      <c r="K25" s="831"/>
      <c r="L25" s="831"/>
      <c r="M25" s="831"/>
      <c r="N25" s="831"/>
      <c r="O25" s="831"/>
      <c r="P25" s="831"/>
      <c r="Q25" s="831"/>
      <c r="R25" s="831"/>
      <c r="S25" s="831"/>
      <c r="T25" s="831"/>
      <c r="U25" s="831"/>
      <c r="V25" s="831"/>
      <c r="W25" s="831"/>
      <c r="X25" s="831"/>
      <c r="Y25" s="831"/>
      <c r="Z25" s="831"/>
      <c r="AA25" s="831"/>
      <c r="AB25" s="831"/>
      <c r="AC25" s="831"/>
      <c r="AD25" s="831"/>
      <c r="AE25" s="831"/>
      <c r="AF25" s="831"/>
      <c r="AG25" s="831"/>
      <c r="AH25" s="831"/>
      <c r="AI25" s="831"/>
      <c r="AJ25" s="831"/>
      <c r="AK25" s="831"/>
      <c r="AL25" s="831"/>
      <c r="AM25" s="831"/>
      <c r="AN25" s="831"/>
      <c r="AO25" s="831"/>
      <c r="AP25" s="831"/>
      <c r="AQ25" s="828">
        <v>11.7</v>
      </c>
      <c r="AR25" s="828">
        <v>0</v>
      </c>
      <c r="AS25" s="828">
        <v>0</v>
      </c>
      <c r="AT25" s="828">
        <v>0</v>
      </c>
      <c r="AU25" s="828">
        <v>0</v>
      </c>
      <c r="AV25" s="828">
        <v>0</v>
      </c>
      <c r="AW25" s="828">
        <v>0</v>
      </c>
      <c r="AX25" s="828">
        <v>0</v>
      </c>
      <c r="AY25" s="828">
        <v>0</v>
      </c>
      <c r="AZ25" s="828">
        <v>0</v>
      </c>
      <c r="BA25" s="828">
        <v>0</v>
      </c>
      <c r="BB25" s="828">
        <v>0</v>
      </c>
      <c r="BC25" s="828">
        <v>0</v>
      </c>
      <c r="BD25" s="828">
        <v>0</v>
      </c>
      <c r="BE25" s="828">
        <v>0</v>
      </c>
      <c r="BF25" s="828">
        <v>0</v>
      </c>
      <c r="BG25" s="828">
        <v>0</v>
      </c>
      <c r="BH25" s="828">
        <v>0</v>
      </c>
      <c r="BI25" s="828">
        <v>0</v>
      </c>
      <c r="BJ25" s="828">
        <v>0</v>
      </c>
      <c r="BK25" s="828">
        <v>0</v>
      </c>
      <c r="BL25" s="828">
        <v>0</v>
      </c>
      <c r="BM25" s="828">
        <v>0</v>
      </c>
      <c r="BN25" s="828">
        <v>0</v>
      </c>
      <c r="BO25" s="828">
        <v>0</v>
      </c>
      <c r="BP25" s="828">
        <v>0</v>
      </c>
      <c r="BQ25" s="828">
        <v>0</v>
      </c>
      <c r="BR25" s="828">
        <v>0</v>
      </c>
      <c r="BS25" s="828">
        <v>0</v>
      </c>
      <c r="BT25" s="828">
        <v>0</v>
      </c>
      <c r="BU25" s="828">
        <v>0</v>
      </c>
      <c r="BV25" s="828">
        <v>0</v>
      </c>
      <c r="BW25" s="828">
        <v>0</v>
      </c>
      <c r="BX25" s="828">
        <v>0</v>
      </c>
      <c r="BY25" s="828">
        <v>0</v>
      </c>
      <c r="BZ25" s="828">
        <v>0</v>
      </c>
      <c r="CA25" s="828">
        <v>0</v>
      </c>
      <c r="CB25" s="828">
        <v>0</v>
      </c>
      <c r="CC25" s="828">
        <v>0</v>
      </c>
      <c r="CD25" s="828">
        <v>0</v>
      </c>
    </row>
    <row r="26" spans="1:82" ht="89.25">
      <c r="A26" s="823" t="s">
        <v>2175</v>
      </c>
      <c r="B26" s="823" t="s">
        <v>2176</v>
      </c>
      <c r="C26" s="824"/>
      <c r="D26" s="824"/>
      <c r="E26" s="824" t="s">
        <v>2177</v>
      </c>
      <c r="F26" s="824" t="s">
        <v>2178</v>
      </c>
      <c r="G26" s="831"/>
      <c r="H26" s="831"/>
      <c r="I26" s="831"/>
      <c r="J26" s="831"/>
      <c r="K26" s="831"/>
      <c r="L26" s="831"/>
      <c r="M26" s="831"/>
      <c r="N26" s="831"/>
      <c r="O26" s="831"/>
      <c r="P26" s="831"/>
      <c r="Q26" s="831"/>
      <c r="R26" s="831"/>
      <c r="S26" s="831"/>
      <c r="T26" s="831"/>
      <c r="U26" s="831"/>
      <c r="V26" s="831"/>
      <c r="W26" s="831"/>
      <c r="X26" s="831"/>
      <c r="Y26" s="831"/>
      <c r="Z26" s="831"/>
      <c r="AA26" s="831"/>
      <c r="AB26" s="831"/>
      <c r="AC26" s="831"/>
      <c r="AD26" s="831"/>
      <c r="AE26" s="831"/>
      <c r="AF26" s="831"/>
      <c r="AG26" s="831"/>
      <c r="AH26" s="831"/>
      <c r="AI26" s="831"/>
      <c r="AJ26" s="831"/>
      <c r="AK26" s="831"/>
      <c r="AL26" s="831"/>
      <c r="AM26" s="831"/>
      <c r="AN26" s="831"/>
      <c r="AO26" s="831"/>
      <c r="AP26" s="831"/>
      <c r="AQ26" s="828">
        <v>0</v>
      </c>
      <c r="AR26" s="828">
        <v>0</v>
      </c>
      <c r="AS26" s="828">
        <v>8.8000000000000007</v>
      </c>
      <c r="AT26" s="828">
        <v>8.8000000000000007</v>
      </c>
      <c r="AU26" s="828">
        <v>0</v>
      </c>
      <c r="AV26" s="828">
        <v>0</v>
      </c>
      <c r="AW26" s="828">
        <v>0</v>
      </c>
      <c r="AX26" s="828">
        <v>0</v>
      </c>
      <c r="AY26" s="828">
        <v>0</v>
      </c>
      <c r="AZ26" s="828">
        <v>0</v>
      </c>
      <c r="BA26" s="828">
        <v>0</v>
      </c>
      <c r="BB26" s="828">
        <v>0</v>
      </c>
      <c r="BC26" s="828">
        <v>0</v>
      </c>
      <c r="BD26" s="828">
        <v>0</v>
      </c>
      <c r="BE26" s="828">
        <v>0</v>
      </c>
      <c r="BF26" s="828">
        <v>0</v>
      </c>
      <c r="BG26" s="828">
        <v>0</v>
      </c>
      <c r="BH26" s="828">
        <v>0</v>
      </c>
      <c r="BI26" s="828">
        <v>0</v>
      </c>
      <c r="BJ26" s="828">
        <v>0</v>
      </c>
      <c r="BK26" s="828">
        <v>0</v>
      </c>
      <c r="BL26" s="828">
        <v>0</v>
      </c>
      <c r="BM26" s="828">
        <v>0</v>
      </c>
      <c r="BN26" s="828">
        <v>0</v>
      </c>
      <c r="BO26" s="828">
        <v>0</v>
      </c>
      <c r="BP26" s="828">
        <v>0</v>
      </c>
      <c r="BQ26" s="828">
        <v>0</v>
      </c>
      <c r="BR26" s="828">
        <v>0</v>
      </c>
      <c r="BS26" s="828">
        <v>0</v>
      </c>
      <c r="BT26" s="828">
        <v>0</v>
      </c>
      <c r="BU26" s="828">
        <v>0</v>
      </c>
      <c r="BV26" s="828">
        <v>0</v>
      </c>
      <c r="BW26" s="828">
        <v>0</v>
      </c>
      <c r="BX26" s="828">
        <v>0</v>
      </c>
      <c r="BY26" s="828">
        <v>0</v>
      </c>
      <c r="BZ26" s="828">
        <v>0</v>
      </c>
      <c r="CA26" s="828">
        <v>0</v>
      </c>
      <c r="CB26" s="828">
        <v>0</v>
      </c>
      <c r="CC26" s="828">
        <v>0</v>
      </c>
      <c r="CD26" s="828">
        <v>0</v>
      </c>
    </row>
    <row r="27" spans="1:82" ht="38.25">
      <c r="A27" s="823" t="s">
        <v>2179</v>
      </c>
      <c r="B27" s="823" t="s">
        <v>2180</v>
      </c>
      <c r="C27" s="824" t="s">
        <v>2181</v>
      </c>
      <c r="D27" s="824"/>
      <c r="E27" s="824"/>
      <c r="F27" s="824"/>
      <c r="G27" s="831"/>
      <c r="H27" s="831"/>
      <c r="I27" s="831"/>
      <c r="J27" s="831"/>
      <c r="K27" s="831"/>
      <c r="L27" s="831"/>
      <c r="M27" s="831"/>
      <c r="N27" s="831"/>
      <c r="O27" s="831"/>
      <c r="P27" s="831"/>
      <c r="Q27" s="831"/>
      <c r="R27" s="831"/>
      <c r="S27" s="831"/>
      <c r="T27" s="831"/>
      <c r="U27" s="831"/>
      <c r="V27" s="831"/>
      <c r="W27" s="831"/>
      <c r="X27" s="831"/>
      <c r="Y27" s="831"/>
      <c r="Z27" s="831"/>
      <c r="AA27" s="831"/>
      <c r="AB27" s="831"/>
      <c r="AC27" s="831"/>
      <c r="AD27" s="831"/>
      <c r="AE27" s="831"/>
      <c r="AF27" s="831"/>
      <c r="AG27" s="831"/>
      <c r="AH27" s="831"/>
      <c r="AI27" s="831"/>
      <c r="AJ27" s="831"/>
      <c r="AK27" s="831"/>
      <c r="AL27" s="831"/>
      <c r="AM27" s="831"/>
      <c r="AN27" s="831"/>
      <c r="AO27" s="831"/>
      <c r="AP27" s="831"/>
      <c r="AQ27" s="828">
        <v>15.2</v>
      </c>
      <c r="AR27" s="828">
        <v>0</v>
      </c>
      <c r="AS27" s="828">
        <v>0</v>
      </c>
      <c r="AT27" s="828">
        <v>0</v>
      </c>
      <c r="AU27" s="828">
        <v>0</v>
      </c>
      <c r="AV27" s="828">
        <v>0</v>
      </c>
      <c r="AW27" s="828">
        <v>0</v>
      </c>
      <c r="AX27" s="828">
        <v>0</v>
      </c>
      <c r="AY27" s="828">
        <v>0</v>
      </c>
      <c r="AZ27" s="828">
        <v>0</v>
      </c>
      <c r="BA27" s="828">
        <v>0</v>
      </c>
      <c r="BB27" s="828">
        <v>0</v>
      </c>
      <c r="BC27" s="828">
        <v>0</v>
      </c>
      <c r="BD27" s="828">
        <v>0</v>
      </c>
      <c r="BE27" s="828">
        <v>0</v>
      </c>
      <c r="BF27" s="828">
        <v>0</v>
      </c>
      <c r="BG27" s="828">
        <v>0</v>
      </c>
      <c r="BH27" s="828">
        <v>0</v>
      </c>
      <c r="BI27" s="828">
        <v>0</v>
      </c>
      <c r="BJ27" s="828">
        <v>0</v>
      </c>
      <c r="BK27" s="828">
        <v>0</v>
      </c>
      <c r="BL27" s="828">
        <v>0</v>
      </c>
      <c r="BM27" s="828">
        <v>0</v>
      </c>
      <c r="BN27" s="828">
        <v>0</v>
      </c>
      <c r="BO27" s="828">
        <v>0</v>
      </c>
      <c r="BP27" s="828">
        <v>0</v>
      </c>
      <c r="BQ27" s="828">
        <v>0</v>
      </c>
      <c r="BR27" s="828">
        <v>0</v>
      </c>
      <c r="BS27" s="828">
        <v>0</v>
      </c>
      <c r="BT27" s="828">
        <v>0</v>
      </c>
      <c r="BU27" s="828">
        <v>0</v>
      </c>
      <c r="BV27" s="828">
        <v>0</v>
      </c>
      <c r="BW27" s="828">
        <v>0</v>
      </c>
      <c r="BX27" s="828">
        <v>0</v>
      </c>
      <c r="BY27" s="828">
        <v>0</v>
      </c>
      <c r="BZ27" s="828">
        <v>0</v>
      </c>
      <c r="CA27" s="828">
        <v>0</v>
      </c>
      <c r="CB27" s="828">
        <v>0</v>
      </c>
      <c r="CC27" s="828">
        <v>0</v>
      </c>
      <c r="CD27" s="828">
        <v>0</v>
      </c>
    </row>
    <row r="28" spans="1:82" ht="25.5">
      <c r="A28" s="823" t="s">
        <v>2182</v>
      </c>
      <c r="B28" s="823" t="s">
        <v>2183</v>
      </c>
      <c r="C28" s="826" t="s">
        <v>2184</v>
      </c>
      <c r="D28" s="824"/>
      <c r="E28" s="831"/>
      <c r="F28" s="831"/>
      <c r="G28" s="831"/>
      <c r="H28" s="831"/>
      <c r="I28" s="831"/>
      <c r="J28" s="831"/>
      <c r="K28" s="831"/>
      <c r="L28" s="831"/>
      <c r="M28" s="831"/>
      <c r="N28" s="831"/>
      <c r="O28" s="831"/>
      <c r="P28" s="831"/>
      <c r="Q28" s="831"/>
      <c r="R28" s="831"/>
      <c r="S28" s="831"/>
      <c r="T28" s="831"/>
      <c r="U28" s="831"/>
      <c r="V28" s="831"/>
      <c r="W28" s="831"/>
      <c r="X28" s="831"/>
      <c r="Y28" s="831"/>
      <c r="Z28" s="831"/>
      <c r="AA28" s="831"/>
      <c r="AB28" s="831"/>
      <c r="AC28" s="831"/>
      <c r="AD28" s="831"/>
      <c r="AE28" s="831"/>
      <c r="AF28" s="831"/>
      <c r="AG28" s="831"/>
      <c r="AH28" s="831"/>
      <c r="AI28" s="831"/>
      <c r="AJ28" s="831"/>
      <c r="AK28" s="831"/>
      <c r="AL28" s="831"/>
      <c r="AM28" s="831"/>
      <c r="AN28" s="831"/>
      <c r="AO28" s="831"/>
      <c r="AP28" s="831"/>
      <c r="AQ28" s="828">
        <v>15.2</v>
      </c>
      <c r="AR28" s="828">
        <v>0</v>
      </c>
      <c r="AS28" s="828">
        <v>0</v>
      </c>
      <c r="AT28" s="828">
        <v>0</v>
      </c>
      <c r="AU28" s="828">
        <v>0</v>
      </c>
      <c r="AV28" s="828">
        <v>0</v>
      </c>
      <c r="AW28" s="828">
        <v>0</v>
      </c>
      <c r="AX28" s="828">
        <v>0</v>
      </c>
      <c r="AY28" s="828">
        <v>0</v>
      </c>
      <c r="AZ28" s="828">
        <v>0</v>
      </c>
      <c r="BA28" s="828">
        <v>0</v>
      </c>
      <c r="BB28" s="828">
        <v>0</v>
      </c>
      <c r="BC28" s="828">
        <v>0</v>
      </c>
      <c r="BD28" s="828">
        <v>0</v>
      </c>
      <c r="BE28" s="828">
        <v>0</v>
      </c>
      <c r="BF28" s="828">
        <v>0</v>
      </c>
      <c r="BG28" s="828">
        <v>0</v>
      </c>
      <c r="BH28" s="828">
        <v>0</v>
      </c>
      <c r="BI28" s="828">
        <v>0</v>
      </c>
      <c r="BJ28" s="828">
        <v>0</v>
      </c>
      <c r="BK28" s="828">
        <v>0</v>
      </c>
      <c r="BL28" s="828">
        <v>0</v>
      </c>
      <c r="BM28" s="828">
        <v>0</v>
      </c>
      <c r="BN28" s="828">
        <v>0</v>
      </c>
      <c r="BO28" s="828">
        <v>0</v>
      </c>
      <c r="BP28" s="828">
        <v>0</v>
      </c>
      <c r="BQ28" s="828">
        <v>0</v>
      </c>
      <c r="BR28" s="828">
        <v>0</v>
      </c>
      <c r="BS28" s="828">
        <v>0</v>
      </c>
      <c r="BT28" s="828">
        <v>0</v>
      </c>
      <c r="BU28" s="828">
        <v>0</v>
      </c>
      <c r="BV28" s="828">
        <v>0</v>
      </c>
      <c r="BW28" s="828">
        <v>0</v>
      </c>
      <c r="BX28" s="828">
        <v>0</v>
      </c>
      <c r="BY28" s="828">
        <v>0</v>
      </c>
      <c r="BZ28" s="828">
        <v>0</v>
      </c>
      <c r="CA28" s="828">
        <v>0</v>
      </c>
      <c r="CB28" s="828">
        <v>0</v>
      </c>
      <c r="CC28" s="828">
        <v>0</v>
      </c>
      <c r="CD28" s="828">
        <v>0</v>
      </c>
    </row>
    <row r="29" spans="1:82" ht="76.5">
      <c r="A29" s="823" t="s">
        <v>2185</v>
      </c>
      <c r="B29" s="823" t="s">
        <v>2186</v>
      </c>
      <c r="C29" s="824" t="s">
        <v>2187</v>
      </c>
      <c r="D29" s="824"/>
      <c r="E29" s="824"/>
      <c r="F29" s="831"/>
      <c r="G29" s="831"/>
      <c r="H29" s="831"/>
      <c r="I29" s="831"/>
      <c r="J29" s="831"/>
      <c r="K29" s="831"/>
      <c r="L29" s="831"/>
      <c r="M29" s="831"/>
      <c r="N29" s="831"/>
      <c r="O29" s="831"/>
      <c r="P29" s="831"/>
      <c r="Q29" s="831"/>
      <c r="R29" s="831"/>
      <c r="S29" s="831"/>
      <c r="T29" s="831"/>
      <c r="U29" s="831"/>
      <c r="V29" s="831"/>
      <c r="W29" s="831"/>
      <c r="X29" s="831"/>
      <c r="Y29" s="831"/>
      <c r="Z29" s="831"/>
      <c r="AA29" s="831"/>
      <c r="AB29" s="831"/>
      <c r="AC29" s="831"/>
      <c r="AD29" s="831"/>
      <c r="AE29" s="831"/>
      <c r="AF29" s="831"/>
      <c r="AG29" s="831"/>
      <c r="AH29" s="831"/>
      <c r="AI29" s="831"/>
      <c r="AJ29" s="831"/>
      <c r="AK29" s="831"/>
      <c r="AL29" s="831"/>
      <c r="AM29" s="831"/>
      <c r="AN29" s="831"/>
      <c r="AO29" s="831"/>
      <c r="AP29" s="831"/>
      <c r="AQ29" s="828">
        <v>8.1999999999999993</v>
      </c>
      <c r="AR29" s="828">
        <v>0</v>
      </c>
      <c r="AS29" s="828">
        <v>0</v>
      </c>
      <c r="AT29" s="828">
        <v>0</v>
      </c>
      <c r="AU29" s="828">
        <v>0</v>
      </c>
      <c r="AV29" s="828">
        <v>0</v>
      </c>
      <c r="AW29" s="828">
        <v>0</v>
      </c>
      <c r="AX29" s="828">
        <v>0</v>
      </c>
      <c r="AY29" s="828">
        <v>0</v>
      </c>
      <c r="AZ29" s="828">
        <v>0</v>
      </c>
      <c r="BA29" s="828">
        <v>0</v>
      </c>
      <c r="BB29" s="828">
        <v>0</v>
      </c>
      <c r="BC29" s="828">
        <v>0</v>
      </c>
      <c r="BD29" s="828">
        <v>0</v>
      </c>
      <c r="BE29" s="828">
        <v>0</v>
      </c>
      <c r="BF29" s="828">
        <v>0</v>
      </c>
      <c r="BG29" s="828">
        <v>0</v>
      </c>
      <c r="BH29" s="828">
        <v>0</v>
      </c>
      <c r="BI29" s="828">
        <v>0</v>
      </c>
      <c r="BJ29" s="828">
        <v>0</v>
      </c>
      <c r="BK29" s="828">
        <v>0</v>
      </c>
      <c r="BL29" s="828">
        <v>0</v>
      </c>
      <c r="BM29" s="828">
        <v>0</v>
      </c>
      <c r="BN29" s="828">
        <v>0</v>
      </c>
      <c r="BO29" s="828">
        <v>0</v>
      </c>
      <c r="BP29" s="828">
        <v>0</v>
      </c>
      <c r="BQ29" s="828">
        <v>0</v>
      </c>
      <c r="BR29" s="828">
        <v>0</v>
      </c>
      <c r="BS29" s="828">
        <v>0</v>
      </c>
      <c r="BT29" s="828">
        <v>0</v>
      </c>
      <c r="BU29" s="828">
        <v>0</v>
      </c>
      <c r="BV29" s="828">
        <v>0</v>
      </c>
      <c r="BW29" s="828">
        <v>0</v>
      </c>
      <c r="BX29" s="828">
        <v>0</v>
      </c>
      <c r="BY29" s="828">
        <v>0</v>
      </c>
      <c r="BZ29" s="828">
        <v>0</v>
      </c>
      <c r="CA29" s="828">
        <v>0</v>
      </c>
      <c r="CB29" s="828">
        <v>0</v>
      </c>
      <c r="CC29" s="828">
        <v>0</v>
      </c>
      <c r="CD29" s="828">
        <v>0</v>
      </c>
    </row>
    <row r="30" spans="1:82" ht="38.25">
      <c r="A30" s="823" t="s">
        <v>2188</v>
      </c>
      <c r="B30" s="823" t="s">
        <v>2189</v>
      </c>
      <c r="C30" s="824" t="s">
        <v>2190</v>
      </c>
      <c r="D30" s="831"/>
      <c r="E30" s="831"/>
      <c r="F30" s="831"/>
      <c r="G30" s="831"/>
      <c r="H30" s="831"/>
      <c r="I30" s="831"/>
      <c r="J30" s="831"/>
      <c r="K30" s="831"/>
      <c r="L30" s="831"/>
      <c r="M30" s="831"/>
      <c r="N30" s="831"/>
      <c r="O30" s="831"/>
      <c r="P30" s="831"/>
      <c r="Q30" s="831"/>
      <c r="R30" s="831"/>
      <c r="S30" s="831"/>
      <c r="T30" s="831"/>
      <c r="U30" s="831"/>
      <c r="V30" s="831"/>
      <c r="W30" s="831"/>
      <c r="X30" s="831"/>
      <c r="Y30" s="831"/>
      <c r="Z30" s="831"/>
      <c r="AA30" s="831"/>
      <c r="AB30" s="831"/>
      <c r="AC30" s="831"/>
      <c r="AD30" s="831"/>
      <c r="AE30" s="831"/>
      <c r="AF30" s="831"/>
      <c r="AG30" s="831"/>
      <c r="AH30" s="831"/>
      <c r="AI30" s="831"/>
      <c r="AJ30" s="831"/>
      <c r="AK30" s="831"/>
      <c r="AL30" s="831"/>
      <c r="AM30" s="831"/>
      <c r="AN30" s="831"/>
      <c r="AO30" s="831"/>
      <c r="AP30" s="831"/>
      <c r="AQ30" s="828">
        <v>17.2</v>
      </c>
      <c r="AR30" s="828">
        <v>0</v>
      </c>
      <c r="AS30" s="828">
        <v>0</v>
      </c>
      <c r="AT30" s="828">
        <v>0</v>
      </c>
      <c r="AU30" s="828">
        <v>0</v>
      </c>
      <c r="AV30" s="828">
        <v>0</v>
      </c>
      <c r="AW30" s="828">
        <v>0</v>
      </c>
      <c r="AX30" s="828">
        <v>0</v>
      </c>
      <c r="AY30" s="828">
        <v>0</v>
      </c>
      <c r="AZ30" s="828">
        <v>0</v>
      </c>
      <c r="BA30" s="828">
        <v>0</v>
      </c>
      <c r="BB30" s="828">
        <v>0</v>
      </c>
      <c r="BC30" s="828">
        <v>0</v>
      </c>
      <c r="BD30" s="828">
        <v>0</v>
      </c>
      <c r="BE30" s="828">
        <v>0</v>
      </c>
      <c r="BF30" s="828">
        <v>0</v>
      </c>
      <c r="BG30" s="828">
        <v>0</v>
      </c>
      <c r="BH30" s="828">
        <v>0</v>
      </c>
      <c r="BI30" s="828">
        <v>0</v>
      </c>
      <c r="BJ30" s="828">
        <v>0</v>
      </c>
      <c r="BK30" s="828">
        <v>0</v>
      </c>
      <c r="BL30" s="828">
        <v>0</v>
      </c>
      <c r="BM30" s="828">
        <v>0</v>
      </c>
      <c r="BN30" s="828">
        <v>0</v>
      </c>
      <c r="BO30" s="828">
        <v>0</v>
      </c>
      <c r="BP30" s="828">
        <v>0</v>
      </c>
      <c r="BQ30" s="828">
        <v>0</v>
      </c>
      <c r="BR30" s="828">
        <v>0</v>
      </c>
      <c r="BS30" s="828">
        <v>0</v>
      </c>
      <c r="BT30" s="828">
        <v>0</v>
      </c>
      <c r="BU30" s="828">
        <v>0</v>
      </c>
      <c r="BV30" s="828">
        <v>0</v>
      </c>
      <c r="BW30" s="828">
        <v>0</v>
      </c>
      <c r="BX30" s="828">
        <v>0</v>
      </c>
      <c r="BY30" s="828">
        <v>0</v>
      </c>
      <c r="BZ30" s="828">
        <v>0</v>
      </c>
      <c r="CA30" s="828">
        <v>0</v>
      </c>
      <c r="CB30" s="828">
        <v>0</v>
      </c>
      <c r="CC30" s="828">
        <v>0</v>
      </c>
      <c r="CD30" s="828">
        <v>0</v>
      </c>
    </row>
    <row r="31" spans="1:82" ht="63.75">
      <c r="A31" s="823" t="s">
        <v>2191</v>
      </c>
      <c r="B31" s="823" t="s">
        <v>2192</v>
      </c>
      <c r="C31" s="826" t="s">
        <v>2193</v>
      </c>
      <c r="D31" s="824" t="s">
        <v>2194</v>
      </c>
      <c r="E31" s="831"/>
      <c r="F31" s="831"/>
      <c r="G31" s="831"/>
      <c r="H31" s="831"/>
      <c r="I31" s="831"/>
      <c r="J31" s="831"/>
      <c r="K31" s="831"/>
      <c r="L31" s="831"/>
      <c r="M31" s="831"/>
      <c r="N31" s="831"/>
      <c r="O31" s="831"/>
      <c r="P31" s="831"/>
      <c r="Q31" s="831"/>
      <c r="R31" s="831"/>
      <c r="S31" s="831"/>
      <c r="T31" s="831"/>
      <c r="U31" s="831"/>
      <c r="V31" s="831"/>
      <c r="W31" s="831"/>
      <c r="X31" s="831"/>
      <c r="Y31" s="831"/>
      <c r="Z31" s="831"/>
      <c r="AA31" s="831"/>
      <c r="AB31" s="831"/>
      <c r="AC31" s="831"/>
      <c r="AD31" s="831"/>
      <c r="AE31" s="831"/>
      <c r="AF31" s="831"/>
      <c r="AG31" s="831"/>
      <c r="AH31" s="831"/>
      <c r="AI31" s="831"/>
      <c r="AJ31" s="831"/>
      <c r="AK31" s="831"/>
      <c r="AL31" s="831"/>
      <c r="AM31" s="831"/>
      <c r="AN31" s="831"/>
      <c r="AO31" s="831"/>
      <c r="AP31" s="831"/>
      <c r="AQ31" s="828">
        <v>9.1999999999999993</v>
      </c>
      <c r="AR31" s="828">
        <v>9.8000000000000007</v>
      </c>
      <c r="AS31" s="828">
        <v>0</v>
      </c>
      <c r="AT31" s="828">
        <v>0</v>
      </c>
      <c r="AU31" s="828">
        <v>0</v>
      </c>
      <c r="AV31" s="828">
        <v>0</v>
      </c>
      <c r="AW31" s="828">
        <v>0</v>
      </c>
      <c r="AX31" s="828">
        <v>0</v>
      </c>
      <c r="AY31" s="828">
        <v>0</v>
      </c>
      <c r="AZ31" s="828">
        <v>0</v>
      </c>
      <c r="BA31" s="828">
        <v>0</v>
      </c>
      <c r="BB31" s="828">
        <v>0</v>
      </c>
      <c r="BC31" s="828">
        <v>0</v>
      </c>
      <c r="BD31" s="828">
        <v>0</v>
      </c>
      <c r="BE31" s="828">
        <v>0</v>
      </c>
      <c r="BF31" s="828">
        <v>0</v>
      </c>
      <c r="BG31" s="828">
        <v>0</v>
      </c>
      <c r="BH31" s="828">
        <v>0</v>
      </c>
      <c r="BI31" s="828">
        <v>0</v>
      </c>
      <c r="BJ31" s="828">
        <v>0</v>
      </c>
      <c r="BK31" s="828">
        <v>0</v>
      </c>
      <c r="BL31" s="828">
        <v>0</v>
      </c>
      <c r="BM31" s="828">
        <v>0</v>
      </c>
      <c r="BN31" s="828">
        <v>0</v>
      </c>
      <c r="BO31" s="828">
        <v>0</v>
      </c>
      <c r="BP31" s="828">
        <v>0</v>
      </c>
      <c r="BQ31" s="828">
        <v>0</v>
      </c>
      <c r="BR31" s="828">
        <v>0</v>
      </c>
      <c r="BS31" s="828">
        <v>0</v>
      </c>
      <c r="BT31" s="828">
        <v>0</v>
      </c>
      <c r="BU31" s="828">
        <v>0</v>
      </c>
      <c r="BV31" s="828">
        <v>0</v>
      </c>
      <c r="BW31" s="828">
        <v>0</v>
      </c>
      <c r="BX31" s="828">
        <v>0</v>
      </c>
      <c r="BY31" s="828">
        <v>0</v>
      </c>
      <c r="BZ31" s="828">
        <v>0</v>
      </c>
      <c r="CA31" s="828">
        <v>0</v>
      </c>
      <c r="CB31" s="828">
        <v>0</v>
      </c>
      <c r="CC31" s="828">
        <v>0</v>
      </c>
      <c r="CD31" s="828">
        <v>0</v>
      </c>
    </row>
    <row r="32" spans="1:82" ht="76.5">
      <c r="A32" s="823" t="s">
        <v>2195</v>
      </c>
      <c r="B32" s="823" t="s">
        <v>2196</v>
      </c>
      <c r="C32" s="826" t="s">
        <v>2197</v>
      </c>
      <c r="D32" s="826" t="s">
        <v>2198</v>
      </c>
      <c r="E32" s="824" t="s">
        <v>2199</v>
      </c>
      <c r="F32" s="824"/>
      <c r="G32" s="824"/>
      <c r="H32" s="824"/>
      <c r="I32" s="826" t="s">
        <v>2200</v>
      </c>
      <c r="J32" s="824" t="s">
        <v>2201</v>
      </c>
      <c r="K32" s="826" t="s">
        <v>2202</v>
      </c>
      <c r="L32" s="824" t="s">
        <v>2203</v>
      </c>
      <c r="M32" s="824" t="s">
        <v>2204</v>
      </c>
      <c r="N32" s="826" t="s">
        <v>2205</v>
      </c>
      <c r="O32" s="826" t="s">
        <v>2206</v>
      </c>
      <c r="P32" s="824" t="s">
        <v>2207</v>
      </c>
      <c r="Q32" s="824" t="s">
        <v>2208</v>
      </c>
      <c r="R32" s="824" t="s">
        <v>1648</v>
      </c>
      <c r="S32" s="826" t="s">
        <v>2209</v>
      </c>
      <c r="T32" s="826" t="s">
        <v>2210</v>
      </c>
      <c r="U32" s="831"/>
      <c r="V32" s="831"/>
      <c r="W32" s="831"/>
      <c r="X32" s="831"/>
      <c r="Y32" s="831"/>
      <c r="Z32" s="831"/>
      <c r="AA32" s="831"/>
      <c r="AB32" s="831"/>
      <c r="AC32" s="831"/>
      <c r="AD32" s="831"/>
      <c r="AE32" s="831"/>
      <c r="AF32" s="831"/>
      <c r="AG32" s="831"/>
      <c r="AH32" s="831"/>
      <c r="AI32" s="831"/>
      <c r="AJ32" s="831"/>
      <c r="AK32" s="831"/>
      <c r="AL32" s="831"/>
      <c r="AM32" s="831"/>
      <c r="AN32" s="831"/>
      <c r="AO32" s="831"/>
      <c r="AP32" s="831"/>
      <c r="AQ32" s="828">
        <v>10.199999999999999</v>
      </c>
      <c r="AR32" s="828">
        <v>9.4</v>
      </c>
      <c r="AS32" s="828">
        <v>9.4</v>
      </c>
      <c r="AT32" s="828">
        <v>0</v>
      </c>
      <c r="AU32" s="828">
        <v>0</v>
      </c>
      <c r="AV32" s="828">
        <v>0</v>
      </c>
      <c r="AW32" s="828">
        <v>22.4</v>
      </c>
      <c r="AX32" s="828">
        <v>22.4</v>
      </c>
      <c r="AY32" s="828">
        <v>0</v>
      </c>
      <c r="AZ32" s="828">
        <v>0</v>
      </c>
      <c r="BA32" s="828">
        <v>0</v>
      </c>
      <c r="BB32" s="828">
        <v>16.7</v>
      </c>
      <c r="BC32" s="828">
        <v>10.6</v>
      </c>
      <c r="BD32" s="828">
        <v>0</v>
      </c>
      <c r="BE32" s="828">
        <v>0</v>
      </c>
      <c r="BF32" s="828">
        <v>12.2</v>
      </c>
      <c r="BG32" s="828">
        <v>11.5</v>
      </c>
      <c r="BH32" s="828">
        <v>12.8</v>
      </c>
      <c r="BI32" s="828">
        <v>0</v>
      </c>
      <c r="BJ32" s="828">
        <v>0</v>
      </c>
      <c r="BK32" s="828">
        <v>0</v>
      </c>
      <c r="BL32" s="828">
        <v>0</v>
      </c>
      <c r="BM32" s="828">
        <v>0</v>
      </c>
      <c r="BN32" s="828">
        <v>0</v>
      </c>
      <c r="BO32" s="828">
        <v>0</v>
      </c>
      <c r="BP32" s="828">
        <v>0</v>
      </c>
      <c r="BQ32" s="828">
        <v>0</v>
      </c>
      <c r="BR32" s="828">
        <v>0</v>
      </c>
      <c r="BS32" s="828">
        <v>0</v>
      </c>
      <c r="BT32" s="828">
        <v>0</v>
      </c>
      <c r="BU32" s="828">
        <v>0</v>
      </c>
      <c r="BV32" s="828">
        <v>0</v>
      </c>
      <c r="BW32" s="828">
        <v>0</v>
      </c>
      <c r="BX32" s="828">
        <v>0</v>
      </c>
      <c r="BY32" s="828">
        <v>0</v>
      </c>
      <c r="BZ32" s="828">
        <v>0</v>
      </c>
      <c r="CA32" s="828">
        <v>0</v>
      </c>
      <c r="CB32" s="828">
        <v>0</v>
      </c>
      <c r="CC32" s="828">
        <v>0</v>
      </c>
      <c r="CD32" s="828">
        <v>0</v>
      </c>
    </row>
    <row r="33" spans="1:82" ht="102">
      <c r="A33" s="823" t="s">
        <v>2211</v>
      </c>
      <c r="B33" s="823" t="s">
        <v>2212</v>
      </c>
      <c r="C33" s="826" t="s">
        <v>2213</v>
      </c>
      <c r="D33" s="824" t="s">
        <v>2214</v>
      </c>
      <c r="E33" s="826" t="s">
        <v>2215</v>
      </c>
      <c r="F33" s="824"/>
      <c r="G33" s="824"/>
      <c r="H33" s="826" t="s">
        <v>2216</v>
      </c>
      <c r="I33" s="824" t="s">
        <v>2217</v>
      </c>
      <c r="J33" s="824" t="s">
        <v>2218</v>
      </c>
      <c r="K33" s="824" t="s">
        <v>2219</v>
      </c>
      <c r="L33" s="824" t="s">
        <v>2220</v>
      </c>
      <c r="M33" s="826" t="s">
        <v>2221</v>
      </c>
      <c r="N33" s="824" t="s">
        <v>2222</v>
      </c>
      <c r="O33" s="824" t="s">
        <v>2223</v>
      </c>
      <c r="P33" s="824" t="s">
        <v>2224</v>
      </c>
      <c r="Q33" s="824" t="s">
        <v>2225</v>
      </c>
      <c r="R33" s="824" t="s">
        <v>2226</v>
      </c>
      <c r="S33" s="824" t="s">
        <v>2227</v>
      </c>
      <c r="T33" s="824" t="s">
        <v>2228</v>
      </c>
      <c r="U33" s="824" t="s">
        <v>2229</v>
      </c>
      <c r="V33" s="824" t="s">
        <v>2230</v>
      </c>
      <c r="W33" s="824" t="s">
        <v>2231</v>
      </c>
      <c r="X33" s="824" t="s">
        <v>2232</v>
      </c>
      <c r="Y33" s="824" t="s">
        <v>2233</v>
      </c>
      <c r="Z33" s="824" t="s">
        <v>2234</v>
      </c>
      <c r="AA33" s="824" t="s">
        <v>2235</v>
      </c>
      <c r="AB33" s="824" t="s">
        <v>2236</v>
      </c>
      <c r="AC33" s="824" t="s">
        <v>2237</v>
      </c>
      <c r="AD33" s="831"/>
      <c r="AE33" s="831"/>
      <c r="AF33" s="831"/>
      <c r="AG33" s="831"/>
      <c r="AH33" s="831"/>
      <c r="AI33" s="831"/>
      <c r="AJ33" s="831"/>
      <c r="AK33" s="831"/>
      <c r="AL33" s="831"/>
      <c r="AM33" s="831"/>
      <c r="AN33" s="831"/>
      <c r="AO33" s="831"/>
      <c r="AP33" s="831"/>
      <c r="AQ33" s="828">
        <v>15.6</v>
      </c>
      <c r="AR33" s="828">
        <v>30.4</v>
      </c>
      <c r="AS33" s="828">
        <v>8.8000000000000007</v>
      </c>
      <c r="AT33" s="828">
        <v>0</v>
      </c>
      <c r="AU33" s="828">
        <v>0</v>
      </c>
      <c r="AV33" s="828">
        <v>10.4</v>
      </c>
      <c r="AW33" s="828">
        <v>7.4</v>
      </c>
      <c r="AX33" s="828">
        <v>0</v>
      </c>
      <c r="AY33" s="828">
        <v>0</v>
      </c>
      <c r="AZ33" s="828">
        <v>14</v>
      </c>
      <c r="BA33" s="828">
        <v>19.899999999999999</v>
      </c>
      <c r="BB33" s="828">
        <v>0</v>
      </c>
      <c r="BC33" s="828">
        <v>0</v>
      </c>
      <c r="BD33" s="828">
        <v>91.5</v>
      </c>
      <c r="BE33" s="828">
        <v>0</v>
      </c>
      <c r="BF33" s="828">
        <v>0</v>
      </c>
      <c r="BG33" s="828">
        <v>0</v>
      </c>
      <c r="BH33" s="828">
        <v>0</v>
      </c>
      <c r="BI33" s="828">
        <v>0</v>
      </c>
      <c r="BJ33" s="828">
        <v>0</v>
      </c>
      <c r="BK33" s="828">
        <v>25</v>
      </c>
      <c r="BL33" s="828">
        <v>0</v>
      </c>
      <c r="BM33" s="828">
        <v>0</v>
      </c>
      <c r="BN33" s="828">
        <v>22.1</v>
      </c>
      <c r="BO33" s="828">
        <v>0</v>
      </c>
      <c r="BP33" s="828">
        <v>0</v>
      </c>
      <c r="BQ33" s="828">
        <v>16.8</v>
      </c>
      <c r="BR33" s="828">
        <v>0</v>
      </c>
      <c r="BS33" s="828">
        <v>0</v>
      </c>
      <c r="BT33" s="828">
        <v>0</v>
      </c>
      <c r="BU33" s="828">
        <v>0</v>
      </c>
      <c r="BV33" s="828">
        <v>0</v>
      </c>
      <c r="BW33" s="828">
        <v>0</v>
      </c>
      <c r="BX33" s="828">
        <v>0</v>
      </c>
      <c r="BY33" s="828">
        <v>0</v>
      </c>
      <c r="BZ33" s="828">
        <v>0</v>
      </c>
      <c r="CA33" s="828">
        <v>0</v>
      </c>
      <c r="CB33" s="828">
        <v>0</v>
      </c>
      <c r="CC33" s="828">
        <v>0</v>
      </c>
      <c r="CD33" s="828">
        <v>0</v>
      </c>
    </row>
    <row r="34" spans="1:82" ht="51">
      <c r="A34" s="823" t="s">
        <v>2211</v>
      </c>
      <c r="B34" s="823" t="s">
        <v>2238</v>
      </c>
      <c r="C34" s="824" t="s">
        <v>2239</v>
      </c>
      <c r="D34" s="826" t="s">
        <v>2240</v>
      </c>
      <c r="E34" s="824"/>
      <c r="F34" s="831"/>
      <c r="G34" s="831"/>
      <c r="H34" s="831"/>
      <c r="I34" s="831"/>
      <c r="J34" s="831"/>
      <c r="K34" s="831"/>
      <c r="L34" s="831"/>
      <c r="M34" s="831"/>
      <c r="N34" s="831"/>
      <c r="O34" s="831"/>
      <c r="P34" s="831"/>
      <c r="Q34" s="831"/>
      <c r="R34" s="831"/>
      <c r="S34" s="831"/>
      <c r="T34" s="831"/>
      <c r="U34" s="831"/>
      <c r="V34" s="831"/>
      <c r="W34" s="831"/>
      <c r="X34" s="831"/>
      <c r="Y34" s="831"/>
      <c r="Z34" s="831"/>
      <c r="AA34" s="831"/>
      <c r="AB34" s="831"/>
      <c r="AC34" s="831"/>
      <c r="AD34" s="831"/>
      <c r="AE34" s="831"/>
      <c r="AF34" s="831"/>
      <c r="AG34" s="831"/>
      <c r="AH34" s="831"/>
      <c r="AI34" s="831"/>
      <c r="AJ34" s="831"/>
      <c r="AK34" s="831"/>
      <c r="AL34" s="831"/>
      <c r="AM34" s="831"/>
      <c r="AN34" s="831"/>
      <c r="AO34" s="831"/>
      <c r="AP34" s="831"/>
      <c r="AQ34" s="828">
        <v>2.4</v>
      </c>
      <c r="AR34" s="828">
        <v>6.4</v>
      </c>
      <c r="AS34" s="828">
        <v>0</v>
      </c>
      <c r="AT34" s="828">
        <v>0</v>
      </c>
      <c r="AU34" s="828">
        <v>0</v>
      </c>
      <c r="AV34" s="828">
        <v>0</v>
      </c>
      <c r="AW34" s="828">
        <v>0</v>
      </c>
      <c r="AX34" s="828">
        <v>0</v>
      </c>
      <c r="AY34" s="828">
        <v>0</v>
      </c>
      <c r="AZ34" s="828">
        <v>0</v>
      </c>
      <c r="BA34" s="828">
        <v>0</v>
      </c>
      <c r="BB34" s="828">
        <v>0</v>
      </c>
      <c r="BC34" s="828">
        <v>0</v>
      </c>
      <c r="BD34" s="828">
        <v>0</v>
      </c>
      <c r="BE34" s="828">
        <v>0</v>
      </c>
      <c r="BF34" s="828">
        <v>0</v>
      </c>
      <c r="BG34" s="828">
        <v>0</v>
      </c>
      <c r="BH34" s="828">
        <v>0</v>
      </c>
      <c r="BI34" s="828">
        <v>0</v>
      </c>
      <c r="BJ34" s="828">
        <v>0</v>
      </c>
      <c r="BK34" s="828">
        <v>0</v>
      </c>
      <c r="BL34" s="828">
        <v>0</v>
      </c>
      <c r="BM34" s="828">
        <v>0</v>
      </c>
      <c r="BN34" s="828">
        <v>0</v>
      </c>
      <c r="BO34" s="828">
        <v>0</v>
      </c>
      <c r="BP34" s="828">
        <v>0</v>
      </c>
      <c r="BQ34" s="828">
        <v>0</v>
      </c>
      <c r="BR34" s="828">
        <v>0</v>
      </c>
      <c r="BS34" s="828">
        <v>0</v>
      </c>
      <c r="BT34" s="828">
        <v>0</v>
      </c>
      <c r="BU34" s="828">
        <v>0</v>
      </c>
      <c r="BV34" s="828">
        <v>0</v>
      </c>
      <c r="BW34" s="828">
        <v>0</v>
      </c>
      <c r="BX34" s="828">
        <v>0</v>
      </c>
      <c r="BY34" s="828">
        <v>0</v>
      </c>
      <c r="BZ34" s="828">
        <v>0</v>
      </c>
      <c r="CA34" s="828">
        <v>0</v>
      </c>
      <c r="CB34" s="828">
        <v>0</v>
      </c>
      <c r="CC34" s="828">
        <v>0</v>
      </c>
      <c r="CD34" s="828">
        <v>0</v>
      </c>
    </row>
    <row r="35" spans="1:82" ht="51">
      <c r="A35" s="823" t="s">
        <v>2211</v>
      </c>
      <c r="B35" s="823" t="s">
        <v>2241</v>
      </c>
      <c r="C35" s="826"/>
      <c r="D35" s="826" t="s">
        <v>2242</v>
      </c>
      <c r="E35" s="824" t="s">
        <v>2243</v>
      </c>
      <c r="F35" s="831"/>
      <c r="G35" s="831"/>
      <c r="H35" s="831"/>
      <c r="I35" s="831"/>
      <c r="J35" s="831"/>
      <c r="K35" s="831"/>
      <c r="L35" s="831"/>
      <c r="M35" s="831"/>
      <c r="N35" s="831"/>
      <c r="O35" s="831"/>
      <c r="P35" s="831"/>
      <c r="Q35" s="831"/>
      <c r="R35" s="831"/>
      <c r="S35" s="831"/>
      <c r="T35" s="831"/>
      <c r="U35" s="831"/>
      <c r="V35" s="831"/>
      <c r="W35" s="831"/>
      <c r="X35" s="831"/>
      <c r="Y35" s="831"/>
      <c r="Z35" s="831"/>
      <c r="AA35" s="831"/>
      <c r="AB35" s="831"/>
      <c r="AC35" s="831"/>
      <c r="AD35" s="831"/>
      <c r="AE35" s="831"/>
      <c r="AF35" s="831"/>
      <c r="AG35" s="831"/>
      <c r="AH35" s="831"/>
      <c r="AI35" s="831"/>
      <c r="AJ35" s="831"/>
      <c r="AK35" s="831"/>
      <c r="AL35" s="831"/>
      <c r="AM35" s="831"/>
      <c r="AN35" s="831"/>
      <c r="AO35" s="831"/>
      <c r="AP35" s="831"/>
      <c r="AQ35" s="828">
        <v>0</v>
      </c>
      <c r="AR35" s="828">
        <v>15.6</v>
      </c>
      <c r="AS35" s="828">
        <v>30.4</v>
      </c>
      <c r="AT35" s="828">
        <v>0</v>
      </c>
      <c r="AU35" s="828">
        <v>0</v>
      </c>
      <c r="AV35" s="828">
        <v>0</v>
      </c>
      <c r="AW35" s="828">
        <v>0</v>
      </c>
      <c r="AX35" s="828">
        <v>0</v>
      </c>
      <c r="AY35" s="828">
        <v>0</v>
      </c>
      <c r="AZ35" s="828">
        <v>0</v>
      </c>
      <c r="BA35" s="828">
        <v>0</v>
      </c>
      <c r="BB35" s="828">
        <v>0</v>
      </c>
      <c r="BC35" s="828">
        <v>0</v>
      </c>
      <c r="BD35" s="828">
        <v>0</v>
      </c>
      <c r="BE35" s="828">
        <v>0</v>
      </c>
      <c r="BF35" s="828">
        <v>0</v>
      </c>
      <c r="BG35" s="828">
        <v>0</v>
      </c>
      <c r="BH35" s="828">
        <v>0</v>
      </c>
      <c r="BI35" s="828">
        <v>0</v>
      </c>
      <c r="BJ35" s="828">
        <v>0</v>
      </c>
      <c r="BK35" s="828">
        <v>0</v>
      </c>
      <c r="BL35" s="828">
        <v>0</v>
      </c>
      <c r="BM35" s="828">
        <v>0</v>
      </c>
      <c r="BN35" s="828">
        <v>0</v>
      </c>
      <c r="BO35" s="828">
        <v>0</v>
      </c>
      <c r="BP35" s="828">
        <v>0</v>
      </c>
      <c r="BQ35" s="828">
        <v>0</v>
      </c>
      <c r="BR35" s="828">
        <v>0</v>
      </c>
      <c r="BS35" s="828">
        <v>0</v>
      </c>
      <c r="BT35" s="828">
        <v>0</v>
      </c>
      <c r="BU35" s="828">
        <v>0</v>
      </c>
      <c r="BV35" s="828">
        <v>0</v>
      </c>
      <c r="BW35" s="828">
        <v>0</v>
      </c>
      <c r="BX35" s="828">
        <v>0</v>
      </c>
      <c r="BY35" s="828">
        <v>0</v>
      </c>
      <c r="BZ35" s="828">
        <v>0</v>
      </c>
      <c r="CA35" s="828">
        <v>0</v>
      </c>
      <c r="CB35" s="828">
        <v>0</v>
      </c>
      <c r="CC35" s="828">
        <v>0</v>
      </c>
      <c r="CD35" s="828">
        <v>0</v>
      </c>
    </row>
    <row r="36" spans="1:82" ht="51">
      <c r="A36" s="823" t="s">
        <v>2211</v>
      </c>
      <c r="B36" s="823" t="s">
        <v>2244</v>
      </c>
      <c r="C36" s="826" t="s">
        <v>2245</v>
      </c>
      <c r="D36" s="831"/>
      <c r="E36" s="831"/>
      <c r="F36" s="831"/>
      <c r="G36" s="831"/>
      <c r="H36" s="831"/>
      <c r="I36" s="831"/>
      <c r="J36" s="831"/>
      <c r="K36" s="831"/>
      <c r="L36" s="831"/>
      <c r="M36" s="831"/>
      <c r="N36" s="831"/>
      <c r="O36" s="831"/>
      <c r="P36" s="831"/>
      <c r="Q36" s="831"/>
      <c r="R36" s="831"/>
      <c r="S36" s="831"/>
      <c r="T36" s="831"/>
      <c r="U36" s="831"/>
      <c r="V36" s="831"/>
      <c r="W36" s="831"/>
      <c r="X36" s="831"/>
      <c r="Y36" s="831"/>
      <c r="Z36" s="831"/>
      <c r="AA36" s="831"/>
      <c r="AB36" s="831"/>
      <c r="AC36" s="831"/>
      <c r="AD36" s="831"/>
      <c r="AE36" s="831"/>
      <c r="AF36" s="831"/>
      <c r="AG36" s="831"/>
      <c r="AH36" s="831"/>
      <c r="AI36" s="831"/>
      <c r="AJ36" s="831"/>
      <c r="AK36" s="831"/>
      <c r="AL36" s="831"/>
      <c r="AM36" s="831"/>
      <c r="AN36" s="831"/>
      <c r="AO36" s="831"/>
      <c r="AP36" s="831"/>
      <c r="AQ36" s="828">
        <v>6.4</v>
      </c>
      <c r="AR36" s="828">
        <v>0</v>
      </c>
      <c r="AS36" s="828">
        <v>0</v>
      </c>
      <c r="AT36" s="828">
        <v>0</v>
      </c>
      <c r="AU36" s="828">
        <v>0</v>
      </c>
      <c r="AV36" s="828">
        <v>0</v>
      </c>
      <c r="AW36" s="828">
        <v>0</v>
      </c>
      <c r="AX36" s="828">
        <v>0</v>
      </c>
      <c r="AY36" s="828">
        <v>0</v>
      </c>
      <c r="AZ36" s="828">
        <v>0</v>
      </c>
      <c r="BA36" s="828">
        <v>0</v>
      </c>
      <c r="BB36" s="828">
        <v>0</v>
      </c>
      <c r="BC36" s="828">
        <v>0</v>
      </c>
      <c r="BD36" s="828">
        <v>0</v>
      </c>
      <c r="BE36" s="828">
        <v>0</v>
      </c>
      <c r="BF36" s="828">
        <v>0</v>
      </c>
      <c r="BG36" s="828">
        <v>0</v>
      </c>
      <c r="BH36" s="828">
        <v>0</v>
      </c>
      <c r="BI36" s="828">
        <v>0</v>
      </c>
      <c r="BJ36" s="828">
        <v>0</v>
      </c>
      <c r="BK36" s="828">
        <v>0</v>
      </c>
      <c r="BL36" s="828">
        <v>0</v>
      </c>
      <c r="BM36" s="828">
        <v>0</v>
      </c>
      <c r="BN36" s="828">
        <v>0</v>
      </c>
      <c r="BO36" s="828">
        <v>0</v>
      </c>
      <c r="BP36" s="828">
        <v>0</v>
      </c>
      <c r="BQ36" s="828">
        <v>0</v>
      </c>
      <c r="BR36" s="828">
        <v>0</v>
      </c>
      <c r="BS36" s="828">
        <v>0</v>
      </c>
      <c r="BT36" s="828">
        <v>0</v>
      </c>
      <c r="BU36" s="828">
        <v>0</v>
      </c>
      <c r="BV36" s="828">
        <v>0</v>
      </c>
      <c r="BW36" s="828">
        <v>0</v>
      </c>
      <c r="BX36" s="828">
        <v>0</v>
      </c>
      <c r="BY36" s="828">
        <v>0</v>
      </c>
      <c r="BZ36" s="828">
        <v>0</v>
      </c>
      <c r="CA36" s="828">
        <v>0</v>
      </c>
      <c r="CB36" s="828">
        <v>0</v>
      </c>
      <c r="CC36" s="828">
        <v>0</v>
      </c>
      <c r="CD36" s="828">
        <v>0</v>
      </c>
    </row>
    <row r="37" spans="1:82" ht="89.25">
      <c r="A37" s="823" t="s">
        <v>2246</v>
      </c>
      <c r="B37" s="823" t="s">
        <v>2247</v>
      </c>
      <c r="C37" s="826" t="s">
        <v>2248</v>
      </c>
      <c r="D37" s="824" t="s">
        <v>2249</v>
      </c>
      <c r="E37" s="824"/>
      <c r="F37" s="824"/>
      <c r="G37" s="824" t="s">
        <v>2250</v>
      </c>
      <c r="H37" s="824" t="s">
        <v>2251</v>
      </c>
      <c r="I37" s="826" t="s">
        <v>2252</v>
      </c>
      <c r="J37" s="824" t="s">
        <v>2253</v>
      </c>
      <c r="K37" s="824" t="s">
        <v>2254</v>
      </c>
      <c r="L37" s="826" t="s">
        <v>2255</v>
      </c>
      <c r="M37" s="824" t="s">
        <v>2256</v>
      </c>
      <c r="N37" s="824" t="s">
        <v>2257</v>
      </c>
      <c r="O37" s="826" t="s">
        <v>2258</v>
      </c>
      <c r="P37" s="824" t="s">
        <v>2259</v>
      </c>
      <c r="Q37" s="824" t="s">
        <v>2260</v>
      </c>
      <c r="R37" s="824" t="s">
        <v>2261</v>
      </c>
      <c r="S37" s="824" t="s">
        <v>2262</v>
      </c>
      <c r="T37" s="826" t="s">
        <v>2263</v>
      </c>
      <c r="U37" s="824" t="s">
        <v>2264</v>
      </c>
      <c r="V37" s="826" t="s">
        <v>2265</v>
      </c>
      <c r="W37" s="824" t="s">
        <v>2266</v>
      </c>
      <c r="X37" s="826" t="s">
        <v>2267</v>
      </c>
      <c r="Y37" s="824" t="s">
        <v>2268</v>
      </c>
      <c r="Z37" s="824" t="s">
        <v>2269</v>
      </c>
      <c r="AA37" s="824" t="s">
        <v>2270</v>
      </c>
      <c r="AB37" s="826" t="s">
        <v>2271</v>
      </c>
      <c r="AC37" s="824" t="s">
        <v>2272</v>
      </c>
      <c r="AD37" s="824" t="s">
        <v>2273</v>
      </c>
      <c r="AE37" s="826" t="s">
        <v>2274</v>
      </c>
      <c r="AF37" s="824" t="s">
        <v>2275</v>
      </c>
      <c r="AG37" s="826" t="s">
        <v>2276</v>
      </c>
      <c r="AH37" s="824" t="s">
        <v>2277</v>
      </c>
      <c r="AI37" s="826" t="s">
        <v>2278</v>
      </c>
      <c r="AJ37" s="826" t="s">
        <v>2279</v>
      </c>
      <c r="AK37" s="824" t="s">
        <v>2280</v>
      </c>
      <c r="AL37" s="824" t="s">
        <v>2281</v>
      </c>
      <c r="AM37" s="824" t="s">
        <v>2282</v>
      </c>
      <c r="AN37" s="824" t="s">
        <v>2283</v>
      </c>
      <c r="AO37" s="824" t="s">
        <v>2284</v>
      </c>
      <c r="AP37" s="824" t="s">
        <v>2285</v>
      </c>
      <c r="AQ37" s="828">
        <v>11.4</v>
      </c>
      <c r="AR37" s="828">
        <v>11.3</v>
      </c>
      <c r="AS37" s="828">
        <v>0</v>
      </c>
      <c r="AT37" s="828">
        <v>0</v>
      </c>
      <c r="AU37" s="828">
        <v>11.8</v>
      </c>
      <c r="AV37" s="828">
        <v>11.2</v>
      </c>
      <c r="AW37" s="828">
        <v>10.199999999999999</v>
      </c>
      <c r="AX37" s="828">
        <v>9.9</v>
      </c>
      <c r="AY37" s="828">
        <v>10</v>
      </c>
      <c r="AZ37" s="828">
        <v>9.8000000000000007</v>
      </c>
      <c r="BA37" s="828">
        <v>10.9</v>
      </c>
      <c r="BB37" s="828">
        <v>6.5</v>
      </c>
      <c r="BC37" s="828">
        <v>9.6999999999999993</v>
      </c>
      <c r="BD37" s="828">
        <v>13.9</v>
      </c>
      <c r="BE37" s="828">
        <v>9.1</v>
      </c>
      <c r="BF37" s="828">
        <v>10.199999999999999</v>
      </c>
      <c r="BG37" s="828">
        <v>17.899999999999999</v>
      </c>
      <c r="BH37" s="828">
        <v>9.1999999999999993</v>
      </c>
      <c r="BI37" s="828">
        <v>9.8000000000000007</v>
      </c>
      <c r="BJ37" s="828">
        <v>10.5</v>
      </c>
      <c r="BK37" s="828">
        <v>10.6</v>
      </c>
      <c r="BL37" s="828">
        <v>10.9</v>
      </c>
      <c r="BM37" s="828">
        <v>11.3</v>
      </c>
      <c r="BN37" s="828">
        <v>9.9</v>
      </c>
      <c r="BO37" s="828">
        <v>10.1</v>
      </c>
      <c r="BP37" s="828">
        <v>11.3</v>
      </c>
      <c r="BQ37" s="828">
        <v>11.5</v>
      </c>
      <c r="BR37" s="828">
        <v>11.4</v>
      </c>
      <c r="BS37" s="828">
        <v>8.9</v>
      </c>
      <c r="BT37" s="828">
        <v>6.9</v>
      </c>
      <c r="BU37" s="828">
        <v>10.4</v>
      </c>
      <c r="BV37" s="828">
        <v>8.5</v>
      </c>
      <c r="BW37" s="828">
        <v>6.7</v>
      </c>
      <c r="BX37" s="828">
        <v>11.4</v>
      </c>
      <c r="BY37" s="828">
        <v>11.4</v>
      </c>
      <c r="BZ37" s="828">
        <v>0</v>
      </c>
      <c r="CA37" s="828">
        <v>9.9</v>
      </c>
      <c r="CB37" s="828">
        <v>9.6</v>
      </c>
      <c r="CC37" s="828">
        <v>12.7</v>
      </c>
      <c r="CD37" s="828">
        <v>0</v>
      </c>
    </row>
    <row r="38" spans="1:82" ht="89.25">
      <c r="A38" s="823" t="s">
        <v>2286</v>
      </c>
      <c r="B38" s="823" t="s">
        <v>2287</v>
      </c>
      <c r="C38" s="826"/>
      <c r="D38" s="824"/>
      <c r="E38" s="826"/>
      <c r="F38" s="826"/>
      <c r="G38" s="826"/>
      <c r="H38" s="826"/>
      <c r="I38" s="826" t="s">
        <v>2288</v>
      </c>
      <c r="J38" s="826" t="s">
        <v>2289</v>
      </c>
      <c r="K38" s="831"/>
      <c r="L38" s="831"/>
      <c r="M38" s="831"/>
      <c r="N38" s="831"/>
      <c r="O38" s="831"/>
      <c r="P38" s="831"/>
      <c r="Q38" s="831"/>
      <c r="R38" s="831"/>
      <c r="S38" s="831"/>
      <c r="T38" s="831"/>
      <c r="U38" s="831"/>
      <c r="V38" s="831"/>
      <c r="W38" s="831"/>
      <c r="X38" s="831"/>
      <c r="Y38" s="831"/>
      <c r="Z38" s="831"/>
      <c r="AA38" s="831"/>
      <c r="AB38" s="831"/>
      <c r="AC38" s="831"/>
      <c r="AD38" s="831"/>
      <c r="AE38" s="831"/>
      <c r="AF38" s="831"/>
      <c r="AG38" s="831"/>
      <c r="AH38" s="831"/>
      <c r="AI38" s="831"/>
      <c r="AJ38" s="831"/>
      <c r="AK38" s="831"/>
      <c r="AL38" s="831"/>
      <c r="AM38" s="831"/>
      <c r="AN38" s="831"/>
      <c r="AO38" s="831"/>
      <c r="AP38" s="831"/>
      <c r="AQ38" s="828">
        <v>0</v>
      </c>
      <c r="AR38" s="828">
        <v>0</v>
      </c>
      <c r="AS38" s="828">
        <v>0</v>
      </c>
      <c r="AT38" s="828">
        <v>0</v>
      </c>
      <c r="AU38" s="828">
        <v>0</v>
      </c>
      <c r="AV38" s="828">
        <v>0</v>
      </c>
      <c r="AW38" s="828">
        <v>9.1999999999999993</v>
      </c>
      <c r="AX38" s="828">
        <v>9.8000000000000007</v>
      </c>
      <c r="AY38" s="828">
        <v>0</v>
      </c>
      <c r="AZ38" s="828">
        <v>0</v>
      </c>
      <c r="BA38" s="828">
        <v>0</v>
      </c>
      <c r="BB38" s="828">
        <v>0</v>
      </c>
      <c r="BC38" s="828">
        <v>0</v>
      </c>
      <c r="BD38" s="828">
        <v>0</v>
      </c>
      <c r="BE38" s="828">
        <v>0</v>
      </c>
      <c r="BF38" s="828">
        <v>0</v>
      </c>
      <c r="BG38" s="828">
        <v>0</v>
      </c>
      <c r="BH38" s="828">
        <v>0</v>
      </c>
      <c r="BI38" s="828">
        <v>0</v>
      </c>
      <c r="BJ38" s="828">
        <v>0</v>
      </c>
      <c r="BK38" s="828">
        <v>0</v>
      </c>
      <c r="BL38" s="828">
        <v>0</v>
      </c>
      <c r="BM38" s="828">
        <v>0</v>
      </c>
      <c r="BN38" s="828">
        <v>0</v>
      </c>
      <c r="BO38" s="828">
        <v>0</v>
      </c>
      <c r="BP38" s="828">
        <v>0</v>
      </c>
      <c r="BQ38" s="828">
        <v>0</v>
      </c>
      <c r="BR38" s="828">
        <v>0</v>
      </c>
      <c r="BS38" s="828">
        <v>0</v>
      </c>
      <c r="BT38" s="828">
        <v>0</v>
      </c>
      <c r="BU38" s="828">
        <v>0</v>
      </c>
      <c r="BV38" s="828">
        <v>0</v>
      </c>
      <c r="BW38" s="828">
        <v>0</v>
      </c>
      <c r="BX38" s="828">
        <v>0</v>
      </c>
      <c r="BY38" s="828">
        <v>0</v>
      </c>
      <c r="BZ38" s="828">
        <v>0</v>
      </c>
      <c r="CA38" s="828">
        <v>0</v>
      </c>
      <c r="CB38" s="828">
        <v>0</v>
      </c>
      <c r="CC38" s="828">
        <v>0</v>
      </c>
      <c r="CD38" s="828">
        <v>0</v>
      </c>
    </row>
    <row r="39" spans="1:82" ht="25.5">
      <c r="A39" s="823" t="s">
        <v>2290</v>
      </c>
      <c r="B39" s="823" t="s">
        <v>2291</v>
      </c>
      <c r="C39" s="824" t="s">
        <v>2292</v>
      </c>
      <c r="D39" s="831"/>
      <c r="E39" s="831"/>
      <c r="F39" s="831"/>
      <c r="G39" s="831"/>
      <c r="H39" s="831"/>
      <c r="I39" s="831"/>
      <c r="J39" s="831"/>
      <c r="K39" s="831"/>
      <c r="L39" s="831"/>
      <c r="M39" s="831"/>
      <c r="N39" s="831"/>
      <c r="O39" s="831"/>
      <c r="P39" s="831"/>
      <c r="Q39" s="831"/>
      <c r="R39" s="831"/>
      <c r="S39" s="831"/>
      <c r="T39" s="831"/>
      <c r="U39" s="831"/>
      <c r="V39" s="831"/>
      <c r="W39" s="831"/>
      <c r="X39" s="831"/>
      <c r="Y39" s="831"/>
      <c r="Z39" s="831"/>
      <c r="AA39" s="831"/>
      <c r="AB39" s="831"/>
      <c r="AC39" s="831"/>
      <c r="AD39" s="831"/>
      <c r="AE39" s="831"/>
      <c r="AF39" s="831"/>
      <c r="AG39" s="831"/>
      <c r="AH39" s="831"/>
      <c r="AI39" s="831"/>
      <c r="AJ39" s="831"/>
      <c r="AK39" s="831"/>
      <c r="AL39" s="831"/>
      <c r="AM39" s="831"/>
      <c r="AN39" s="831"/>
      <c r="AO39" s="831"/>
      <c r="AP39" s="831"/>
      <c r="AQ39" s="828">
        <v>14</v>
      </c>
      <c r="AR39" s="828">
        <v>0</v>
      </c>
      <c r="AS39" s="828">
        <v>0</v>
      </c>
      <c r="AT39" s="828">
        <v>0</v>
      </c>
      <c r="AU39" s="828">
        <v>0</v>
      </c>
      <c r="AV39" s="828">
        <v>0</v>
      </c>
      <c r="AW39" s="828">
        <v>0</v>
      </c>
      <c r="AX39" s="828">
        <v>0</v>
      </c>
      <c r="AY39" s="828">
        <v>0</v>
      </c>
      <c r="AZ39" s="828">
        <v>0</v>
      </c>
      <c r="BA39" s="828">
        <v>0</v>
      </c>
      <c r="BB39" s="828">
        <v>0</v>
      </c>
      <c r="BC39" s="828">
        <v>0</v>
      </c>
      <c r="BD39" s="828">
        <v>0</v>
      </c>
      <c r="BE39" s="828">
        <v>0</v>
      </c>
      <c r="BF39" s="828">
        <v>0</v>
      </c>
      <c r="BG39" s="828">
        <v>0</v>
      </c>
      <c r="BH39" s="828">
        <v>0</v>
      </c>
      <c r="BI39" s="828">
        <v>0</v>
      </c>
      <c r="BJ39" s="828">
        <v>0</v>
      </c>
      <c r="BK39" s="828">
        <v>0</v>
      </c>
      <c r="BL39" s="828">
        <v>0</v>
      </c>
      <c r="BM39" s="828">
        <v>0</v>
      </c>
      <c r="BN39" s="828">
        <v>0</v>
      </c>
      <c r="BO39" s="828">
        <v>0</v>
      </c>
      <c r="BP39" s="828">
        <v>0</v>
      </c>
      <c r="BQ39" s="828">
        <v>0</v>
      </c>
      <c r="BR39" s="828">
        <v>0</v>
      </c>
      <c r="BS39" s="828">
        <v>0</v>
      </c>
      <c r="BT39" s="828">
        <v>0</v>
      </c>
      <c r="BU39" s="828">
        <v>0</v>
      </c>
      <c r="BV39" s="828">
        <v>0</v>
      </c>
      <c r="BW39" s="828">
        <v>0</v>
      </c>
      <c r="BX39" s="828">
        <v>0</v>
      </c>
      <c r="BY39" s="828">
        <v>0</v>
      </c>
      <c r="BZ39" s="828">
        <v>0</v>
      </c>
      <c r="CA39" s="828">
        <v>0</v>
      </c>
      <c r="CB39" s="828">
        <v>0</v>
      </c>
      <c r="CC39" s="828">
        <v>0</v>
      </c>
      <c r="CD39" s="828">
        <v>0</v>
      </c>
    </row>
  </sheetData>
  <sheetProtection password="857C" sheet="1" objects="1" scenarios="1"/>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B3"/>
  <sheetViews>
    <sheetView zoomScaleNormal="100" workbookViewId="0">
      <selection activeCell="B4" sqref="B4"/>
    </sheetView>
  </sheetViews>
  <sheetFormatPr defaultRowHeight="15"/>
  <cols>
    <col min="1" max="1025" width="8.7109375" customWidth="1"/>
  </cols>
  <sheetData>
    <row r="2" spans="2:2">
      <c r="B2" s="800" t="s">
        <v>48</v>
      </c>
    </row>
    <row r="3" spans="2:2">
      <c r="B3" s="800" t="s">
        <v>104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4" baseType="variant">
      <vt:variant>
        <vt:lpstr>Worksheets</vt:lpstr>
      </vt:variant>
      <vt:variant>
        <vt:i4>18</vt:i4>
      </vt:variant>
      <vt:variant>
        <vt:lpstr>Named Ranges</vt:lpstr>
      </vt:variant>
      <vt:variant>
        <vt:i4>349</vt:i4>
      </vt:variant>
    </vt:vector>
  </HeadingPairs>
  <TitlesOfParts>
    <vt:vector size="367" baseType="lpstr">
      <vt:lpstr>Policy Checks on recent changes</vt:lpstr>
      <vt:lpstr>Customer Details</vt:lpstr>
      <vt:lpstr>Scorecard</vt:lpstr>
      <vt:lpstr>CAM</vt:lpstr>
      <vt:lpstr>Fin-1</vt:lpstr>
      <vt:lpstr>Fin-3</vt:lpstr>
      <vt:lpstr>Fin-2</vt:lpstr>
      <vt:lpstr>DSCR</vt:lpstr>
      <vt:lpstr>Banking</vt:lpstr>
      <vt:lpstr>VAT</vt:lpstr>
      <vt:lpstr>Existing Loans</vt:lpstr>
      <vt:lpstr>Step Down EMI Calculator</vt:lpstr>
      <vt:lpstr>Amort-Step Down</vt:lpstr>
      <vt:lpstr>Deviation Sheet</vt:lpstr>
      <vt:lpstr>Industry Margin - Mfg</vt:lpstr>
      <vt:lpstr>Industry Margin - Trading</vt:lpstr>
      <vt:lpstr>Industry Margin - Service</vt:lpstr>
      <vt:lpstr>Sheet1</vt:lpstr>
      <vt:lpstr>'Deviation Sheet'!_FilterDatabase</vt:lpstr>
      <vt:lpstr>'Industry Margin - Mfg'!_FilterDatabase</vt:lpstr>
      <vt:lpstr>'Industry Margin - Service'!_FilterDatabase</vt:lpstr>
      <vt:lpstr>'Industry Margin - Trading'!_FilterDatabase</vt:lpstr>
      <vt:lpstr>Accnt_Holder</vt:lpstr>
      <vt:lpstr>Agriculture_M</vt:lpstr>
      <vt:lpstr>Agriculture_Trading</vt:lpstr>
      <vt:lpstr>Aluminium_and_Aluminium_Products__manufacturers___Mfg_Segment_</vt:lpstr>
      <vt:lpstr>Aluminium_and_Aluminium_Products__manufacturers__Trading_Segment</vt:lpstr>
      <vt:lpstr>Animal_Feed__Mfg_Segment_</vt:lpstr>
      <vt:lpstr>Authorised_car_dealers__servicing__manufacturers_Service_Segment</vt:lpstr>
      <vt:lpstr>Authorised_car_dealers_servicing_manufacturers__Mfg_Segment_</vt:lpstr>
      <vt:lpstr>Authorised_car_dealers_servicing_manufacturers_Trading_Segment</vt:lpstr>
      <vt:lpstr>Auto_Ancilliaries__Mfg_Segment_</vt:lpstr>
      <vt:lpstr>Auto_Ancilliaries_M</vt:lpstr>
      <vt:lpstr>Auto_Ancilliaries_Trading</vt:lpstr>
      <vt:lpstr>Auto_Ancilliaries_Trading_Segment</vt:lpstr>
      <vt:lpstr>Automobile_2W_Trading</vt:lpstr>
      <vt:lpstr>Automobile_4W_M</vt:lpstr>
      <vt:lpstr>Automobile_4W_Services_Industry</vt:lpstr>
      <vt:lpstr>Automobile_4W_Trading</vt:lpstr>
      <vt:lpstr>Aviation_Services_Industry</vt:lpstr>
      <vt:lpstr>BankNames</vt:lpstr>
      <vt:lpstr>Bearings__Mfg_Segment_</vt:lpstr>
      <vt:lpstr>Beer_Wine_and_Distilled_Alcoholic_Beverages__Mfg_Segment_</vt:lpstr>
      <vt:lpstr>Beer_Wine_and_Distilled_Alcoholic_Beverages_Trading_Segment</vt:lpstr>
      <vt:lpstr>Biotech_Research__Mfg_Segment_</vt:lpstr>
      <vt:lpstr>Biz_Type</vt:lpstr>
      <vt:lpstr>Books_office_supplies_and_stationery_Trading_Segment</vt:lpstr>
      <vt:lpstr>Branch</vt:lpstr>
      <vt:lpstr>Branches</vt:lpstr>
      <vt:lpstr>Cable_and_other_pay_TV_services_Service_Segment</vt:lpstr>
      <vt:lpstr>Cable_TV_Services_Industry</vt:lpstr>
      <vt:lpstr>Casting_and_Forgings_M</vt:lpstr>
      <vt:lpstr>Castings_and_Forgings__Mfg_Segment_</vt:lpstr>
      <vt:lpstr>Cement_and_Asbestos_Products__Mfg_Segment_</vt:lpstr>
      <vt:lpstr>Cement_and_Asbestos_Products_Trading_Segment</vt:lpstr>
      <vt:lpstr>Cement_M</vt:lpstr>
      <vt:lpstr>Cement_Trading</vt:lpstr>
      <vt:lpstr>Chemicals_M</vt:lpstr>
      <vt:lpstr>Chemicals_petrochemicals_specility_chemicals__Mfg_Segment_</vt:lpstr>
      <vt:lpstr>Chemicals_petrochemicals_specility_chemicals_Trading_Segment</vt:lpstr>
      <vt:lpstr>Chemicals_Trading</vt:lpstr>
      <vt:lpstr>Clocks_and_Watches__Mfg_Segment_</vt:lpstr>
      <vt:lpstr>Clocks_and_Watches_Trading_Segment</vt:lpstr>
      <vt:lpstr>Coal_and_Lignite_Minerals__Mfg_Segment_</vt:lpstr>
      <vt:lpstr>Coal_and_Lignite_Minerals_Trading_Segment</vt:lpstr>
      <vt:lpstr>Coal_M</vt:lpstr>
      <vt:lpstr>Coal_Trading</vt:lpstr>
      <vt:lpstr>Cocoa_Confectionary_Dairy_packaged_food_bakery__Mfg_Segment_</vt:lpstr>
      <vt:lpstr>Cocoa_Confectionary_Dairy_packaged_food_bakery_Trading_Segment</vt:lpstr>
      <vt:lpstr>Coffee_M</vt:lpstr>
      <vt:lpstr>Coffee_Producers_and_coffee_chains__Mfg_Segment_</vt:lpstr>
      <vt:lpstr>Coffee_Producers_and_coffee_chains_Trading_Segment</vt:lpstr>
      <vt:lpstr>Coffee_Trading</vt:lpstr>
      <vt:lpstr>Cold_storage_chains_Service_Segment</vt:lpstr>
      <vt:lpstr>Cold_Storage_Services_Industry</vt:lpstr>
      <vt:lpstr>Commercial_residential_industrial_buildings_Service_Segment</vt:lpstr>
      <vt:lpstr>Commercial_Vehicle_M</vt:lpstr>
      <vt:lpstr>Commercial_Vehicle_Services_Industry</vt:lpstr>
      <vt:lpstr>Commercial_Vehicle_Trading</vt:lpstr>
      <vt:lpstr>Compressors__Mfg_Segment_</vt:lpstr>
      <vt:lpstr>Computer_and_Peripherals_Services_Industry</vt:lpstr>
      <vt:lpstr>Computer_Software_and_Education_and_post_production_animation_Service_Segment</vt:lpstr>
      <vt:lpstr>Construction_Equipment_Services_Industry</vt:lpstr>
      <vt:lpstr>Construction_materials_ceramic_tiles__Mfg_Segment_</vt:lpstr>
      <vt:lpstr>Construction_materials_ceramic_tiles_Trading_Segment</vt:lpstr>
      <vt:lpstr>Construction_Services_Industry</vt:lpstr>
      <vt:lpstr>Consumer_Durables_Services_Industry</vt:lpstr>
      <vt:lpstr>Consumer_Durables_Trading</vt:lpstr>
      <vt:lpstr>Consumer_Electronic_Spares___Components_Trading_Segment</vt:lpstr>
      <vt:lpstr>Contractor_Service_Segment</vt:lpstr>
      <vt:lpstr>Copper_and_Copper_Products__Mfg_Segment_</vt:lpstr>
      <vt:lpstr>Copper_and_Copper_Products_Trading_Segment</vt:lpstr>
      <vt:lpstr>Cosmetics_and_Toiletries_M</vt:lpstr>
      <vt:lpstr>Cosmetics_and_Toiletries_Trading</vt:lpstr>
      <vt:lpstr>Cotton_synthetic_blended_knitted_and_silk_fabric_or_cloth__Mfg_Segment_</vt:lpstr>
      <vt:lpstr>Cotton_synthetic_blended_knitted_and_silk_fabric_or_cloth_Trading_Segment</vt:lpstr>
      <vt:lpstr>CRAMS_or_Formulations_or_API_or_Ayurveda_or_Bulk_Drugs__Mfg_Segment_</vt:lpstr>
      <vt:lpstr>Deviation</vt:lpstr>
      <vt:lpstr>Diagnostic_Centre__Hospitals_or_Gyms_or_health_Centre_Service_Segment</vt:lpstr>
      <vt:lpstr>Drug_Stores_M</vt:lpstr>
      <vt:lpstr>Drug_Stores_Trading</vt:lpstr>
      <vt:lpstr>Drugs_and_pharmaceuticals_drug_proprietaries_and_druggists_sundries__Mfg_Segment_</vt:lpstr>
      <vt:lpstr>Drugs_and_pharmaceuticals_drug_proprietaries_and_druggists_sundries_Trading_Segment</vt:lpstr>
      <vt:lpstr>Dry_Fruits__Mfg_Segment_</vt:lpstr>
      <vt:lpstr>Dry_Fruits_Trading_Segment</vt:lpstr>
      <vt:lpstr>Dyes_and_Pigments__Mfg_Segment_</vt:lpstr>
      <vt:lpstr>Dyes_and_Pigments_M</vt:lpstr>
      <vt:lpstr>Dyes_and_Pigments_Trading</vt:lpstr>
      <vt:lpstr>Dyes_and_Pigments_Trading_Segment</vt:lpstr>
      <vt:lpstr>Edible_Oils_Trading</vt:lpstr>
      <vt:lpstr>Edible_Oils_Trading_Segment</vt:lpstr>
      <vt:lpstr>Education_Service_Segment</vt:lpstr>
      <vt:lpstr>Education_Services_Industry</vt:lpstr>
      <vt:lpstr>Electrical_good_and_equipments__Mfg_Segment_</vt:lpstr>
      <vt:lpstr>Electrical_good_and_equipments_Trading_Segment</vt:lpstr>
      <vt:lpstr>Electricals_M</vt:lpstr>
      <vt:lpstr>Electricals_Trading</vt:lpstr>
      <vt:lpstr>Electronic_Equipment_Service_Segment</vt:lpstr>
      <vt:lpstr>Electronic_Equipment_Trading_Segment</vt:lpstr>
      <vt:lpstr>Engineering_M</vt:lpstr>
      <vt:lpstr>Engineering_Service_Segment</vt:lpstr>
      <vt:lpstr>Engineering_Services_Industry</vt:lpstr>
      <vt:lpstr>Engines__Mfg_Segment_</vt:lpstr>
      <vt:lpstr>Entertainment_and_Leisure_Services_Industry</vt:lpstr>
      <vt:lpstr>Entertainment_and_Medic_content_provider__motion_picture_production__distribution__exhibition_Service_Segment</vt:lpstr>
      <vt:lpstr>ERP_or_any_type_of_protecting_systems_or_anti_virus_Service_Segment</vt:lpstr>
      <vt:lpstr>Executive_search_or_manpower_servicess__hostel_management_Service_Segment</vt:lpstr>
      <vt:lpstr>Fertiliser_M</vt:lpstr>
      <vt:lpstr>Fertiliser_Trading</vt:lpstr>
      <vt:lpstr>Fertilisers__Mfg_Segment_</vt:lpstr>
      <vt:lpstr>Fertilisers_Trading_Segment</vt:lpstr>
      <vt:lpstr>Film_Industry_Services_Industry</vt:lpstr>
      <vt:lpstr>Finance_relared_companies_and_consultancies__advisory_firms_Service_Segment</vt:lpstr>
      <vt:lpstr>Financial_Services_Services_Industry</vt:lpstr>
      <vt:lpstr>Floriculture_Trading_Segment</vt:lpstr>
      <vt:lpstr>FMCG_Trading</vt:lpstr>
      <vt:lpstr>Food_processing__Mfg_Segment_</vt:lpstr>
      <vt:lpstr>Food_Processing_M</vt:lpstr>
      <vt:lpstr>Food_Processing_Trading</vt:lpstr>
      <vt:lpstr>Fruits_and_Nurts_and_Vegatables__Mfg_Segment_</vt:lpstr>
      <vt:lpstr>Future_Rentals_Services_Industry</vt:lpstr>
      <vt:lpstr>Gems_and_jewellery__Mfg_Segment_</vt:lpstr>
      <vt:lpstr>Gems_and_Jewellery_M</vt:lpstr>
      <vt:lpstr>Gems_and_Jewellery_Trading</vt:lpstr>
      <vt:lpstr>Gems_and_jewellery_Trading_Segment</vt:lpstr>
      <vt:lpstr>General_Merchandise_Stores___Kiryana_Stores_grocery_stores_etc_Trading_Segment</vt:lpstr>
      <vt:lpstr>General_Purpose_Machinery__Mfg_Segment_</vt:lpstr>
      <vt:lpstr>Ginning_of_cotton__Mfg_Segment_</vt:lpstr>
      <vt:lpstr>Glass_and_Glass_Products__Mfg_Segment_</vt:lpstr>
      <vt:lpstr>Glass_M</vt:lpstr>
      <vt:lpstr>Haha</vt:lpstr>
      <vt:lpstr>Home_Appliances___Kitchen_Appliances_Trading_Segment</vt:lpstr>
      <vt:lpstr>Home_Furnishing___Kitchen_and_household_hardware_Trading_Segment</vt:lpstr>
      <vt:lpstr>Home_furnishing__Mfg_Segment_</vt:lpstr>
      <vt:lpstr>Home_Furnishing_or_Kitchen_and_household_hardware__Mfg_Segment_</vt:lpstr>
      <vt:lpstr>Hospitals_and_Clinics_Services_Industry</vt:lpstr>
      <vt:lpstr>Hotel_and_Restaurants_Services_Industry</vt:lpstr>
      <vt:lpstr>Hotels_and_Restaurants_Service_Segment</vt:lpstr>
      <vt:lpstr>HR_and_A_or_Medical_Transcriptions_Service_Segment</vt:lpstr>
      <vt:lpstr>Industrial_Equipment_or_Machinery_M</vt:lpstr>
      <vt:lpstr>Industrial_Equipment_or_Machinery_Services_Industry</vt:lpstr>
      <vt:lpstr>Industrial_Equipment_or_Machinery_Trading</vt:lpstr>
      <vt:lpstr>Industrial_Furnaces__Mfg_Segment_</vt:lpstr>
      <vt:lpstr>Industrial_Machinery__Mfg_Segment_</vt:lpstr>
      <vt:lpstr>Industrial_Machinery_Service_Segment</vt:lpstr>
      <vt:lpstr>Industrial_Machinery_Trading_Segment</vt:lpstr>
      <vt:lpstr>Industries_not_classified_elsewhere__Mfg_Segment_1</vt:lpstr>
      <vt:lpstr>Industry_not_classified_elsewhere_Service_Segment</vt:lpstr>
      <vt:lpstr>Industry_not_classified_elsewhere_Trading_Segment</vt:lpstr>
      <vt:lpstr>Iron__Steel_and_Steel_Alloys__Wires_and_Cables_Service_Segment</vt:lpstr>
      <vt:lpstr>Iron_Steel_and_Steel_Alloys_Wires_and_Cables__Mfg_Segment_</vt:lpstr>
      <vt:lpstr>Iron_Steel_and_Steel_Alloys_Wires_and_Cables_Trading_Segment</vt:lpstr>
      <vt:lpstr>IT_or_Software_or_ITES_or_BPO_or_KPO_Services_Industry</vt:lpstr>
      <vt:lpstr>ITES_or_Call_Centres_Service_Segment</vt:lpstr>
      <vt:lpstr>Jute__Mfg_Segment_</vt:lpstr>
      <vt:lpstr>Jute_M</vt:lpstr>
      <vt:lpstr>L1_</vt:lpstr>
      <vt:lpstr>LCV__HCV__Commercial_Vehicles_Service_Segment</vt:lpstr>
      <vt:lpstr>LCV_HCV_Commercial_Vehicles__Mfg_Segment_</vt:lpstr>
      <vt:lpstr>LCV_HCV_Commercial_Vehicles_Trading_Segment</vt:lpstr>
      <vt:lpstr>Leather_M</vt:lpstr>
      <vt:lpstr>Liquor_or_Breweries_or_imfi_M</vt:lpstr>
      <vt:lpstr>Liquor_or_Breweries_or_imfi_Trading</vt:lpstr>
      <vt:lpstr>Live_Stock_M</vt:lpstr>
      <vt:lpstr>Loan</vt:lpstr>
      <vt:lpstr>Loan_Type</vt:lpstr>
      <vt:lpstr>LRD__lease_rentals__rental_income_Service_Segment</vt:lpstr>
      <vt:lpstr>Luggage_and_Leather_Goods_or_other_leather_prodycts__Mfg_Segment_</vt:lpstr>
      <vt:lpstr>Machine_Tools__Mfg_Segment_</vt:lpstr>
      <vt:lpstr>Machine_Tools_Trading_Segment</vt:lpstr>
      <vt:lpstr>Maintenance_and_overhauling_servicesl_ground_handling_Service_Segment</vt:lpstr>
      <vt:lpstr>Manufacturers_of_toiler_soaps_detergents_shampoos_toothpaste_shaving_products_shoe_polish_and_household_accessories__Mfg_Segment_</vt:lpstr>
      <vt:lpstr>Manufacturing</vt:lpstr>
      <vt:lpstr>Manufacturing_and_sales_of_pipes__PVC_including_dealers_Service_Segment</vt:lpstr>
      <vt:lpstr>Manufacturing_and_sales_of_pipes_PVC_including_dealers__Mfg_Segment_</vt:lpstr>
      <vt:lpstr>Manufacturing_and_sales_of_pipes_PVC_including_dealers_Trading_Segment</vt:lpstr>
      <vt:lpstr>Marble_and_Granite__Mfg_Segment_</vt:lpstr>
      <vt:lpstr>Marble_and_Granite_Trading_Segment</vt:lpstr>
      <vt:lpstr>Marine_Foods_Soya_bean_products__Mfg_Segment_</vt:lpstr>
      <vt:lpstr>Marine_Foods_Soya_bean_products_Trading_Segment</vt:lpstr>
      <vt:lpstr>Media__Advertising_and_Broadcasting__Animation_and_Post_production_Service_Segment</vt:lpstr>
      <vt:lpstr>Media_or_Entertainment_TV_Broadcasting_Services_Industry</vt:lpstr>
      <vt:lpstr>Medical_Equipment_Trading_Segment</vt:lpstr>
      <vt:lpstr>Medical_or_Pharma_Equipments_Trading</vt:lpstr>
      <vt:lpstr>Metals_aluminium_M</vt:lpstr>
      <vt:lpstr>Metals_aluminium_Trading</vt:lpstr>
      <vt:lpstr>Metals_copper_M</vt:lpstr>
      <vt:lpstr>Metals_copper_Trading</vt:lpstr>
      <vt:lpstr>Metals_Iron_and_Steel_M</vt:lpstr>
      <vt:lpstr>Metals_Iron_and_Steel_Services_Industry</vt:lpstr>
      <vt:lpstr>Metals_Iron_and_Steel_Trading</vt:lpstr>
      <vt:lpstr>Metals_others_M</vt:lpstr>
      <vt:lpstr>Metals_others_Trading</vt:lpstr>
      <vt:lpstr>Metals_zinc_M</vt:lpstr>
      <vt:lpstr>Metals_zinc_Trading</vt:lpstr>
      <vt:lpstr>Milling_Product__Mfg_Segment_</vt:lpstr>
      <vt:lpstr>Mining__Mfg_Segment_</vt:lpstr>
      <vt:lpstr>Mining_M</vt:lpstr>
      <vt:lpstr>Mining_Service_Segment</vt:lpstr>
      <vt:lpstr>Mining_Services_Industry</vt:lpstr>
      <vt:lpstr>Motors_Generator_and_pumps_and_other_power_equipments__Mfg_Segment_</vt:lpstr>
      <vt:lpstr>Multibrand_Stores_Trading_Segment</vt:lpstr>
      <vt:lpstr>N</vt:lpstr>
      <vt:lpstr>Office_Equipment__Networking_Service_Segment</vt:lpstr>
      <vt:lpstr>Other_communication_services__telex__wireless__fax__pager__other_telephone_or_communication_services__mobile_phones_retail_wholesale_seller_Service_Segment</vt:lpstr>
      <vt:lpstr>Other_communication_services__telex_wireless_fax_pager_other_telephone___communication_services__mobile_phones_retail_wholesale_seller_Trading_Segment</vt:lpstr>
      <vt:lpstr>other_than_iron_and_steel_zince_copper_aluminium__Mfg_Segment_</vt:lpstr>
      <vt:lpstr>other_than_iron_and_steel_zince_copper_aluminium_Trading_Segment</vt:lpstr>
      <vt:lpstr>Others_Mfg</vt:lpstr>
      <vt:lpstr>Others_Services_Industries</vt:lpstr>
      <vt:lpstr>Others_Tradings</vt:lpstr>
      <vt:lpstr>Packaging_M</vt:lpstr>
      <vt:lpstr>Packaging_Material__Mfg_Segment_</vt:lpstr>
      <vt:lpstr>Packaging_Services_Industry</vt:lpstr>
      <vt:lpstr>Paints_and_Varnishes__Mfg_Segment_</vt:lpstr>
      <vt:lpstr>Paints_and_Varnishes_Service_Segment</vt:lpstr>
      <vt:lpstr>Paints_and_Varnishes_Trading_Segment</vt:lpstr>
      <vt:lpstr>Paints_M</vt:lpstr>
      <vt:lpstr>Paints_Services_Industry</vt:lpstr>
      <vt:lpstr>Paints_Trading</vt:lpstr>
      <vt:lpstr>Paper_and_Paper_Products__Mfg_Segment_</vt:lpstr>
      <vt:lpstr>Paper_and_Paper_Products_Trading_Segment</vt:lpstr>
      <vt:lpstr>Paper_M</vt:lpstr>
      <vt:lpstr>Paper_Trading</vt:lpstr>
      <vt:lpstr>Perfumes_cosmetics_toiletries_hair_oil_cream__Mfg_Segment_</vt:lpstr>
      <vt:lpstr>Perfumes_cosmetics_toiletries_hair_oil_cream_Trading_Segment</vt:lpstr>
      <vt:lpstr>Period</vt:lpstr>
      <vt:lpstr>Pesticides_M</vt:lpstr>
      <vt:lpstr>Pesticides_Trading</vt:lpstr>
      <vt:lpstr>Pesticied__Mfg_Segment_</vt:lpstr>
      <vt:lpstr>Pesticied_Trading_Segment</vt:lpstr>
      <vt:lpstr>Pharmaceuticals_M</vt:lpstr>
      <vt:lpstr>Photgraphic_and_Allied_Products__Mfg_Segment_</vt:lpstr>
      <vt:lpstr>Photographic_and_Allied_Products_M</vt:lpstr>
      <vt:lpstr>Pipes_M</vt:lpstr>
      <vt:lpstr>Pipes_Services_Industry</vt:lpstr>
      <vt:lpstr>Pipes_Trading</vt:lpstr>
      <vt:lpstr>Plastic_Films__Mfg_Segment_</vt:lpstr>
      <vt:lpstr>Plastic_Packaging_Goods__Mfg_Segment_</vt:lpstr>
      <vt:lpstr>Plastic_Packaging_Goods_Service_Segment</vt:lpstr>
      <vt:lpstr>Plastic_tubes_and_sheets_and_other_plastic_products_plastic_resins_thermoplastics__Mfg_Segment_</vt:lpstr>
      <vt:lpstr>Plastic_tubes_and_sheets_and_other_plastic_products_plastic_resins_thermoplastics_Trading_Segment</vt:lpstr>
      <vt:lpstr>Plastics_M</vt:lpstr>
      <vt:lpstr>Plastics_Trading</vt:lpstr>
      <vt:lpstr>Polymers__Mfg_Segment_</vt:lpstr>
      <vt:lpstr>Polymers_Trading_Segment</vt:lpstr>
      <vt:lpstr>Poultry_and_Meat_Products__Mfg_Segment_</vt:lpstr>
      <vt:lpstr>Poultry_and_Meat_Products_Trading_Segment</vt:lpstr>
      <vt:lpstr>Poultry_M</vt:lpstr>
      <vt:lpstr>Poultry_Trading</vt:lpstr>
      <vt:lpstr>Power_M</vt:lpstr>
      <vt:lpstr>Power_Services_Industry</vt:lpstr>
      <vt:lpstr>Precision_Dyes_and_Parts_Fasteners__Mfg_Segment_</vt:lpstr>
      <vt:lpstr>Prime_Movers_Service_Segment</vt:lpstr>
      <vt:lpstr>Printing_and_Publishing_Services_Industry</vt:lpstr>
      <vt:lpstr>Professional_Services_Services_Industry</vt:lpstr>
      <vt:lpstr>Program</vt:lpstr>
      <vt:lpstr>Publishing_Service_Segment</vt:lpstr>
      <vt:lpstr>Pumps__Mfg_Segment_</vt:lpstr>
      <vt:lpstr>Pumps_Trading_Segment</vt:lpstr>
      <vt:lpstr>Readymade_garments__Mfg_Segment_</vt:lpstr>
      <vt:lpstr>Readymade_garments_Trading_Segment</vt:lpstr>
      <vt:lpstr>Real_Estate_Services_Industry</vt:lpstr>
      <vt:lpstr>Recreation_and_Amusement_parks__event_management__gyms_Service_Segment</vt:lpstr>
      <vt:lpstr>Retail_Trading</vt:lpstr>
      <vt:lpstr>Rubber_and_Rubber_products__Mfg_Segment_</vt:lpstr>
      <vt:lpstr>Rubber_and_Rubber_products_Trading_Segment</vt:lpstr>
      <vt:lpstr>Rubber_Natural_M</vt:lpstr>
      <vt:lpstr>Rubber_Natural_Trading</vt:lpstr>
      <vt:lpstr>Seed_Related__Mfg_Segment_</vt:lpstr>
      <vt:lpstr>Seed_Related_Trading_Segment</vt:lpstr>
      <vt:lpstr>Service</vt:lpstr>
      <vt:lpstr>Silk_PSF_VSF_nylon__Mfg_Segment_</vt:lpstr>
      <vt:lpstr>Soaps_and_Detergents_M</vt:lpstr>
      <vt:lpstr>Soaps_and_Detergents_Trading</vt:lpstr>
      <vt:lpstr>Soft_drinks_bottled_water_Non_alcoholic_beverages__Mfg_Segment_</vt:lpstr>
      <vt:lpstr>Speciality_M</vt:lpstr>
      <vt:lpstr>Speciality_Trading</vt:lpstr>
      <vt:lpstr>Spices_and_Grams__Mfg_Segment_</vt:lpstr>
      <vt:lpstr>Spices_and_Grams_Trading_Segment</vt:lpstr>
      <vt:lpstr>Sports_Goods_Sports_Academy__Mfg_Segment_</vt:lpstr>
      <vt:lpstr>Sports_Goods_Sports_Academy_Trading_Segment</vt:lpstr>
      <vt:lpstr>Status</vt:lpstr>
      <vt:lpstr>Storage_Batteries_Trading_Segment</vt:lpstr>
      <vt:lpstr>Structurals_Service_Segment</vt:lpstr>
      <vt:lpstr>Sugar__Mfg_Segment_</vt:lpstr>
      <vt:lpstr>Sugar_M</vt:lpstr>
      <vt:lpstr>Sugar_Trading</vt:lpstr>
      <vt:lpstr>Sugar_Trading_Segment</vt:lpstr>
      <vt:lpstr>Switching_Appratus__Mfg_Segment_</vt:lpstr>
      <vt:lpstr>Tax_and_Audit__Architects_Service_Segment</vt:lpstr>
      <vt:lpstr>Taxi_or_Car_Rental_Service_Segment</vt:lpstr>
      <vt:lpstr>Tea__Mfg_Segment_</vt:lpstr>
      <vt:lpstr>Tea_M</vt:lpstr>
      <vt:lpstr>Tea_Trading</vt:lpstr>
      <vt:lpstr>Tea_Trading_Segment</vt:lpstr>
      <vt:lpstr>Technical_Consultancy_and_Engg_services__IT_consulting__salaried_employees__doctors__only_rental_income_Service_Segment</vt:lpstr>
      <vt:lpstr>Telecom_and_Telecom_Products_Services_Industry</vt:lpstr>
      <vt:lpstr>Telecom_and_Telecom_Products_Trading</vt:lpstr>
      <vt:lpstr>Textile_Fabric_M</vt:lpstr>
      <vt:lpstr>Textile_Fabric_Trading</vt:lpstr>
      <vt:lpstr>Textile_Furnishing_M</vt:lpstr>
      <vt:lpstr>Textile_Garments_and_Apparels_M</vt:lpstr>
      <vt:lpstr>Textile_Garments_and_Apparels_Trading</vt:lpstr>
      <vt:lpstr>Textile_Ginning_M</vt:lpstr>
      <vt:lpstr>Textile_machinery__Mfg_Segment_</vt:lpstr>
      <vt:lpstr>Textile_Machinery_M</vt:lpstr>
      <vt:lpstr>Textile_other_than_mentioned_above__Mfg_Segment_</vt:lpstr>
      <vt:lpstr>Textile_other_than_mentioned_above_Trading_Segment</vt:lpstr>
      <vt:lpstr>Textile_Others_M</vt:lpstr>
      <vt:lpstr>Textile_Others_Trading</vt:lpstr>
      <vt:lpstr>Textile_Synthetic_M</vt:lpstr>
      <vt:lpstr>Textile_Yarn_M</vt:lpstr>
      <vt:lpstr>Textile_Yarn_Trading</vt:lpstr>
      <vt:lpstr>Textiles_Blended_Yarn__Mfg_Segment_</vt:lpstr>
      <vt:lpstr>Textiles_Blended_Yarn_Trading_Segment</vt:lpstr>
      <vt:lpstr>Tiles_Ceramic_or_Building_Construction_Material_M</vt:lpstr>
      <vt:lpstr>Tiles_Ceramic_or_Building_Construction_Material_Trading</vt:lpstr>
      <vt:lpstr>Timber_and_Timber_Products_M</vt:lpstr>
      <vt:lpstr>Timber_and_Timber_Products_Trading</vt:lpstr>
      <vt:lpstr>Tobacco_M</vt:lpstr>
      <vt:lpstr>Tobacco_Products__Mfg_Segment_</vt:lpstr>
      <vt:lpstr>Tobacco_Products_Trading_Segment</vt:lpstr>
      <vt:lpstr>Tobacco_Trading</vt:lpstr>
      <vt:lpstr>Tours_and_Travels_Services_Industry</vt:lpstr>
      <vt:lpstr>Tractors__Mfg_Segment_</vt:lpstr>
      <vt:lpstr>Tractors_M</vt:lpstr>
      <vt:lpstr>Tractors_Trading</vt:lpstr>
      <vt:lpstr>Tractors_Trading_Segment</vt:lpstr>
      <vt:lpstr>Trading</vt:lpstr>
      <vt:lpstr>Transformers__Mfg_Segment_</vt:lpstr>
      <vt:lpstr>Transmission_line_towers_and_equipment_Service_Segment</vt:lpstr>
      <vt:lpstr>Two_wheeler_dealers_and_manufacturers_including_scooters_bikes_etc_Trading_Segment</vt:lpstr>
      <vt:lpstr>Tyres__Mfg_Segment_</vt:lpstr>
      <vt:lpstr>Tyres_M</vt:lpstr>
      <vt:lpstr>Unsecured</vt:lpstr>
      <vt:lpstr>Valves__Mfg_Segment_</vt:lpstr>
      <vt:lpstr>Valves_Trading_Segment</vt:lpstr>
      <vt:lpstr>Watches_M</vt:lpstr>
      <vt:lpstr>Watches_Trading</vt:lpstr>
      <vt:lpstr>Wholesale_of_tea__coffee___cocoa</vt:lpstr>
      <vt:lpstr>Wholesales_of_food_products_Trading_Segment</vt:lpstr>
      <vt:lpstr>Wood_and_wood_products__including_furnitures__Mfg_Segment_</vt:lpstr>
      <vt:lpstr>Wood_and_wood_products__including_furnitures_Trading_Segment</vt:lpstr>
      <vt:lpstr>Woolen__Mfg_Segment_</vt:lpstr>
      <vt:lpstr>Zinc__Mfg_Segment_</vt:lpstr>
      <vt:lpstr>Zinc_Trading_Segment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Clix Capital</dc:creator>
  <cp:lastModifiedBy>VIDYA</cp:lastModifiedBy>
  <cp:revision>5</cp:revision>
  <cp:lastPrinted>2019-02-12T06:37:11Z</cp:lastPrinted>
  <dcterms:created xsi:type="dcterms:W3CDTF">2017-03-22T15:26:00Z</dcterms:created>
  <dcterms:modified xsi:type="dcterms:W3CDTF">2020-01-22T06:19:06Z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1033-10.2.0.5934</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itusGUID">
    <vt:lpwstr>7cad3030-d9bb-4f82-a2a8-bd008c6351c2</vt:lpwstr>
  </property>
</Properties>
</file>