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VIDYA\Desktop\"/>
    </mc:Choice>
  </mc:AlternateContent>
  <xr:revisionPtr revIDLastSave="0" documentId="13_ncr:1_{DE413660-921D-4358-9FFB-D2DD798ABCB5}" xr6:coauthVersionLast="45" xr6:coauthVersionMax="45" xr10:uidLastSave="{00000000-0000-0000-0000-000000000000}"/>
  <bookViews>
    <workbookView xWindow="-120" yWindow="-120" windowWidth="20730" windowHeight="11160" tabRatio="850" firstSheet="9" activeTab="9" xr2:uid="{00000000-000D-0000-FFFF-FFFF00000000}"/>
  </bookViews>
  <sheets>
    <sheet name="Assumption" sheetId="34" state="hidden" r:id="rId1"/>
    <sheet name="BANK CMA" sheetId="29" state="hidden" r:id="rId2"/>
    <sheet name="Liabilities" sheetId="30" state="hidden" r:id="rId3"/>
    <sheet name="Assets" sheetId="31" state="hidden" r:id="rId4"/>
    <sheet name="KFI" sheetId="32" state="hidden" r:id="rId5"/>
    <sheet name="Sentivity Analysis" sheetId="27" state="hidden" r:id="rId6"/>
    <sheet name="Gross Receipts Summary" sheetId="26" state="hidden" r:id="rId7"/>
    <sheet name="Score Summary" sheetId="56" state="hidden" r:id="rId8"/>
    <sheet name="Sheet1 (3)" sheetId="55" state="hidden" r:id="rId9"/>
    <sheet name="PD and CAM" sheetId="46" r:id="rId10"/>
    <sheet name="Cashflow and Elligibility" sheetId="23" r:id="rId11"/>
    <sheet name="Sheet1" sheetId="57" state="hidden" r:id="rId12"/>
    <sheet name="3. Financials - School 1" sheetId="53" r:id="rId13"/>
    <sheet name="3. Financials - School 12" sheetId="50" state="hidden" r:id="rId14"/>
    <sheet name="4. Repayment Track" sheetId="52" r:id="rId15"/>
    <sheet name="4. Banking Assessment" sheetId="48" r:id="rId16"/>
    <sheet name="4. Banking Assessment (2)" sheetId="54" state="hidden" r:id="rId17"/>
    <sheet name="Deviations" sheetId="47" r:id="rId18"/>
    <sheet name="Sheet2" sheetId="58" state="hidden" r:id="rId19"/>
    <sheet name="Expenses Summary" sheetId="22" state="hidden" r:id="rId20"/>
    <sheet name="Expenses" sheetId="21" state="hidden" r:id="rId21"/>
    <sheet name="Loan Summary" sheetId="20" state="hidden" r:id="rId22"/>
    <sheet name="Other Loan" sheetId="33" state="hidden" r:id="rId23"/>
    <sheet name="Term Loan" sheetId="19" state="hidden" r:id="rId24"/>
    <sheet name="Interest-TL" sheetId="17" state="hidden" r:id="rId25"/>
    <sheet name="FA Summary" sheetId="16" state="hidden" r:id="rId26"/>
    <sheet name="FA Schedule" sheetId="15" state="hidden" r:id="rId27"/>
    <sheet name="Financials improper" sheetId="11" state="hidden" r:id="rId28"/>
    <sheet name="CMAcode" sheetId="12" state="hidden" r:id="rId29"/>
    <sheet name="Assumptions" sheetId="35" state="hidden" r:id="rId30"/>
    <sheet name="List of members" sheetId="36" state="hidden" r:id="rId31"/>
    <sheet name="result detail" sheetId="37" state="hidden" r:id="rId32"/>
    <sheet name="staff detail" sheetId="38" state="hidden" r:id="rId33"/>
    <sheet name="Bus Fleet list" sheetId="39" state="hidden" r:id="rId34"/>
    <sheet name="Sheet5" sheetId="44" state="hidden" r:id="rId35"/>
  </sheets>
  <externalReferences>
    <externalReference r:id="rId36"/>
    <externalReference r:id="rId37"/>
    <externalReference r:id="rId38"/>
    <externalReference r:id="rId39"/>
    <externalReference r:id="rId40"/>
  </externalReferences>
  <definedNames>
    <definedName name="_1_1" localSheetId="12">#REF!</definedName>
    <definedName name="_1_1" localSheetId="16">#REF!</definedName>
    <definedName name="_1_1">#REF!</definedName>
    <definedName name="_xlnm._FilterDatabase" localSheetId="22" hidden="1">'Other Loan'!$A$4:$AA$25</definedName>
    <definedName name="_za1" localSheetId="12">#REF!</definedName>
    <definedName name="_za1" localSheetId="16">#REF!</definedName>
    <definedName name="_za1">#REF!</definedName>
    <definedName name="a" localSheetId="12">#REF!</definedName>
    <definedName name="a" localSheetId="16">#REF!</definedName>
    <definedName name="a">#REF!</definedName>
    <definedName name="aaa" localSheetId="12">#REF!</definedName>
    <definedName name="aaa" localSheetId="16">#REF!</definedName>
    <definedName name="aaa">#REF!</definedName>
    <definedName name="Accnt_Holder" localSheetId="12">'[1]Customer Details'!$B$8:$B$13</definedName>
    <definedName name="Accnt_Holder" localSheetId="13">'[1]Customer Details'!$B$8:$B$13</definedName>
    <definedName name="Accnt_Holder">'[2]Customer Details'!$B$8:$B$13</definedName>
    <definedName name="anuj" localSheetId="12">#REF!</definedName>
    <definedName name="anuj" localSheetId="16">#REF!</definedName>
    <definedName name="anuj">#REF!</definedName>
    <definedName name="anuj1" localSheetId="12">#REF!</definedName>
    <definedName name="anuj1" localSheetId="16">#REF!</definedName>
    <definedName name="anuj1">#REF!</definedName>
    <definedName name="anuj2" localSheetId="12">#REF!</definedName>
    <definedName name="anuj2" localSheetId="16">#REF!</definedName>
    <definedName name="anuj2">#REF!</definedName>
    <definedName name="Applicant">[1]Sheet1!$F$3:$F$5</definedName>
    <definedName name="BankNames" localSheetId="12">[1]Banking!$Z$16:$Z$19</definedName>
    <definedName name="BankNames" localSheetId="13">[1]Banking!$Z$16:$Z$19</definedName>
    <definedName name="BankNames" localSheetId="16">#REF!</definedName>
    <definedName name="BankNames">#REF!</definedName>
    <definedName name="Biz_Type">'[1]Industry Margin'!$C$1:$F$1</definedName>
    <definedName name="Bounce">[1]Sheet8!$B$2:$B$3</definedName>
    <definedName name="Branches">'[1]Customer Details'!$U$8:$U$16</definedName>
    <definedName name="cr_copy_of_machinery_04_09_06_list_of__pm" localSheetId="12">#REF!</definedName>
    <definedName name="cr_copy_of_machinery_04_09_06_list_of__pm" localSheetId="16">#REF!</definedName>
    <definedName name="cr_copy_of_machinery_04_09_06_list_of__pm">#REF!</definedName>
    <definedName name="dd">'[3]Customer Details'!$B$8:$B$13</definedName>
    <definedName name="Deviation">'[1]Deviation Sheet'!$I$5:$I$7</definedName>
    <definedName name="Excel_BuiltIn_Criteria">"$#REF!.#REF!#REF!"</definedName>
    <definedName name="Excel_BuiltIn_Extract">"$#REF!.#REF!#REF!"</definedName>
    <definedName name="Excel_BuiltIn_Print_Area_9" localSheetId="12">#REF!</definedName>
    <definedName name="Excel_BuiltIn_Print_Area_9" localSheetId="16">#REF!</definedName>
    <definedName name="Excel_BuiltIn_Print_Area_9" localSheetId="22">#REF!</definedName>
    <definedName name="Excel_BuiltIn_Print_Area_9">#REF!</definedName>
    <definedName name="Excel_BuiltIn_Print_Titles_7" localSheetId="12">#REF!</definedName>
    <definedName name="Excel_BuiltIn_Print_Titles_7" localSheetId="16">#REF!</definedName>
    <definedName name="Excel_BuiltIn_Print_Titles_7" localSheetId="22">#REF!</definedName>
    <definedName name="Excel_BuiltIn_Print_Titles_7">#REF!</definedName>
    <definedName name="Excel_BuiltIn_Print_Titles_8" localSheetId="12">#REF!</definedName>
    <definedName name="Excel_BuiltIn_Print_Titles_8" localSheetId="16">#REF!</definedName>
    <definedName name="Excel_BuiltIn_Print_Titles_8" localSheetId="22">#REF!</definedName>
    <definedName name="Excel_BuiltIn_Print_Titles_8">#REF!</definedName>
    <definedName name="Excel_BuiltIn_Recorder">"$#REF!.$A$1:$A$65536"</definedName>
    <definedName name="FI">[1]Sheet1!$K$5:$K$8</definedName>
    <definedName name="FirmType">[1]Sheet8!$D$2:$D$9</definedName>
    <definedName name="Industry">'[1]Industry Margin'!$A$3:$A$174</definedName>
    <definedName name="Level">[4]Sheet3!$H$5:$H$8</definedName>
    <definedName name="Loan" localSheetId="12">'[1]Existing Loans'!$AE$9:$AE$26</definedName>
    <definedName name="Loan" localSheetId="13">'[1]Existing Loans'!$AE$9:$AE$26</definedName>
    <definedName name="Loan">'[2]Existing Loans'!$AE$9:$AE$28</definedName>
    <definedName name="Loan_Type">'[1]Customer Details'!$W$8:$W$10</definedName>
    <definedName name="Low" localSheetId="12">[1]Sheet9!#REF!</definedName>
    <definedName name="Low" localSheetId="16">[1]Sheet9!#REF!</definedName>
    <definedName name="Low">[1]Sheet9!#REF!</definedName>
    <definedName name="Medium" localSheetId="12">[1]Sheet9!#REF!</definedName>
    <definedName name="Medium" localSheetId="16">[1]Sheet9!#REF!</definedName>
    <definedName name="Medium">[1]Sheet9!#REF!</definedName>
    <definedName name="N" localSheetId="12">[1]Banking!$AB$17:$AB$18</definedName>
    <definedName name="N" localSheetId="13">[1]Banking!$AB$17:$AB$18</definedName>
    <definedName name="N" localSheetId="16">#REF!</definedName>
    <definedName name="N">#REF!</definedName>
    <definedName name="No">[1]Sheet5!$J$3:$J$4</definedName>
    <definedName name="Period">[1]VAT!$I$4:$I$5</definedName>
    <definedName name="Positive">[1]Sheet1!$J$16:$J$20</definedName>
    <definedName name="ppppp" localSheetId="12">#REF!</definedName>
    <definedName name="ppppp" localSheetId="16">#REF!</definedName>
    <definedName name="ppppp">#REF!</definedName>
    <definedName name="Print">"$#REF!.$A$1"</definedName>
    <definedName name="_xlnm.Print_Area" localSheetId="3">Assets!$A$1:$M$36</definedName>
    <definedName name="_xlnm.Print_Area" localSheetId="1">'BANK CMA'!$A$1:$O$630</definedName>
    <definedName name="_xlnm.Print_Area" localSheetId="4">KFI!$A$1:$M$56</definedName>
    <definedName name="_xlnm.Print_Area" localSheetId="2">Liabilities!$A$1:$O$38</definedName>
    <definedName name="Program">'[1]Customer Details'!$V$8:$V$11</definedName>
    <definedName name="Relationship">[1]Sheet1!$H$5:$H$14</definedName>
    <definedName name="rkd" localSheetId="12">#REF!</definedName>
    <definedName name="rkd" localSheetId="16">#REF!</definedName>
    <definedName name="rkd" localSheetId="1">'BANK CMA'!$B$537:$E$551</definedName>
    <definedName name="rkd">#REF!</definedName>
    <definedName name="sal" localSheetId="12">#REF!</definedName>
    <definedName name="sal" localSheetId="16">#REF!</definedName>
    <definedName name="sal" localSheetId="3">#REF!</definedName>
    <definedName name="sal" localSheetId="1">#REF!</definedName>
    <definedName name="sal" localSheetId="4">#REF!</definedName>
    <definedName name="sal" localSheetId="2">#REF!</definedName>
    <definedName name="sal">#REF!</definedName>
    <definedName name="Segment">'[1]Industry Margin'!$B$2:$B$174</definedName>
    <definedName name="Status" localSheetId="12">'[1]Existing Loans'!$AF$14:$AF$18</definedName>
    <definedName name="Status" localSheetId="13">'[1]Existing Loans'!$AF$14:$AF$18</definedName>
    <definedName name="Status">'[2]Existing Loans'!$AF$15:$AF$19</definedName>
    <definedName name="Unsecured" localSheetId="12">'[1]Existing Loans'!$AF$9:$AF$10</definedName>
    <definedName name="Unsecured" localSheetId="13">'[1]Existing Loans'!$AF$9:$AF$10</definedName>
    <definedName name="Unsecured">'[2]Existing Loans'!$AF$9:$AF$10</definedName>
    <definedName name="With_original_weights" localSheetId="12">#REF!</definedName>
    <definedName name="With_original_weights" localSheetId="16">#REF!</definedName>
    <definedName name="With_original_weights">#REF!</definedName>
    <definedName name="Yes">[1]Sheet2!$J$7:$J$8</definedName>
    <definedName name="yesno">[5]DSCR!$J$2:$J$3</definedName>
    <definedName name="za" localSheetId="12">#REF!</definedName>
    <definedName name="za" localSheetId="16">#REF!</definedName>
    <definedName name="za" localSheetId="3">#REF!</definedName>
    <definedName name="za" localSheetId="1">#REF!</definedName>
    <definedName name="za" localSheetId="4">#REF!</definedName>
    <definedName name="za" localSheetId="2">#REF!</definedName>
    <definedName name="za">#REF!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48" l="1"/>
  <c r="I5" i="48"/>
  <c r="R5" i="48" l="1"/>
  <c r="K4" i="48" l="1"/>
  <c r="C46" i="46" l="1"/>
  <c r="F41" i="46"/>
  <c r="G64" i="23"/>
  <c r="H64" i="23"/>
  <c r="Y62" i="23"/>
  <c r="Z62" i="23"/>
  <c r="L26" i="23"/>
  <c r="L25" i="23"/>
  <c r="L24" i="23"/>
  <c r="L23" i="23"/>
  <c r="L22" i="23"/>
  <c r="L21" i="23"/>
  <c r="L20" i="23"/>
  <c r="L19" i="23"/>
  <c r="L18" i="23"/>
  <c r="L17" i="23"/>
  <c r="L16" i="23"/>
  <c r="L15" i="23"/>
  <c r="L14" i="23"/>
  <c r="L13" i="23"/>
  <c r="L12" i="23"/>
  <c r="I13" i="23"/>
  <c r="I14" i="23"/>
  <c r="I15" i="23"/>
  <c r="I16" i="23"/>
  <c r="I17" i="23"/>
  <c r="I18" i="23"/>
  <c r="I19" i="23"/>
  <c r="I20" i="23"/>
  <c r="I21" i="23"/>
  <c r="I22" i="23"/>
  <c r="I23" i="23"/>
  <c r="I24" i="23"/>
  <c r="I25" i="23"/>
  <c r="I26" i="23"/>
  <c r="I12" i="23"/>
  <c r="H26" i="48" l="1"/>
  <c r="I26" i="48"/>
  <c r="J26" i="48"/>
  <c r="I4" i="48" l="1"/>
  <c r="R4" i="48" s="1"/>
  <c r="C26" i="48"/>
  <c r="F43" i="48"/>
  <c r="N43" i="48"/>
  <c r="F25" i="48"/>
  <c r="N25" i="48"/>
  <c r="B36" i="52"/>
  <c r="B35" i="52" s="1"/>
  <c r="B34" i="52" s="1"/>
  <c r="B33" i="52" s="1"/>
  <c r="B32" i="52" s="1"/>
  <c r="B29" i="52"/>
  <c r="B28" i="52" s="1"/>
  <c r="B27" i="52" s="1"/>
  <c r="B26" i="52" s="1"/>
  <c r="B25" i="52" s="1"/>
  <c r="G79" i="23" l="1"/>
  <c r="E131" i="46" l="1"/>
  <c r="A2" i="50"/>
  <c r="A2" i="53"/>
  <c r="G65" i="23" l="1"/>
  <c r="G80" i="23" s="1"/>
  <c r="H66" i="23"/>
  <c r="G66" i="23"/>
  <c r="G81" i="23"/>
  <c r="G82" i="23"/>
  <c r="G67" i="23"/>
  <c r="H67" i="23" s="1"/>
  <c r="G62" i="23"/>
  <c r="G58" i="23"/>
  <c r="H65" i="23" l="1"/>
  <c r="H62" i="23"/>
  <c r="H58" i="23"/>
  <c r="D5" i="56" l="1"/>
  <c r="E5" i="56" s="1"/>
  <c r="D27" i="56"/>
  <c r="E27" i="56" s="1"/>
  <c r="D28" i="56"/>
  <c r="E28" i="56" s="1"/>
  <c r="D29" i="56"/>
  <c r="E29" i="56" s="1"/>
  <c r="D30" i="56"/>
  <c r="E30" i="56" s="1"/>
  <c r="D22" i="56"/>
  <c r="E22" i="56" s="1"/>
  <c r="D36" i="56"/>
  <c r="E36" i="56" s="1"/>
  <c r="D23" i="56"/>
  <c r="E23" i="56" s="1"/>
  <c r="D21" i="56"/>
  <c r="E21" i="56" s="1"/>
  <c r="D20" i="56"/>
  <c r="E20" i="56" s="1"/>
  <c r="D16" i="56"/>
  <c r="E16" i="56" s="1"/>
  <c r="D15" i="56"/>
  <c r="E15" i="56" s="1"/>
  <c r="D14" i="56"/>
  <c r="E14" i="56" s="1"/>
  <c r="D13" i="56"/>
  <c r="E13" i="56" s="1"/>
  <c r="D12" i="56"/>
  <c r="E12" i="56" s="1"/>
  <c r="D11" i="56"/>
  <c r="E11" i="56" s="1"/>
  <c r="D10" i="56"/>
  <c r="E10" i="56" s="1"/>
  <c r="D9" i="56"/>
  <c r="E9" i="56" s="1"/>
  <c r="D8" i="56"/>
  <c r="E8" i="56" s="1"/>
  <c r="D7" i="56"/>
  <c r="E7" i="56" s="1"/>
  <c r="D4" i="56"/>
  <c r="E4" i="56" s="1"/>
  <c r="E42" i="55"/>
  <c r="U41" i="55"/>
  <c r="S41" i="55"/>
  <c r="Q41" i="55"/>
  <c r="U40" i="55"/>
  <c r="S40" i="55"/>
  <c r="Q40" i="55"/>
  <c r="U39" i="55"/>
  <c r="S39" i="55"/>
  <c r="Q39" i="55"/>
  <c r="U38" i="55"/>
  <c r="S38" i="55"/>
  <c r="Q38" i="55"/>
  <c r="E35" i="55"/>
  <c r="U34" i="55"/>
  <c r="S34" i="55"/>
  <c r="Q34" i="55"/>
  <c r="U33" i="55"/>
  <c r="S33" i="55"/>
  <c r="Q33" i="55"/>
  <c r="U32" i="55"/>
  <c r="S32" i="55"/>
  <c r="Q32" i="55"/>
  <c r="U31" i="55"/>
  <c r="S31" i="55"/>
  <c r="Q31" i="55"/>
  <c r="E27" i="55"/>
  <c r="U26" i="55"/>
  <c r="S26" i="55"/>
  <c r="Q26" i="55"/>
  <c r="U25" i="55"/>
  <c r="S25" i="55"/>
  <c r="Q25" i="55"/>
  <c r="U24" i="55"/>
  <c r="S24" i="55"/>
  <c r="Q24" i="55"/>
  <c r="U23" i="55"/>
  <c r="S23" i="55"/>
  <c r="Q23" i="55"/>
  <c r="E20" i="55"/>
  <c r="U19" i="55"/>
  <c r="S19" i="55"/>
  <c r="Q19" i="55"/>
  <c r="U18" i="55"/>
  <c r="S18" i="55"/>
  <c r="Q18" i="55"/>
  <c r="U17" i="55"/>
  <c r="S17" i="55"/>
  <c r="Q17" i="55"/>
  <c r="U16" i="55"/>
  <c r="S16" i="55"/>
  <c r="Q16" i="55"/>
  <c r="U15" i="55"/>
  <c r="S15" i="55"/>
  <c r="Q15" i="55"/>
  <c r="U14" i="55"/>
  <c r="S14" i="55"/>
  <c r="Q14" i="55"/>
  <c r="U13" i="55"/>
  <c r="S13" i="55"/>
  <c r="Q13" i="55"/>
  <c r="U12" i="55"/>
  <c r="S12" i="55"/>
  <c r="Q12" i="55"/>
  <c r="U11" i="55"/>
  <c r="S11" i="55"/>
  <c r="Q11" i="55"/>
  <c r="U10" i="55"/>
  <c r="S10" i="55"/>
  <c r="Q10" i="55"/>
  <c r="U9" i="55"/>
  <c r="S9" i="55"/>
  <c r="Q9" i="55"/>
  <c r="U8" i="55"/>
  <c r="S8" i="55"/>
  <c r="Q8" i="55"/>
  <c r="U7" i="55"/>
  <c r="S7" i="55"/>
  <c r="Q7" i="55"/>
  <c r="S42" i="55" l="1"/>
  <c r="Q20" i="55"/>
  <c r="Q27" i="55"/>
  <c r="U27" i="55"/>
  <c r="U42" i="55"/>
  <c r="S20" i="55"/>
  <c r="S27" i="55"/>
  <c r="Q35" i="55"/>
  <c r="U35" i="55"/>
  <c r="U20" i="55"/>
  <c r="S35" i="55"/>
  <c r="Q42" i="55"/>
  <c r="E24" i="56"/>
  <c r="E31" i="56"/>
  <c r="U5" i="55" l="1"/>
  <c r="S5" i="55"/>
  <c r="Q5" i="55"/>
  <c r="I6" i="48" l="1"/>
  <c r="R6" i="48" s="1"/>
  <c r="D124" i="46"/>
  <c r="D125" i="46"/>
  <c r="E124" i="46" s="1"/>
  <c r="E104" i="46" l="1"/>
  <c r="N19" i="54" l="1"/>
  <c r="J54" i="54"/>
  <c r="I54" i="54"/>
  <c r="H54" i="54"/>
  <c r="G54" i="54"/>
  <c r="C54" i="54"/>
  <c r="N53" i="54"/>
  <c r="F53" i="54"/>
  <c r="N52" i="54"/>
  <c r="F52" i="54"/>
  <c r="N51" i="54"/>
  <c r="F51" i="54"/>
  <c r="N50" i="54"/>
  <c r="F50" i="54"/>
  <c r="N49" i="54"/>
  <c r="F49" i="54"/>
  <c r="N48" i="54"/>
  <c r="F48" i="54"/>
  <c r="J42" i="54"/>
  <c r="I42" i="54"/>
  <c r="H42" i="54"/>
  <c r="G42" i="54"/>
  <c r="N41" i="54"/>
  <c r="F41" i="54"/>
  <c r="N40" i="54"/>
  <c r="F40" i="54"/>
  <c r="N39" i="54"/>
  <c r="F39" i="54"/>
  <c r="N38" i="54"/>
  <c r="F38" i="54"/>
  <c r="N37" i="54"/>
  <c r="F37" i="54"/>
  <c r="N36" i="54"/>
  <c r="F36" i="54"/>
  <c r="N35" i="54"/>
  <c r="F35" i="54"/>
  <c r="N34" i="54"/>
  <c r="F34" i="54"/>
  <c r="N33" i="54"/>
  <c r="F33" i="54"/>
  <c r="N32" i="54"/>
  <c r="F32" i="54"/>
  <c r="N31" i="54"/>
  <c r="F31" i="54"/>
  <c r="B31" i="54"/>
  <c r="B48" i="54" s="1"/>
  <c r="B49" i="54" s="1"/>
  <c r="B50" i="54" s="1"/>
  <c r="B51" i="54" s="1"/>
  <c r="B52" i="54" s="1"/>
  <c r="B53" i="54" s="1"/>
  <c r="J25" i="54"/>
  <c r="I25" i="54"/>
  <c r="H25" i="54"/>
  <c r="G25" i="54"/>
  <c r="N24" i="54"/>
  <c r="F24" i="54"/>
  <c r="N23" i="54"/>
  <c r="F23" i="54"/>
  <c r="C25" i="54"/>
  <c r="N22" i="54"/>
  <c r="F22" i="54"/>
  <c r="N21" i="54"/>
  <c r="F21" i="54"/>
  <c r="N20" i="54"/>
  <c r="F20" i="54"/>
  <c r="F19" i="54"/>
  <c r="F18" i="54"/>
  <c r="F17" i="54"/>
  <c r="N16" i="54"/>
  <c r="F16" i="54"/>
  <c r="N15" i="54"/>
  <c r="F15" i="54"/>
  <c r="B15" i="54"/>
  <c r="B16" i="54" s="1"/>
  <c r="B17" i="54" s="1"/>
  <c r="B18" i="54" s="1"/>
  <c r="B19" i="54" s="1"/>
  <c r="B20" i="54" s="1"/>
  <c r="B21" i="54" s="1"/>
  <c r="B22" i="54" s="1"/>
  <c r="B23" i="54" s="1"/>
  <c r="B24" i="54" s="1"/>
  <c r="F14" i="54"/>
  <c r="Q6" i="54"/>
  <c r="N6" i="54"/>
  <c r="M6" i="54"/>
  <c r="K6" i="54"/>
  <c r="I6" i="54"/>
  <c r="F6" i="54"/>
  <c r="H6" i="54" s="1"/>
  <c r="E6" i="54"/>
  <c r="D6" i="54"/>
  <c r="C6" i="54"/>
  <c r="Q5" i="54"/>
  <c r="K5" i="54"/>
  <c r="F5" i="54"/>
  <c r="G5" i="54" s="1"/>
  <c r="E5" i="54"/>
  <c r="D5" i="54"/>
  <c r="C5" i="54"/>
  <c r="Q4" i="54"/>
  <c r="K4" i="54"/>
  <c r="I4" i="54"/>
  <c r="R4" i="54" s="1"/>
  <c r="F4" i="54"/>
  <c r="H4" i="54" s="1"/>
  <c r="E4" i="54"/>
  <c r="D4" i="54"/>
  <c r="C4" i="54"/>
  <c r="M5" i="54" l="1"/>
  <c r="C42" i="54"/>
  <c r="I5" i="54"/>
  <c r="R5" i="54" s="1"/>
  <c r="N5" i="54"/>
  <c r="H5" i="54"/>
  <c r="M4" i="54"/>
  <c r="N4" i="54"/>
  <c r="P5" i="54"/>
  <c r="O6" i="54"/>
  <c r="P6" i="54"/>
  <c r="G4" i="54"/>
  <c r="O5" i="54"/>
  <c r="G6" i="54"/>
  <c r="B32" i="54"/>
  <c r="B33" i="54" s="1"/>
  <c r="B34" i="54" s="1"/>
  <c r="B35" i="54" s="1"/>
  <c r="B36" i="54" s="1"/>
  <c r="B37" i="54" s="1"/>
  <c r="B38" i="54" s="1"/>
  <c r="B39" i="54" s="1"/>
  <c r="B40" i="54" s="1"/>
  <c r="B41" i="54" s="1"/>
  <c r="B32" i="48"/>
  <c r="B50" i="48" s="1"/>
  <c r="N17" i="54" l="1"/>
  <c r="N18" i="54"/>
  <c r="N14" i="54"/>
  <c r="Q6" i="48"/>
  <c r="K6" i="48"/>
  <c r="F6" i="48"/>
  <c r="E6" i="48"/>
  <c r="D6" i="48"/>
  <c r="C6" i="48"/>
  <c r="Q5" i="48"/>
  <c r="F5" i="48"/>
  <c r="H5" i="48" s="1"/>
  <c r="E5" i="48"/>
  <c r="D5" i="48"/>
  <c r="C5" i="48"/>
  <c r="Q4" i="48"/>
  <c r="F4" i="48"/>
  <c r="E4" i="48"/>
  <c r="D4" i="48"/>
  <c r="C4" i="48"/>
  <c r="G4" i="48" l="1"/>
  <c r="H4" i="48"/>
  <c r="O4" i="54"/>
  <c r="P4" i="54"/>
  <c r="H6" i="48"/>
  <c r="G6" i="48"/>
  <c r="G5" i="48"/>
  <c r="F55" i="48"/>
  <c r="F37" i="48"/>
  <c r="F38" i="48"/>
  <c r="F39" i="48"/>
  <c r="F40" i="48"/>
  <c r="F41" i="48"/>
  <c r="F42" i="48"/>
  <c r="J56" i="48"/>
  <c r="I56" i="48"/>
  <c r="H56" i="48"/>
  <c r="G56" i="48"/>
  <c r="N55" i="48"/>
  <c r="N54" i="48"/>
  <c r="F54" i="48"/>
  <c r="N53" i="48"/>
  <c r="F53" i="48"/>
  <c r="N52" i="48"/>
  <c r="F52" i="48"/>
  <c r="C56" i="48"/>
  <c r="N51" i="48"/>
  <c r="F51" i="48"/>
  <c r="N50" i="48"/>
  <c r="F50" i="48"/>
  <c r="N6" i="48" l="1"/>
  <c r="O6" i="48"/>
  <c r="P6" i="48"/>
  <c r="M6" i="48"/>
  <c r="D26" i="23"/>
  <c r="AC26" i="23" s="1"/>
  <c r="F26" i="23"/>
  <c r="G26" i="23" s="1"/>
  <c r="J26" i="23"/>
  <c r="AH26" i="23" s="1"/>
  <c r="M26" i="23"/>
  <c r="AA26" i="23"/>
  <c r="AD26" i="23"/>
  <c r="AG26" i="23"/>
  <c r="AJ26" i="23"/>
  <c r="AJ11" i="23"/>
  <c r="AJ12" i="23"/>
  <c r="AJ13" i="23"/>
  <c r="AJ14" i="23"/>
  <c r="AJ15" i="23"/>
  <c r="AJ16" i="23"/>
  <c r="AJ17" i="23"/>
  <c r="AJ18" i="23"/>
  <c r="AJ19" i="23"/>
  <c r="AJ20" i="23"/>
  <c r="AJ21" i="23"/>
  <c r="AJ22" i="23"/>
  <c r="AJ23" i="23"/>
  <c r="AJ24" i="23"/>
  <c r="AJ25" i="23"/>
  <c r="AB26" i="23" l="1"/>
  <c r="AE26" i="23"/>
  <c r="AF26" i="23"/>
  <c r="AL26" i="23"/>
  <c r="AK26" i="23"/>
  <c r="AI26" i="23"/>
  <c r="E21" i="52"/>
  <c r="D23" i="23"/>
  <c r="AB23" i="23" s="1"/>
  <c r="F23" i="23"/>
  <c r="G23" i="23" s="1"/>
  <c r="J23" i="23"/>
  <c r="M23" i="23"/>
  <c r="AA23" i="23"/>
  <c r="AD23" i="23"/>
  <c r="AG23" i="23"/>
  <c r="D24" i="23"/>
  <c r="AC24" i="23" s="1"/>
  <c r="F24" i="23"/>
  <c r="G24" i="23" s="1"/>
  <c r="J24" i="23"/>
  <c r="AH24" i="23" s="1"/>
  <c r="M24" i="23"/>
  <c r="AA24" i="23"/>
  <c r="AD24" i="23"/>
  <c r="AG24" i="23"/>
  <c r="D25" i="23"/>
  <c r="AB25" i="23" s="1"/>
  <c r="F25" i="23"/>
  <c r="G25" i="23" s="1"/>
  <c r="J25" i="23"/>
  <c r="AH25" i="23" s="1"/>
  <c r="M25" i="23"/>
  <c r="AA25" i="23"/>
  <c r="AD25" i="23"/>
  <c r="AG25" i="23"/>
  <c r="AC23" i="23" l="1"/>
  <c r="AK23" i="23"/>
  <c r="AL23" i="23"/>
  <c r="AF23" i="23"/>
  <c r="AE23" i="23"/>
  <c r="AB24" i="23"/>
  <c r="AE24" i="23"/>
  <c r="AF24" i="23"/>
  <c r="AK24" i="23"/>
  <c r="AL24" i="23"/>
  <c r="AC25" i="23"/>
  <c r="AL25" i="23"/>
  <c r="AK25" i="23"/>
  <c r="AI23" i="23"/>
  <c r="AH23" i="23"/>
  <c r="AE25" i="23"/>
  <c r="AF25" i="23"/>
  <c r="AI24" i="23"/>
  <c r="AI25" i="23"/>
  <c r="T5" i="23" l="1"/>
  <c r="D35" i="56" s="1"/>
  <c r="E35" i="56" s="1"/>
  <c r="Q5" i="23"/>
  <c r="N5" i="23"/>
  <c r="K5" i="23"/>
  <c r="D43" i="23" l="1"/>
  <c r="AB43" i="23" s="1"/>
  <c r="F43" i="23"/>
  <c r="G43" i="23" s="1"/>
  <c r="I43" i="23"/>
  <c r="J43" i="23" s="1"/>
  <c r="L43" i="23"/>
  <c r="M43" i="23" s="1"/>
  <c r="AA43" i="23"/>
  <c r="AD43" i="23"/>
  <c r="AG43" i="23"/>
  <c r="AJ43" i="23"/>
  <c r="D44" i="23"/>
  <c r="AC44" i="23" s="1"/>
  <c r="F44" i="23"/>
  <c r="G44" i="23" s="1"/>
  <c r="I44" i="23"/>
  <c r="J44" i="23" s="1"/>
  <c r="AH44" i="23" s="1"/>
  <c r="L44" i="23"/>
  <c r="M44" i="23" s="1"/>
  <c r="AA44" i="23"/>
  <c r="AD44" i="23"/>
  <c r="AG44" i="23"/>
  <c r="AJ44" i="23"/>
  <c r="D45" i="23"/>
  <c r="AC45" i="23" s="1"/>
  <c r="F45" i="23"/>
  <c r="G45" i="23" s="1"/>
  <c r="I45" i="23"/>
  <c r="J45" i="23" s="1"/>
  <c r="AH45" i="23" s="1"/>
  <c r="L45" i="23"/>
  <c r="M45" i="23" s="1"/>
  <c r="AA45" i="23"/>
  <c r="AD45" i="23"/>
  <c r="AG45" i="23"/>
  <c r="AJ45" i="23"/>
  <c r="D46" i="23"/>
  <c r="AB46" i="23" s="1"/>
  <c r="F46" i="23"/>
  <c r="G46" i="23" s="1"/>
  <c r="AE46" i="23" s="1"/>
  <c r="I46" i="23"/>
  <c r="J46" i="23" s="1"/>
  <c r="L46" i="23"/>
  <c r="M46" i="23" s="1"/>
  <c r="AK46" i="23" s="1"/>
  <c r="AA46" i="23"/>
  <c r="AD46" i="23"/>
  <c r="AG46" i="23"/>
  <c r="AJ46" i="23"/>
  <c r="D47" i="23"/>
  <c r="AB47" i="23" s="1"/>
  <c r="F47" i="23"/>
  <c r="G47" i="23" s="1"/>
  <c r="AF47" i="23" s="1"/>
  <c r="I47" i="23"/>
  <c r="J47" i="23" s="1"/>
  <c r="L47" i="23"/>
  <c r="M47" i="23" s="1"/>
  <c r="AA47" i="23"/>
  <c r="AD47" i="23"/>
  <c r="AG47" i="23"/>
  <c r="AJ47" i="23"/>
  <c r="D48" i="23"/>
  <c r="AC48" i="23" s="1"/>
  <c r="F48" i="23"/>
  <c r="G48" i="23" s="1"/>
  <c r="AF48" i="23" s="1"/>
  <c r="I48" i="23"/>
  <c r="J48" i="23" s="1"/>
  <c r="AH48" i="23" s="1"/>
  <c r="L48" i="23"/>
  <c r="M48" i="23" s="1"/>
  <c r="AK48" i="23" s="1"/>
  <c r="AA48" i="23"/>
  <c r="AD48" i="23"/>
  <c r="AG48" i="23"/>
  <c r="AJ48" i="23"/>
  <c r="D49" i="23"/>
  <c r="AC49" i="23" s="1"/>
  <c r="F49" i="23"/>
  <c r="G49" i="23" s="1"/>
  <c r="I49" i="23"/>
  <c r="J49" i="23" s="1"/>
  <c r="AH49" i="23" s="1"/>
  <c r="L49" i="23"/>
  <c r="M49" i="23" s="1"/>
  <c r="AA49" i="23"/>
  <c r="AD49" i="23"/>
  <c r="AG49" i="23"/>
  <c r="AJ49" i="23"/>
  <c r="D50" i="23"/>
  <c r="AC50" i="23" s="1"/>
  <c r="F50" i="23"/>
  <c r="G50" i="23" s="1"/>
  <c r="AE50" i="23" s="1"/>
  <c r="I50" i="23"/>
  <c r="J50" i="23" s="1"/>
  <c r="L50" i="23"/>
  <c r="M50" i="23" s="1"/>
  <c r="AK50" i="23" s="1"/>
  <c r="AA50" i="23"/>
  <c r="AD50" i="23"/>
  <c r="AG50" i="23"/>
  <c r="AJ50" i="23"/>
  <c r="D34" i="23"/>
  <c r="D35" i="23"/>
  <c r="D36" i="23"/>
  <c r="D37" i="23"/>
  <c r="D38" i="23"/>
  <c r="D39" i="23"/>
  <c r="D40" i="23"/>
  <c r="D41" i="23"/>
  <c r="D42" i="23"/>
  <c r="D33" i="23"/>
  <c r="C52" i="23"/>
  <c r="D12" i="23"/>
  <c r="D13" i="23"/>
  <c r="D14" i="23"/>
  <c r="D15" i="23"/>
  <c r="D16" i="23"/>
  <c r="D17" i="23"/>
  <c r="D18" i="23"/>
  <c r="D19" i="23"/>
  <c r="D20" i="23"/>
  <c r="D21" i="23"/>
  <c r="D22" i="23"/>
  <c r="D11" i="23"/>
  <c r="AB44" i="23" l="1"/>
  <c r="AF43" i="23"/>
  <c r="AE43" i="23"/>
  <c r="AB49" i="23"/>
  <c r="AC46" i="23"/>
  <c r="AB50" i="23"/>
  <c r="AC47" i="23"/>
  <c r="AC43" i="23"/>
  <c r="AE48" i="23"/>
  <c r="AB48" i="23"/>
  <c r="AK43" i="23"/>
  <c r="AL43" i="23"/>
  <c r="AI50" i="23"/>
  <c r="AH50" i="23"/>
  <c r="AL50" i="23"/>
  <c r="AE47" i="23"/>
  <c r="AL46" i="23"/>
  <c r="AB45" i="23"/>
  <c r="AK47" i="23"/>
  <c r="AL47" i="23"/>
  <c r="AK44" i="23"/>
  <c r="AL44" i="23"/>
  <c r="AI46" i="23"/>
  <c r="AH46" i="23"/>
  <c r="AE44" i="23"/>
  <c r="AF44" i="23"/>
  <c r="AL48" i="23"/>
  <c r="AE49" i="23"/>
  <c r="AF49" i="23"/>
  <c r="AL45" i="23"/>
  <c r="AK45" i="23"/>
  <c r="AL49" i="23"/>
  <c r="AK49" i="23"/>
  <c r="AH43" i="23"/>
  <c r="AI43" i="23"/>
  <c r="AI47" i="23"/>
  <c r="AH47" i="23"/>
  <c r="AE45" i="23"/>
  <c r="AF45" i="23"/>
  <c r="AI48" i="23"/>
  <c r="AI44" i="23"/>
  <c r="AF50" i="23"/>
  <c r="AI49" i="23"/>
  <c r="AF46" i="23"/>
  <c r="AI45" i="23"/>
  <c r="AD21" i="23"/>
  <c r="AA11" i="23"/>
  <c r="AA13" i="23"/>
  <c r="M12" i="23"/>
  <c r="M13" i="23"/>
  <c r="M14" i="23"/>
  <c r="M15" i="23"/>
  <c r="M16" i="23"/>
  <c r="M17" i="23"/>
  <c r="M18" i="23"/>
  <c r="M19" i="23"/>
  <c r="M20" i="23"/>
  <c r="M21" i="23"/>
  <c r="M22" i="23"/>
  <c r="M11" i="23"/>
  <c r="F12" i="23"/>
  <c r="G12" i="23" s="1"/>
  <c r="F13" i="23"/>
  <c r="G13" i="23" s="1"/>
  <c r="F14" i="23"/>
  <c r="G14" i="23" s="1"/>
  <c r="F15" i="23"/>
  <c r="G15" i="23" s="1"/>
  <c r="F16" i="23"/>
  <c r="G16" i="23" s="1"/>
  <c r="F17" i="23"/>
  <c r="G17" i="23" s="1"/>
  <c r="F18" i="23"/>
  <c r="G18" i="23" s="1"/>
  <c r="F19" i="23"/>
  <c r="G19" i="23" s="1"/>
  <c r="F20" i="23"/>
  <c r="G20" i="23" s="1"/>
  <c r="F21" i="23"/>
  <c r="G21" i="23" s="1"/>
  <c r="F22" i="23"/>
  <c r="G22" i="23" s="1"/>
  <c r="F11" i="23"/>
  <c r="G11" i="23" s="1"/>
  <c r="J12" i="23"/>
  <c r="J13" i="23"/>
  <c r="J14" i="23"/>
  <c r="J15" i="23"/>
  <c r="J16" i="23"/>
  <c r="J17" i="23"/>
  <c r="J18" i="23"/>
  <c r="J19" i="23"/>
  <c r="J20" i="23"/>
  <c r="J21" i="23"/>
  <c r="J22" i="23"/>
  <c r="J11" i="23"/>
  <c r="B70" i="46"/>
  <c r="D68" i="46"/>
  <c r="R21" i="52" l="1"/>
  <c r="R22" i="52" s="1"/>
  <c r="R31" i="52" s="1"/>
  <c r="Q21" i="52"/>
  <c r="Q22" i="52" s="1"/>
  <c r="Q31" i="52" s="1"/>
  <c r="P21" i="52"/>
  <c r="P22" i="52" s="1"/>
  <c r="P31" i="52" s="1"/>
  <c r="O21" i="52"/>
  <c r="O22" i="52" s="1"/>
  <c r="O31" i="52" s="1"/>
  <c r="N21" i="52"/>
  <c r="N22" i="52" s="1"/>
  <c r="N31" i="52" s="1"/>
  <c r="M21" i="52"/>
  <c r="M22" i="52" s="1"/>
  <c r="M31" i="52" s="1"/>
  <c r="L21" i="52"/>
  <c r="L22" i="52" s="1"/>
  <c r="L31" i="52" s="1"/>
  <c r="K21" i="52"/>
  <c r="K22" i="52" s="1"/>
  <c r="K31" i="52" s="1"/>
  <c r="J21" i="52"/>
  <c r="J22" i="52" s="1"/>
  <c r="J31" i="52" s="1"/>
  <c r="I21" i="52"/>
  <c r="I22" i="52" s="1"/>
  <c r="I31" i="52" s="1"/>
  <c r="H21" i="52"/>
  <c r="H22" i="52" s="1"/>
  <c r="G21" i="52"/>
  <c r="G22" i="52" s="1"/>
  <c r="F21" i="52"/>
  <c r="F22" i="52" s="1"/>
  <c r="E22" i="52"/>
  <c r="R20" i="52"/>
  <c r="Q20" i="52"/>
  <c r="P20" i="52"/>
  <c r="O20" i="52"/>
  <c r="N20" i="52"/>
  <c r="M20" i="52"/>
  <c r="L20" i="52"/>
  <c r="K20" i="52"/>
  <c r="J20" i="52"/>
  <c r="I20" i="52"/>
  <c r="H20" i="52"/>
  <c r="G20" i="52"/>
  <c r="F20" i="52"/>
  <c r="E20" i="52"/>
  <c r="N36" i="48" l="1"/>
  <c r="N37" i="48"/>
  <c r="N38" i="48"/>
  <c r="N39" i="48"/>
  <c r="N40" i="48"/>
  <c r="N41" i="48"/>
  <c r="N42" i="48"/>
  <c r="Q28" i="23"/>
  <c r="Q52" i="23"/>
  <c r="L36" i="23"/>
  <c r="E28" i="23"/>
  <c r="D28" i="23"/>
  <c r="C28" i="23"/>
  <c r="E52" i="23"/>
  <c r="D52" i="23"/>
  <c r="G33" i="23"/>
  <c r="C20" i="52" l="1"/>
  <c r="D20" i="52"/>
  <c r="C21" i="52"/>
  <c r="C22" i="52" s="1"/>
  <c r="D21" i="52"/>
  <c r="D22" i="52" s="1"/>
  <c r="R59" i="23" l="1"/>
  <c r="AG33" i="23"/>
  <c r="AG34" i="23"/>
  <c r="AG35" i="23"/>
  <c r="AG36" i="23"/>
  <c r="AG37" i="23"/>
  <c r="AG38" i="23"/>
  <c r="AG39" i="23"/>
  <c r="AG40" i="23"/>
  <c r="AG41" i="23"/>
  <c r="AG42" i="23"/>
  <c r="K52" i="23"/>
  <c r="N52" i="23"/>
  <c r="AA34" i="23"/>
  <c r="AD34" i="23"/>
  <c r="AJ34" i="23"/>
  <c r="AA35" i="23"/>
  <c r="AD35" i="23"/>
  <c r="AJ35" i="23"/>
  <c r="AA36" i="23"/>
  <c r="AD36" i="23"/>
  <c r="AJ36" i="23"/>
  <c r="AA37" i="23"/>
  <c r="AD37" i="23"/>
  <c r="AJ37" i="23"/>
  <c r="AA38" i="23"/>
  <c r="AD38" i="23"/>
  <c r="AJ38" i="23"/>
  <c r="AA39" i="23"/>
  <c r="AD39" i="23"/>
  <c r="AJ39" i="23"/>
  <c r="AA40" i="23"/>
  <c r="AD40" i="23"/>
  <c r="AJ40" i="23"/>
  <c r="AA41" i="23"/>
  <c r="AD41" i="23"/>
  <c r="AJ41" i="23"/>
  <c r="AA42" i="23"/>
  <c r="AB42" i="23"/>
  <c r="AC42" i="23"/>
  <c r="AD42" i="23"/>
  <c r="AJ42" i="23"/>
  <c r="AJ33" i="23"/>
  <c r="AF33" i="23"/>
  <c r="AE33" i="23"/>
  <c r="AD33" i="23"/>
  <c r="AA33" i="23"/>
  <c r="AK12" i="23"/>
  <c r="AK15" i="23"/>
  <c r="AK20" i="23"/>
  <c r="AK21" i="23"/>
  <c r="AK22" i="23"/>
  <c r="AG12" i="23"/>
  <c r="AG13" i="23"/>
  <c r="AG14" i="23"/>
  <c r="AG15" i="23"/>
  <c r="AG16" i="23"/>
  <c r="AG17" i="23"/>
  <c r="AG18" i="23"/>
  <c r="AG19" i="23"/>
  <c r="AG20" i="23"/>
  <c r="AG21" i="23"/>
  <c r="AG22" i="23"/>
  <c r="AG11" i="23"/>
  <c r="AD12" i="23"/>
  <c r="AD13" i="23"/>
  <c r="AD14" i="23"/>
  <c r="AD15" i="23"/>
  <c r="AD16" i="23"/>
  <c r="AD17" i="23"/>
  <c r="AD18" i="23"/>
  <c r="AD19" i="23"/>
  <c r="AD20" i="23"/>
  <c r="AD22" i="23"/>
  <c r="AD11" i="23"/>
  <c r="AC12" i="23"/>
  <c r="AC13" i="23"/>
  <c r="AC14" i="23"/>
  <c r="AC15" i="23"/>
  <c r="AC16" i="23"/>
  <c r="AC17" i="23"/>
  <c r="AC18" i="23"/>
  <c r="AC19" i="23"/>
  <c r="AC20" i="23"/>
  <c r="AC21" i="23"/>
  <c r="AC22" i="23"/>
  <c r="AC11" i="23"/>
  <c r="AB12" i="23"/>
  <c r="AB13" i="23"/>
  <c r="AB14" i="23"/>
  <c r="AB15" i="23"/>
  <c r="AB16" i="23"/>
  <c r="AB17" i="23"/>
  <c r="AB18" i="23"/>
  <c r="AB19" i="23"/>
  <c r="AB20" i="23"/>
  <c r="AB21" i="23"/>
  <c r="AB22" i="23"/>
  <c r="AB11" i="23"/>
  <c r="AA12" i="23"/>
  <c r="AA14" i="23"/>
  <c r="AA15" i="23"/>
  <c r="AA16" i="23"/>
  <c r="AA17" i="23"/>
  <c r="AA18" i="23"/>
  <c r="AA19" i="23"/>
  <c r="AA20" i="23"/>
  <c r="AA21" i="23"/>
  <c r="AA22" i="23"/>
  <c r="I35" i="23"/>
  <c r="J35" i="23" s="1"/>
  <c r="I36" i="23"/>
  <c r="I37" i="23"/>
  <c r="I38" i="23"/>
  <c r="I39" i="23"/>
  <c r="I40" i="23"/>
  <c r="I41" i="23"/>
  <c r="I42" i="23"/>
  <c r="I34" i="23"/>
  <c r="F35" i="23"/>
  <c r="G35" i="23" s="1"/>
  <c r="AE35" i="23" s="1"/>
  <c r="F36" i="23"/>
  <c r="G36" i="23" s="1"/>
  <c r="AE36" i="23" s="1"/>
  <c r="F37" i="23"/>
  <c r="G37" i="23" s="1"/>
  <c r="AE37" i="23" s="1"/>
  <c r="F38" i="23"/>
  <c r="G38" i="23" s="1"/>
  <c r="AE38" i="23" s="1"/>
  <c r="F39" i="23"/>
  <c r="G39" i="23" s="1"/>
  <c r="AE39" i="23" s="1"/>
  <c r="F40" i="23"/>
  <c r="G40" i="23" s="1"/>
  <c r="AE40" i="23" s="1"/>
  <c r="F41" i="23"/>
  <c r="G41" i="23" s="1"/>
  <c r="AE41" i="23" s="1"/>
  <c r="F42" i="23"/>
  <c r="F34" i="23"/>
  <c r="G34" i="23" s="1"/>
  <c r="AE34" i="23" s="1"/>
  <c r="AB35" i="23"/>
  <c r="L35" i="23"/>
  <c r="M35" i="23" s="1"/>
  <c r="AK35" i="23" s="1"/>
  <c r="AJ52" i="23" l="1"/>
  <c r="AG52" i="23"/>
  <c r="AL35" i="23"/>
  <c r="AD52" i="23"/>
  <c r="AI35" i="23"/>
  <c r="AH35" i="23"/>
  <c r="AF38" i="23"/>
  <c r="AF39" i="23"/>
  <c r="AF40" i="23"/>
  <c r="AF37" i="23"/>
  <c r="AF41" i="23"/>
  <c r="AA52" i="23"/>
  <c r="AF36" i="23"/>
  <c r="AC35" i="23"/>
  <c r="AF35" i="23"/>
  <c r="AF34" i="23"/>
  <c r="Z52" i="23" l="1"/>
  <c r="V52" i="23"/>
  <c r="T52" i="23"/>
  <c r="R52" i="23"/>
  <c r="P52" i="23"/>
  <c r="H52" i="23"/>
  <c r="F52" i="23"/>
  <c r="L42" i="23"/>
  <c r="M42" i="23" s="1"/>
  <c r="J42" i="23"/>
  <c r="G42" i="23"/>
  <c r="L41" i="23"/>
  <c r="M41" i="23" s="1"/>
  <c r="J41" i="23"/>
  <c r="L40" i="23"/>
  <c r="M40" i="23" s="1"/>
  <c r="J40" i="23"/>
  <c r="L39" i="23"/>
  <c r="M39" i="23" s="1"/>
  <c r="J39" i="23"/>
  <c r="L38" i="23"/>
  <c r="M38" i="23" s="1"/>
  <c r="J38" i="23"/>
  <c r="L37" i="23"/>
  <c r="M37" i="23" s="1"/>
  <c r="J37" i="23"/>
  <c r="M36" i="23"/>
  <c r="J36" i="23"/>
  <c r="L34" i="23"/>
  <c r="M33" i="23"/>
  <c r="J33" i="23"/>
  <c r="AL33" i="23" l="1"/>
  <c r="AK33" i="23"/>
  <c r="AL42" i="23"/>
  <c r="AK42" i="23"/>
  <c r="AK41" i="23"/>
  <c r="AL41" i="23"/>
  <c r="AK40" i="23"/>
  <c r="AL40" i="23"/>
  <c r="AL39" i="23"/>
  <c r="AK39" i="23"/>
  <c r="AK38" i="23"/>
  <c r="AL38" i="23"/>
  <c r="AK37" i="23"/>
  <c r="AL37" i="23"/>
  <c r="M34" i="23"/>
  <c r="L52" i="23"/>
  <c r="AH33" i="23"/>
  <c r="AI33" i="23"/>
  <c r="AH42" i="23"/>
  <c r="AI42" i="23"/>
  <c r="AI41" i="23"/>
  <c r="AH41" i="23"/>
  <c r="AH40" i="23"/>
  <c r="AI40" i="23"/>
  <c r="AI39" i="23"/>
  <c r="AH39" i="23"/>
  <c r="AH38" i="23"/>
  <c r="AI38" i="23"/>
  <c r="AH37" i="23"/>
  <c r="AI37" i="23"/>
  <c r="AH36" i="23"/>
  <c r="AI36" i="23"/>
  <c r="AL22" i="23"/>
  <c r="AL21" i="23"/>
  <c r="AL20" i="23"/>
  <c r="AL15" i="23"/>
  <c r="AH11" i="23"/>
  <c r="AI11" i="23"/>
  <c r="L28" i="23"/>
  <c r="AH22" i="23"/>
  <c r="AI22" i="23"/>
  <c r="AH21" i="23"/>
  <c r="AI21" i="23"/>
  <c r="AH20" i="23"/>
  <c r="AI20" i="23"/>
  <c r="AI19" i="23"/>
  <c r="AH19" i="23"/>
  <c r="AI18" i="23"/>
  <c r="AH18" i="23"/>
  <c r="AH17" i="23"/>
  <c r="AI17" i="23"/>
  <c r="AI16" i="23"/>
  <c r="AH16" i="23"/>
  <c r="AI15" i="23"/>
  <c r="AH15" i="23"/>
  <c r="AH14" i="23"/>
  <c r="AI14" i="23"/>
  <c r="AH13" i="23"/>
  <c r="AI13" i="23"/>
  <c r="AH12" i="23"/>
  <c r="AI12" i="23"/>
  <c r="AE11" i="23"/>
  <c r="AF11" i="23"/>
  <c r="AE12" i="23"/>
  <c r="AF12" i="23"/>
  <c r="AL36" i="23"/>
  <c r="M52" i="23"/>
  <c r="AK36" i="23"/>
  <c r="AB41" i="23"/>
  <c r="AC41" i="23"/>
  <c r="AE42" i="23"/>
  <c r="AF42" i="23"/>
  <c r="AB40" i="23"/>
  <c r="AC40" i="23"/>
  <c r="AB39" i="23"/>
  <c r="AC39" i="23"/>
  <c r="AB38" i="23"/>
  <c r="AC38" i="23"/>
  <c r="AB37" i="23"/>
  <c r="AC37" i="23"/>
  <c r="AC36" i="23"/>
  <c r="AB36" i="23"/>
  <c r="AB34" i="23"/>
  <c r="AC34" i="23"/>
  <c r="AC33" i="23"/>
  <c r="AB33" i="23"/>
  <c r="I52" i="23"/>
  <c r="G52" i="23"/>
  <c r="J34" i="23"/>
  <c r="X52" i="23"/>
  <c r="AL34" i="23" l="1"/>
  <c r="AL52" i="23" s="1"/>
  <c r="AK34" i="23"/>
  <c r="AK52" i="23" s="1"/>
  <c r="AE52" i="23"/>
  <c r="AF52" i="23"/>
  <c r="AH34" i="23"/>
  <c r="AH52" i="23" s="1"/>
  <c r="AI34" i="23"/>
  <c r="AI52" i="23" s="1"/>
  <c r="AL12" i="23"/>
  <c r="AB52" i="23"/>
  <c r="AC52" i="23"/>
  <c r="J52" i="23"/>
  <c r="D125" i="53" l="1"/>
  <c r="C125" i="53"/>
  <c r="D124" i="53"/>
  <c r="C124" i="53"/>
  <c r="D120" i="53"/>
  <c r="C120" i="53"/>
  <c r="D118" i="53"/>
  <c r="C118" i="53"/>
  <c r="D117" i="53"/>
  <c r="C117" i="53"/>
  <c r="D116" i="53"/>
  <c r="C116" i="53"/>
  <c r="D112" i="53"/>
  <c r="C112" i="53"/>
  <c r="D111" i="53"/>
  <c r="C111" i="53"/>
  <c r="D110" i="53"/>
  <c r="C110" i="53"/>
  <c r="D107" i="53"/>
  <c r="C107" i="53"/>
  <c r="D102" i="53"/>
  <c r="C102" i="53"/>
  <c r="D101" i="53"/>
  <c r="C101" i="53"/>
  <c r="D96" i="53"/>
  <c r="C96" i="53"/>
  <c r="B96" i="53"/>
  <c r="D92" i="53"/>
  <c r="C92" i="53"/>
  <c r="B92" i="53"/>
  <c r="D85" i="53"/>
  <c r="C85" i="53"/>
  <c r="D77" i="53"/>
  <c r="C77" i="53"/>
  <c r="B77" i="53"/>
  <c r="D70" i="53"/>
  <c r="C70" i="53"/>
  <c r="B70" i="53"/>
  <c r="D67" i="53"/>
  <c r="C67" i="53"/>
  <c r="B67" i="53"/>
  <c r="D66" i="53"/>
  <c r="C66" i="53"/>
  <c r="B66" i="53"/>
  <c r="D54" i="53"/>
  <c r="C54" i="53"/>
  <c r="B54" i="53"/>
  <c r="D53" i="53"/>
  <c r="C53" i="53"/>
  <c r="B53" i="53"/>
  <c r="D45" i="53"/>
  <c r="D48" i="53" s="1"/>
  <c r="C45" i="53"/>
  <c r="B45" i="53"/>
  <c r="B48" i="53" s="1"/>
  <c r="D41" i="53"/>
  <c r="D84" i="53" s="1"/>
  <c r="D98" i="53" s="1"/>
  <c r="C41" i="53"/>
  <c r="C84" i="53" s="1"/>
  <c r="C98" i="53" s="1"/>
  <c r="B41" i="53"/>
  <c r="B84" i="53" s="1"/>
  <c r="B98" i="53" s="1"/>
  <c r="D9" i="53"/>
  <c r="D93" i="53" s="1"/>
  <c r="C9" i="53"/>
  <c r="C94" i="53" s="1"/>
  <c r="B9" i="53"/>
  <c r="B93" i="53" s="1"/>
  <c r="D8" i="53"/>
  <c r="C8" i="53"/>
  <c r="B8" i="53"/>
  <c r="D15" i="53" l="1"/>
  <c r="B16" i="53"/>
  <c r="B22" i="53" s="1"/>
  <c r="B91" i="53" s="1"/>
  <c r="D94" i="53"/>
  <c r="B94" i="53"/>
  <c r="B95" i="53" s="1"/>
  <c r="C93" i="53"/>
  <c r="C95" i="53" s="1"/>
  <c r="C15" i="53"/>
  <c r="C59" i="53"/>
  <c r="D105" i="53"/>
  <c r="B81" i="53"/>
  <c r="B59" i="53"/>
  <c r="C105" i="53"/>
  <c r="C81" i="53"/>
  <c r="B90" i="53"/>
  <c r="B89" i="53"/>
  <c r="B60" i="53"/>
  <c r="B15" i="53"/>
  <c r="D104" i="53"/>
  <c r="D60" i="53"/>
  <c r="C60" i="53"/>
  <c r="C16" i="53"/>
  <c r="C22" i="53" s="1"/>
  <c r="C88" i="53" s="1"/>
  <c r="C113" i="53"/>
  <c r="D81" i="53"/>
  <c r="D113" i="53"/>
  <c r="C104" i="53"/>
  <c r="D59" i="53"/>
  <c r="D90" i="53"/>
  <c r="D89" i="53"/>
  <c r="C48" i="53"/>
  <c r="C89" i="53" s="1"/>
  <c r="D16" i="53"/>
  <c r="D22" i="53" s="1"/>
  <c r="D91" i="53" s="1"/>
  <c r="D95" i="53"/>
  <c r="N23" i="48"/>
  <c r="N22" i="48"/>
  <c r="N21" i="48"/>
  <c r="N20" i="48"/>
  <c r="N19" i="48"/>
  <c r="F23" i="48"/>
  <c r="F22" i="48"/>
  <c r="F21" i="48"/>
  <c r="F20" i="48"/>
  <c r="F19" i="48"/>
  <c r="C82" i="53" l="1"/>
  <c r="B24" i="53"/>
  <c r="B88" i="53"/>
  <c r="B82" i="53"/>
  <c r="D82" i="53"/>
  <c r="C91" i="53"/>
  <c r="C24" i="53"/>
  <c r="C32" i="53" s="1"/>
  <c r="C35" i="53" s="1"/>
  <c r="C119" i="53" s="1"/>
  <c r="C121" i="53" s="1"/>
  <c r="D88" i="53"/>
  <c r="C90" i="53"/>
  <c r="D24" i="53"/>
  <c r="B32" i="53"/>
  <c r="B35" i="53" s="1"/>
  <c r="B33" i="53"/>
  <c r="B36" i="53" s="1"/>
  <c r="H68" i="23"/>
  <c r="AF62" i="23"/>
  <c r="AD62" i="23"/>
  <c r="D32" i="53" l="1"/>
  <c r="D35" i="53" s="1"/>
  <c r="D119" i="53" s="1"/>
  <c r="D121" i="53" s="1"/>
  <c r="C33" i="53"/>
  <c r="C36" i="53" s="1"/>
  <c r="C100" i="53" s="1"/>
  <c r="C103" i="53" s="1"/>
  <c r="C106" i="53" s="1"/>
  <c r="C122" i="53" s="1"/>
  <c r="C127" i="53" s="1"/>
  <c r="D33" i="53"/>
  <c r="D36" i="53" s="1"/>
  <c r="D86" i="53" s="1"/>
  <c r="AG28" i="23"/>
  <c r="B37" i="53"/>
  <c r="B38" i="53" s="1"/>
  <c r="B87" i="53" s="1"/>
  <c r="B86" i="53"/>
  <c r="C37" i="53" l="1"/>
  <c r="C38" i="53" s="1"/>
  <c r="C87" i="53" s="1"/>
  <c r="C86" i="53"/>
  <c r="D37" i="53"/>
  <c r="D38" i="53" s="1"/>
  <c r="D87" i="53" s="1"/>
  <c r="D100" i="53"/>
  <c r="D103" i="53" s="1"/>
  <c r="D106" i="53" s="1"/>
  <c r="D122" i="53" s="1"/>
  <c r="D127" i="53" s="1"/>
  <c r="AH28" i="23"/>
  <c r="X62" i="23" l="1"/>
  <c r="H31" i="52" l="1"/>
  <c r="G31" i="52"/>
  <c r="F31" i="52"/>
  <c r="E31" i="52"/>
  <c r="D31" i="52"/>
  <c r="C31" i="52"/>
  <c r="F28" i="23" l="1"/>
  <c r="AF22" i="23" l="1"/>
  <c r="AE22" i="23"/>
  <c r="AF21" i="23"/>
  <c r="AE21" i="23"/>
  <c r="AE20" i="23"/>
  <c r="AF20" i="23"/>
  <c r="AF19" i="23"/>
  <c r="AE19" i="23"/>
  <c r="AF18" i="23"/>
  <c r="AE18" i="23"/>
  <c r="AE17" i="23"/>
  <c r="AF17" i="23"/>
  <c r="AE16" i="23"/>
  <c r="AF16" i="23"/>
  <c r="AE15" i="23"/>
  <c r="AF15" i="23"/>
  <c r="AF14" i="23"/>
  <c r="AE14" i="23"/>
  <c r="AF13" i="23"/>
  <c r="AE13" i="23"/>
  <c r="G28" i="23"/>
  <c r="D66" i="50"/>
  <c r="D67" i="50"/>
  <c r="D70" i="50"/>
  <c r="D77" i="50"/>
  <c r="D45" i="50"/>
  <c r="D48" i="50" s="1"/>
  <c r="D53" i="50"/>
  <c r="D54" i="50"/>
  <c r="D41" i="50"/>
  <c r="D84" i="50" s="1"/>
  <c r="D98" i="50" s="1"/>
  <c r="C41" i="50"/>
  <c r="C84" i="50" s="1"/>
  <c r="C98" i="50" s="1"/>
  <c r="B41" i="50"/>
  <c r="B84" i="50" s="1"/>
  <c r="B98" i="50" s="1"/>
  <c r="D124" i="50"/>
  <c r="D8" i="50"/>
  <c r="G75" i="23" s="1"/>
  <c r="D9" i="50"/>
  <c r="D101" i="50"/>
  <c r="D102" i="50"/>
  <c r="C70" i="50"/>
  <c r="C54" i="50"/>
  <c r="D107" i="50"/>
  <c r="D110" i="50"/>
  <c r="D111" i="50"/>
  <c r="D112" i="50"/>
  <c r="D116" i="50"/>
  <c r="D117" i="50"/>
  <c r="D118" i="50"/>
  <c r="C45" i="50"/>
  <c r="C48" i="50" s="1"/>
  <c r="D120" i="50"/>
  <c r="D125" i="50"/>
  <c r="C124" i="50"/>
  <c r="C8" i="50"/>
  <c r="F75" i="23" s="1"/>
  <c r="C9" i="50"/>
  <c r="C94" i="50" s="1"/>
  <c r="C101" i="50"/>
  <c r="C102" i="50"/>
  <c r="B70" i="50"/>
  <c r="B54" i="50"/>
  <c r="C105" i="50" s="1"/>
  <c r="C107" i="50"/>
  <c r="C110" i="50"/>
  <c r="C111" i="50"/>
  <c r="C112" i="50"/>
  <c r="C116" i="50"/>
  <c r="C117" i="50"/>
  <c r="C118" i="50"/>
  <c r="B45" i="50"/>
  <c r="B48" i="50" s="1"/>
  <c r="C120" i="50"/>
  <c r="C125" i="50"/>
  <c r="D96" i="50"/>
  <c r="C96" i="50"/>
  <c r="B96" i="50"/>
  <c r="D92" i="50"/>
  <c r="D93" i="50"/>
  <c r="D94" i="50"/>
  <c r="C92" i="50"/>
  <c r="C93" i="50"/>
  <c r="B92" i="50"/>
  <c r="B9" i="50"/>
  <c r="B94" i="50" s="1"/>
  <c r="B8" i="50"/>
  <c r="C53" i="50"/>
  <c r="C59" i="50" s="1"/>
  <c r="B53" i="50"/>
  <c r="D85" i="50"/>
  <c r="C85" i="50"/>
  <c r="C66" i="50"/>
  <c r="C67" i="50"/>
  <c r="C77" i="50"/>
  <c r="B66" i="50"/>
  <c r="B67" i="50"/>
  <c r="B77" i="50"/>
  <c r="R63" i="23"/>
  <c r="R62" i="23"/>
  <c r="R61" i="23"/>
  <c r="R60" i="23"/>
  <c r="K64" i="23"/>
  <c r="F33" i="48"/>
  <c r="F34" i="48"/>
  <c r="F35" i="48"/>
  <c r="F36" i="48"/>
  <c r="F32" i="48"/>
  <c r="F24" i="48"/>
  <c r="F18" i="48"/>
  <c r="F17" i="48"/>
  <c r="F16" i="48"/>
  <c r="F15" i="48"/>
  <c r="F14" i="48"/>
  <c r="G83" i="23"/>
  <c r="G68" i="23"/>
  <c r="Z28" i="23"/>
  <c r="V28" i="23"/>
  <c r="R28" i="23"/>
  <c r="P28" i="23"/>
  <c r="T28" i="23"/>
  <c r="H28" i="23"/>
  <c r="K28" i="23"/>
  <c r="J44" i="48"/>
  <c r="I44" i="48"/>
  <c r="H44" i="48"/>
  <c r="G44" i="48"/>
  <c r="N35" i="48"/>
  <c r="N34" i="48"/>
  <c r="N33" i="48"/>
  <c r="N32" i="48"/>
  <c r="B51" i="48"/>
  <c r="B52" i="48" s="1"/>
  <c r="B53" i="48" s="1"/>
  <c r="B54" i="48" s="1"/>
  <c r="B55" i="48" s="1"/>
  <c r="G26" i="48"/>
  <c r="N24" i="48"/>
  <c r="N18" i="48"/>
  <c r="N17" i="48"/>
  <c r="N16" i="48"/>
  <c r="N15" i="48"/>
  <c r="B15" i="48"/>
  <c r="N14" i="48"/>
  <c r="C44" i="48"/>
  <c r="E6" i="44"/>
  <c r="E8" i="44" s="1"/>
  <c r="A4" i="35"/>
  <c r="A5" i="35" s="1"/>
  <c r="A6" i="35" s="1"/>
  <c r="A7" i="35" s="1"/>
  <c r="A8" i="35" s="1"/>
  <c r="A9" i="35" s="1"/>
  <c r="A10" i="35" s="1"/>
  <c r="A11" i="35" s="1"/>
  <c r="A12" i="35" s="1"/>
  <c r="A13" i="35" s="1"/>
  <c r="A14" i="35" s="1"/>
  <c r="C20" i="15"/>
  <c r="C30" i="15" s="1"/>
  <c r="C40" i="15" s="1"/>
  <c r="C50" i="15" s="1"/>
  <c r="C19" i="15"/>
  <c r="C29" i="15" s="1"/>
  <c r="C39" i="15" s="1"/>
  <c r="C49" i="15" s="1"/>
  <c r="C18" i="15"/>
  <c r="C28" i="15" s="1"/>
  <c r="C38" i="15" s="1"/>
  <c r="C48" i="15" s="1"/>
  <c r="C17" i="15"/>
  <c r="C27" i="15" s="1"/>
  <c r="C37" i="15" s="1"/>
  <c r="C47" i="15" s="1"/>
  <c r="C16" i="15"/>
  <c r="C26" i="15" s="1"/>
  <c r="C36" i="15" s="1"/>
  <c r="C46" i="15" s="1"/>
  <c r="C15" i="15"/>
  <c r="C25" i="15" s="1"/>
  <c r="C35" i="15" s="1"/>
  <c r="C45" i="15" s="1"/>
  <c r="F56" i="34"/>
  <c r="F57" i="34" s="1"/>
  <c r="G54" i="34" s="1"/>
  <c r="C54" i="34"/>
  <c r="C57" i="34" s="1"/>
  <c r="D56" i="34" s="1"/>
  <c r="D29" i="27"/>
  <c r="D22" i="27"/>
  <c r="D15" i="27"/>
  <c r="D8" i="27"/>
  <c r="F187" i="29"/>
  <c r="G187" i="29" s="1"/>
  <c r="E266" i="29"/>
  <c r="F266" i="29" s="1"/>
  <c r="F31" i="31" s="1"/>
  <c r="E16" i="15"/>
  <c r="E19" i="15"/>
  <c r="E18" i="15"/>
  <c r="M198" i="29"/>
  <c r="M437" i="29" s="1"/>
  <c r="L198" i="29"/>
  <c r="K198" i="29"/>
  <c r="K9" i="30" s="1"/>
  <c r="K25" i="32" s="1"/>
  <c r="F51" i="15"/>
  <c r="E51" i="15"/>
  <c r="D34" i="34" s="1"/>
  <c r="L41" i="15"/>
  <c r="K41" i="15"/>
  <c r="D33" i="34" s="1"/>
  <c r="J41" i="15"/>
  <c r="E32" i="19"/>
  <c r="G32" i="19" s="1"/>
  <c r="E33" i="19" s="1"/>
  <c r="M618" i="29"/>
  <c r="M617" i="29"/>
  <c r="M610" i="29"/>
  <c r="M590" i="29"/>
  <c r="M581" i="29"/>
  <c r="M575" i="29"/>
  <c r="M466" i="29"/>
  <c r="M438" i="29"/>
  <c r="M403" i="29"/>
  <c r="M400" i="29"/>
  <c r="M398" i="29"/>
  <c r="M369" i="29"/>
  <c r="M366" i="29"/>
  <c r="M363" i="29"/>
  <c r="M330" i="29"/>
  <c r="M238" i="29"/>
  <c r="M138" i="29"/>
  <c r="M632" i="29" s="1"/>
  <c r="M91" i="29"/>
  <c r="M101" i="29" s="1"/>
  <c r="M15" i="32" s="1"/>
  <c r="M255" i="29"/>
  <c r="M253" i="29"/>
  <c r="M61" i="29"/>
  <c r="M124" i="29" s="1"/>
  <c r="M174" i="29" s="1"/>
  <c r="M223" i="29" s="1"/>
  <c r="M274" i="29" s="1"/>
  <c r="M329" i="29" s="1"/>
  <c r="M387" i="29" s="1"/>
  <c r="M426" i="29" s="1"/>
  <c r="M476" i="29" s="1"/>
  <c r="M519" i="29" s="1"/>
  <c r="M571" i="29" s="1"/>
  <c r="M60" i="29"/>
  <c r="M123" i="29" s="1"/>
  <c r="M173" i="29" s="1"/>
  <c r="M222" i="29" s="1"/>
  <c r="M273" i="29" s="1"/>
  <c r="M328" i="29" s="1"/>
  <c r="M386" i="29" s="1"/>
  <c r="M425" i="29" s="1"/>
  <c r="M475" i="29" s="1"/>
  <c r="M518" i="29" s="1"/>
  <c r="M570" i="29" s="1"/>
  <c r="M250" i="29"/>
  <c r="M248" i="29" s="1"/>
  <c r="M15" i="29"/>
  <c r="M11" i="32" s="1"/>
  <c r="K6" i="30"/>
  <c r="D10" i="20"/>
  <c r="C10" i="20"/>
  <c r="M7" i="20"/>
  <c r="L7" i="20"/>
  <c r="F20" i="20"/>
  <c r="E20" i="20"/>
  <c r="N40" i="20"/>
  <c r="M181" i="29" s="1"/>
  <c r="N39" i="20"/>
  <c r="M153" i="29" s="1"/>
  <c r="N18" i="20"/>
  <c r="M18" i="20"/>
  <c r="L18" i="20"/>
  <c r="A17" i="20"/>
  <c r="A18" i="20" s="1"/>
  <c r="A19" i="20" s="1"/>
  <c r="AD41" i="19"/>
  <c r="AD45" i="19" s="1"/>
  <c r="N8" i="20" s="1"/>
  <c r="AA41" i="19"/>
  <c r="AA45" i="19" s="1"/>
  <c r="X41" i="19"/>
  <c r="X45" i="19" s="1"/>
  <c r="L8" i="20" s="1"/>
  <c r="U41" i="19"/>
  <c r="U45" i="19" s="1"/>
  <c r="R41" i="19"/>
  <c r="R45" i="19" s="1"/>
  <c r="O41" i="19"/>
  <c r="O45" i="19" s="1"/>
  <c r="H32" i="20" s="1"/>
  <c r="L41" i="19"/>
  <c r="L45" i="19" s="1"/>
  <c r="I41" i="19"/>
  <c r="I45" i="19" s="1"/>
  <c r="F32" i="20" s="1"/>
  <c r="F41" i="19"/>
  <c r="F45" i="19" s="1"/>
  <c r="C41" i="19"/>
  <c r="C45" i="19" s="1"/>
  <c r="D29" i="19"/>
  <c r="B30" i="19" s="1"/>
  <c r="D30" i="19" s="1"/>
  <c r="B31" i="19" s="1"/>
  <c r="D31" i="19" s="1"/>
  <c r="B32" i="19" s="1"/>
  <c r="D32" i="19" s="1"/>
  <c r="B33" i="19" s="1"/>
  <c r="D33" i="19" s="1"/>
  <c r="B34" i="19" s="1"/>
  <c r="D34" i="19" s="1"/>
  <c r="B35" i="19" s="1"/>
  <c r="D35" i="19" s="1"/>
  <c r="B36" i="19" s="1"/>
  <c r="D36" i="19" s="1"/>
  <c r="B37" i="19" s="1"/>
  <c r="D37" i="19" s="1"/>
  <c r="B38" i="19" s="1"/>
  <c r="D38" i="19" s="1"/>
  <c r="B39" i="19" s="1"/>
  <c r="D39" i="19" s="1"/>
  <c r="B40" i="19" s="1"/>
  <c r="D40" i="19" s="1"/>
  <c r="G8" i="20"/>
  <c r="M353" i="29"/>
  <c r="M357" i="29"/>
  <c r="M349" i="29"/>
  <c r="M341" i="29"/>
  <c r="M257" i="29"/>
  <c r="D32" i="17"/>
  <c r="D31" i="17"/>
  <c r="D30" i="17"/>
  <c r="D29" i="17"/>
  <c r="D28" i="17"/>
  <c r="D27" i="17"/>
  <c r="D26" i="17"/>
  <c r="D25" i="17"/>
  <c r="D24" i="17"/>
  <c r="C23" i="17"/>
  <c r="D23" i="17" s="1"/>
  <c r="C22" i="17"/>
  <c r="D22" i="17" s="1"/>
  <c r="C21" i="17"/>
  <c r="D21" i="17" s="1"/>
  <c r="J369" i="29"/>
  <c r="I369" i="29"/>
  <c r="H369" i="29"/>
  <c r="G369" i="29"/>
  <c r="F369" i="29"/>
  <c r="E369" i="29"/>
  <c r="D369" i="29"/>
  <c r="C369" i="29"/>
  <c r="J29" i="32"/>
  <c r="J26" i="32"/>
  <c r="J21" i="32"/>
  <c r="J18" i="32"/>
  <c r="I29" i="32"/>
  <c r="I26" i="32"/>
  <c r="I21" i="32"/>
  <c r="I18" i="32"/>
  <c r="H29" i="32"/>
  <c r="H26" i="32"/>
  <c r="H21" i="32"/>
  <c r="H18" i="32"/>
  <c r="G29" i="32"/>
  <c r="G26" i="32"/>
  <c r="G21" i="32"/>
  <c r="G18" i="32"/>
  <c r="F29" i="32"/>
  <c r="F26" i="32"/>
  <c r="F21" i="32"/>
  <c r="F18" i="32"/>
  <c r="E6" i="15"/>
  <c r="D19" i="30"/>
  <c r="E19" i="30"/>
  <c r="E37" i="32" s="1"/>
  <c r="F19" i="30"/>
  <c r="F37" i="32" s="1"/>
  <c r="B33" i="30"/>
  <c r="J29" i="30"/>
  <c r="I29" i="30"/>
  <c r="H29" i="30"/>
  <c r="G29" i="30"/>
  <c r="F29" i="30"/>
  <c r="E29" i="30"/>
  <c r="D29" i="30"/>
  <c r="C29" i="30"/>
  <c r="B29" i="30"/>
  <c r="J138" i="29"/>
  <c r="I138" i="29"/>
  <c r="I27" i="30" s="1"/>
  <c r="H138" i="29"/>
  <c r="H27" i="30" s="1"/>
  <c r="G138" i="29"/>
  <c r="G632" i="29" s="1"/>
  <c r="F138" i="29"/>
  <c r="F27" i="30" s="1"/>
  <c r="E138" i="29"/>
  <c r="D138" i="29"/>
  <c r="D27" i="30" s="1"/>
  <c r="C138" i="29"/>
  <c r="B138" i="29"/>
  <c r="D42" i="34"/>
  <c r="D41" i="34"/>
  <c r="D40" i="34"/>
  <c r="D39" i="34"/>
  <c r="E15" i="26"/>
  <c r="F15" i="26" s="1"/>
  <c r="G15" i="26" s="1"/>
  <c r="H15" i="26" s="1"/>
  <c r="I15" i="26" s="1"/>
  <c r="J15" i="26" s="1"/>
  <c r="K15" i="26" s="1"/>
  <c r="L15" i="26" s="1"/>
  <c r="M15" i="26" s="1"/>
  <c r="A5" i="34"/>
  <c r="A6" i="34"/>
  <c r="A7" i="34" s="1"/>
  <c r="A8" i="34" s="1"/>
  <c r="A9" i="34" s="1"/>
  <c r="A10" i="34" s="1"/>
  <c r="A11" i="34" s="1"/>
  <c r="F42" i="21"/>
  <c r="J266" i="29"/>
  <c r="K266" i="29" s="1"/>
  <c r="E291" i="29"/>
  <c r="F291" i="29" s="1"/>
  <c r="G291" i="29" s="1"/>
  <c r="H291" i="29" s="1"/>
  <c r="I291" i="29" s="1"/>
  <c r="J291" i="29" s="1"/>
  <c r="K291" i="29" s="1"/>
  <c r="L291" i="29" s="1"/>
  <c r="M291" i="29" s="1"/>
  <c r="M13" i="31" s="1"/>
  <c r="E236" i="29"/>
  <c r="F236" i="29" s="1"/>
  <c r="D298" i="29"/>
  <c r="D234" i="29"/>
  <c r="D26" i="31" s="1"/>
  <c r="G24" i="31"/>
  <c r="G23" i="31"/>
  <c r="H29" i="31"/>
  <c r="H16" i="31"/>
  <c r="H14" i="31"/>
  <c r="H38" i="32"/>
  <c r="H6" i="31"/>
  <c r="H5" i="31"/>
  <c r="H34" i="30"/>
  <c r="H30" i="30"/>
  <c r="H16" i="30"/>
  <c r="H32" i="32" s="1"/>
  <c r="H14" i="30"/>
  <c r="H30" i="32" s="1"/>
  <c r="H12" i="30"/>
  <c r="H28" i="32" s="1"/>
  <c r="H7" i="30"/>
  <c r="H6" i="30"/>
  <c r="C266" i="29"/>
  <c r="C31" i="31" s="1"/>
  <c r="C291" i="29"/>
  <c r="C300" i="29"/>
  <c r="C236" i="29"/>
  <c r="C234" i="29" s="1"/>
  <c r="C26" i="31" s="1"/>
  <c r="C142" i="29"/>
  <c r="C159" i="29"/>
  <c r="C144" i="29"/>
  <c r="C158" i="29" s="1"/>
  <c r="C187" i="29"/>
  <c r="C19" i="30" s="1"/>
  <c r="C37" i="32" s="1"/>
  <c r="J198" i="29"/>
  <c r="I198" i="29"/>
  <c r="H198" i="29"/>
  <c r="H9" i="30" s="1"/>
  <c r="H25" i="32" s="1"/>
  <c r="G198" i="29"/>
  <c r="G9" i="30" s="1"/>
  <c r="G25" i="32" s="1"/>
  <c r="F198" i="29"/>
  <c r="E198" i="29"/>
  <c r="D198" i="29"/>
  <c r="D9" i="30" s="1"/>
  <c r="D25" i="32" s="1"/>
  <c r="C198" i="29"/>
  <c r="B300" i="29"/>
  <c r="B12" i="30" s="1"/>
  <c r="B28" i="32" s="1"/>
  <c r="B266" i="29"/>
  <c r="B31" i="31" s="1"/>
  <c r="B291" i="29"/>
  <c r="B13" i="31"/>
  <c r="B261" i="29"/>
  <c r="B27" i="31" s="1"/>
  <c r="B236" i="29"/>
  <c r="B187" i="29"/>
  <c r="B181" i="29"/>
  <c r="B18" i="30" s="1"/>
  <c r="B198" i="29"/>
  <c r="B9" i="30" s="1"/>
  <c r="B25" i="32" s="1"/>
  <c r="B159" i="29"/>
  <c r="B144" i="29"/>
  <c r="B31" i="30" s="1"/>
  <c r="B142" i="29"/>
  <c r="B28" i="30" s="1"/>
  <c r="C28" i="20"/>
  <c r="H36" i="20"/>
  <c r="AD25" i="33"/>
  <c r="K18" i="20" s="1"/>
  <c r="AC25" i="33"/>
  <c r="J18" i="20" s="1"/>
  <c r="AB25" i="33"/>
  <c r="I18" i="20" s="1"/>
  <c r="K9" i="20"/>
  <c r="J9" i="20"/>
  <c r="I9" i="20"/>
  <c r="J17" i="33"/>
  <c r="J16" i="33"/>
  <c r="R16" i="33" s="1"/>
  <c r="J15" i="33"/>
  <c r="R15" i="33" s="1"/>
  <c r="J14" i="33"/>
  <c r="R14" i="33" s="1"/>
  <c r="J13" i="33"/>
  <c r="J12" i="33"/>
  <c r="R12" i="33" s="1"/>
  <c r="G6" i="33"/>
  <c r="J6" i="33"/>
  <c r="K6" i="33"/>
  <c r="L6" i="33"/>
  <c r="W6" i="33"/>
  <c r="X6" i="33"/>
  <c r="Y6" i="33"/>
  <c r="A7" i="33"/>
  <c r="A8" i="33" s="1"/>
  <c r="A9" i="33" s="1"/>
  <c r="A10" i="33" s="1"/>
  <c r="A11" i="33" s="1"/>
  <c r="A12" i="33" s="1"/>
  <c r="A13" i="33" s="1"/>
  <c r="A14" i="33" s="1"/>
  <c r="A15" i="33" s="1"/>
  <c r="A16" i="33" s="1"/>
  <c r="A17" i="33" s="1"/>
  <c r="A18" i="33" s="1"/>
  <c r="A19" i="33" s="1"/>
  <c r="A20" i="33" s="1"/>
  <c r="A21" i="33" s="1"/>
  <c r="A22" i="33" s="1"/>
  <c r="A23" i="33" s="1"/>
  <c r="A24" i="33" s="1"/>
  <c r="G7" i="33"/>
  <c r="J7" i="33"/>
  <c r="K7" i="33"/>
  <c r="L7" i="33"/>
  <c r="W7" i="33"/>
  <c r="X7" i="33"/>
  <c r="Y7" i="33"/>
  <c r="G8" i="33"/>
  <c r="J8" i="33"/>
  <c r="R8" i="33" s="1"/>
  <c r="K8" i="33"/>
  <c r="L8" i="33"/>
  <c r="W8" i="33"/>
  <c r="X8" i="33"/>
  <c r="Y8" i="33"/>
  <c r="G9" i="33"/>
  <c r="J9" i="33"/>
  <c r="K9" i="33"/>
  <c r="L9" i="33"/>
  <c r="W9" i="33"/>
  <c r="X9" i="33"/>
  <c r="Y9" i="33"/>
  <c r="G10" i="33"/>
  <c r="J10" i="33"/>
  <c r="K10" i="33"/>
  <c r="L10" i="33"/>
  <c r="W10" i="33"/>
  <c r="X10" i="33"/>
  <c r="Y10" i="33"/>
  <c r="G11" i="33"/>
  <c r="J11" i="33"/>
  <c r="K11" i="33"/>
  <c r="L11" i="33"/>
  <c r="W11" i="33"/>
  <c r="X11" i="33"/>
  <c r="Y11" i="33"/>
  <c r="F12" i="33"/>
  <c r="G12" i="33" s="1"/>
  <c r="K12" i="33"/>
  <c r="S12" i="33" s="1"/>
  <c r="L12" i="33"/>
  <c r="W12" i="33"/>
  <c r="X12" i="33"/>
  <c r="Y12" i="33"/>
  <c r="F13" i="33"/>
  <c r="G13" i="33" s="1"/>
  <c r="K13" i="33"/>
  <c r="L13" i="33"/>
  <c r="W13" i="33"/>
  <c r="X13" i="33"/>
  <c r="Y13" i="33"/>
  <c r="F14" i="33"/>
  <c r="G14" i="33" s="1"/>
  <c r="K14" i="33"/>
  <c r="T14" i="33" s="1"/>
  <c r="L14" i="33"/>
  <c r="W14" i="33"/>
  <c r="X14" i="33"/>
  <c r="Y14" i="33"/>
  <c r="F15" i="33"/>
  <c r="G15" i="33" s="1"/>
  <c r="K15" i="33"/>
  <c r="L15" i="33"/>
  <c r="W15" i="33"/>
  <c r="X15" i="33"/>
  <c r="Y15" i="33"/>
  <c r="G16" i="33"/>
  <c r="K16" i="33"/>
  <c r="L16" i="33"/>
  <c r="W16" i="33"/>
  <c r="X16" i="33"/>
  <c r="Y16" i="33"/>
  <c r="G17" i="33"/>
  <c r="K17" i="33"/>
  <c r="L17" i="33"/>
  <c r="W17" i="33"/>
  <c r="X17" i="33"/>
  <c r="Y17" i="33"/>
  <c r="G18" i="33"/>
  <c r="J18" i="33"/>
  <c r="R18" i="33" s="1"/>
  <c r="K18" i="33"/>
  <c r="L18" i="33"/>
  <c r="M18" i="33"/>
  <c r="W18" i="33"/>
  <c r="X18" i="33"/>
  <c r="Y18" i="33"/>
  <c r="Z18" i="33"/>
  <c r="G19" i="33"/>
  <c r="J19" i="33"/>
  <c r="K19" i="33"/>
  <c r="L19" i="33"/>
  <c r="M19" i="33"/>
  <c r="R19" i="33"/>
  <c r="W19" i="33"/>
  <c r="X19" i="33"/>
  <c r="Y19" i="33"/>
  <c r="Z19" i="33"/>
  <c r="G20" i="33"/>
  <c r="J20" i="33"/>
  <c r="K20" i="33"/>
  <c r="L20" i="33"/>
  <c r="M20" i="33"/>
  <c r="R20" i="33"/>
  <c r="W20" i="33"/>
  <c r="X20" i="33"/>
  <c r="Y20" i="33"/>
  <c r="Z20" i="33"/>
  <c r="G21" i="33"/>
  <c r="J21" i="33"/>
  <c r="K21" i="33"/>
  <c r="L21" i="33"/>
  <c r="M21" i="33"/>
  <c r="R21" i="33"/>
  <c r="W21" i="33"/>
  <c r="X21" i="33"/>
  <c r="Y21" i="33"/>
  <c r="Z21" i="33"/>
  <c r="G22" i="33"/>
  <c r="K22" i="33"/>
  <c r="L22" i="33"/>
  <c r="M22" i="33"/>
  <c r="N22" i="33"/>
  <c r="R22" i="33"/>
  <c r="X22" i="33"/>
  <c r="Y22" i="33"/>
  <c r="Z22" i="33"/>
  <c r="AA22" i="33"/>
  <c r="G23" i="33"/>
  <c r="K23" i="33"/>
  <c r="L23" i="33"/>
  <c r="M23" i="33"/>
  <c r="N23" i="33"/>
  <c r="R23" i="33"/>
  <c r="X23" i="33"/>
  <c r="Y23" i="33"/>
  <c r="Z23" i="33"/>
  <c r="AA23" i="33"/>
  <c r="G24" i="33"/>
  <c r="K24" i="33"/>
  <c r="S24" i="33" s="1"/>
  <c r="L24" i="33"/>
  <c r="U24" i="33" s="1"/>
  <c r="M24" i="33"/>
  <c r="N24" i="33"/>
  <c r="R24" i="33"/>
  <c r="X24" i="33"/>
  <c r="Y24" i="33"/>
  <c r="Z24" i="33"/>
  <c r="AA24" i="33"/>
  <c r="A2" i="30"/>
  <c r="A2" i="32"/>
  <c r="D22" i="16"/>
  <c r="D21" i="16" s="1"/>
  <c r="D23" i="16" s="1"/>
  <c r="C281" i="29" s="1"/>
  <c r="C8" i="31" s="1"/>
  <c r="D11" i="16"/>
  <c r="D8" i="16"/>
  <c r="D7" i="16"/>
  <c r="C22" i="16"/>
  <c r="C21" i="16" s="1"/>
  <c r="C23" i="16" s="1"/>
  <c r="C11" i="16"/>
  <c r="C10" i="16" s="1"/>
  <c r="C12" i="16" s="1"/>
  <c r="D6" i="16"/>
  <c r="C257" i="29"/>
  <c r="E54" i="29"/>
  <c r="O12" i="29"/>
  <c r="O10" i="32" s="1"/>
  <c r="O12" i="32" s="1"/>
  <c r="O9" i="32" s="1"/>
  <c r="N12" i="29"/>
  <c r="N13" i="32"/>
  <c r="O13" i="32"/>
  <c r="B18" i="32"/>
  <c r="C18" i="32"/>
  <c r="D18" i="32"/>
  <c r="E18" i="32"/>
  <c r="O18" i="32"/>
  <c r="O20" i="32"/>
  <c r="K21" i="32"/>
  <c r="L21" i="32"/>
  <c r="M21" i="32"/>
  <c r="N21" i="32"/>
  <c r="O21" i="32"/>
  <c r="B26" i="32"/>
  <c r="C26" i="32"/>
  <c r="D26" i="32"/>
  <c r="E26" i="32"/>
  <c r="K26" i="32"/>
  <c r="L26" i="32"/>
  <c r="M26" i="32"/>
  <c r="N26" i="32"/>
  <c r="O26" i="32"/>
  <c r="B29" i="32"/>
  <c r="C29" i="32"/>
  <c r="D29" i="32"/>
  <c r="E29" i="32"/>
  <c r="K29" i="32"/>
  <c r="L29" i="32"/>
  <c r="M29" i="32"/>
  <c r="N29" i="32"/>
  <c r="O29" i="32"/>
  <c r="A2" i="31"/>
  <c r="B5" i="31"/>
  <c r="B7" i="32" s="1"/>
  <c r="C5" i="31"/>
  <c r="C7" i="32" s="1"/>
  <c r="D5" i="31"/>
  <c r="D7" i="32" s="1"/>
  <c r="E5" i="31"/>
  <c r="E7" i="32" s="1"/>
  <c r="F5" i="31"/>
  <c r="F7" i="32" s="1"/>
  <c r="G5" i="31"/>
  <c r="G7" i="32" s="1"/>
  <c r="I5" i="31"/>
  <c r="I7" i="32" s="1"/>
  <c r="J5" i="31"/>
  <c r="J7" i="32" s="1"/>
  <c r="K5" i="31"/>
  <c r="K7" i="32" s="1"/>
  <c r="L5" i="31"/>
  <c r="L7" i="32" s="1"/>
  <c r="M5" i="31"/>
  <c r="M7" i="32" s="1"/>
  <c r="N5" i="31"/>
  <c r="N7" i="32" s="1"/>
  <c r="O5" i="31"/>
  <c r="O7" i="32" s="1"/>
  <c r="B6" i="31"/>
  <c r="B8" i="32" s="1"/>
  <c r="C6" i="31"/>
  <c r="C8" i="32" s="1"/>
  <c r="D6" i="31"/>
  <c r="D8" i="32" s="1"/>
  <c r="E6" i="31"/>
  <c r="E8" i="32" s="1"/>
  <c r="F6" i="31"/>
  <c r="F8" i="32" s="1"/>
  <c r="G6" i="31"/>
  <c r="G8" i="32" s="1"/>
  <c r="I6" i="31"/>
  <c r="I8" i="32" s="1"/>
  <c r="J6" i="31"/>
  <c r="J8" i="32" s="1"/>
  <c r="K6" i="31"/>
  <c r="K8" i="32" s="1"/>
  <c r="L6" i="31"/>
  <c r="L8" i="32" s="1"/>
  <c r="M6" i="31"/>
  <c r="M8" i="32" s="1"/>
  <c r="N6" i="31"/>
  <c r="N8" i="32" s="1"/>
  <c r="O6" i="31"/>
  <c r="O8" i="32" s="1"/>
  <c r="D13" i="31"/>
  <c r="N13" i="31"/>
  <c r="O13" i="31"/>
  <c r="B14" i="31"/>
  <c r="B38" i="32" s="1"/>
  <c r="C14" i="31"/>
  <c r="C38" i="32" s="1"/>
  <c r="D14" i="31"/>
  <c r="D38" i="32" s="1"/>
  <c r="E14" i="31"/>
  <c r="E38" i="32"/>
  <c r="F14" i="31"/>
  <c r="F38" i="32" s="1"/>
  <c r="G14" i="31"/>
  <c r="G38" i="32" s="1"/>
  <c r="I14" i="31"/>
  <c r="I38" i="32" s="1"/>
  <c r="J14" i="31"/>
  <c r="J38" i="32" s="1"/>
  <c r="B16" i="31"/>
  <c r="C16" i="31"/>
  <c r="D16" i="31"/>
  <c r="E16" i="31"/>
  <c r="F16" i="31"/>
  <c r="G16" i="31"/>
  <c r="B24" i="31"/>
  <c r="B23" i="31" s="1"/>
  <c r="C24" i="31"/>
  <c r="C23" i="31" s="1"/>
  <c r="D24" i="31"/>
  <c r="D23" i="31" s="1"/>
  <c r="E24" i="31"/>
  <c r="E23" i="31" s="1"/>
  <c r="F24" i="31"/>
  <c r="F23" i="31" s="1"/>
  <c r="I24" i="31"/>
  <c r="I23" i="31" s="1"/>
  <c r="J24" i="31"/>
  <c r="J23" i="31" s="1"/>
  <c r="K24" i="31"/>
  <c r="K23" i="31" s="1"/>
  <c r="L24" i="31"/>
  <c r="L23" i="31" s="1"/>
  <c r="M24" i="31"/>
  <c r="M23" i="31" s="1"/>
  <c r="N24" i="31"/>
  <c r="N23" i="31" s="1"/>
  <c r="O24" i="31"/>
  <c r="O23" i="31" s="1"/>
  <c r="K26" i="31"/>
  <c r="L26" i="31"/>
  <c r="M26" i="31"/>
  <c r="N26" i="31"/>
  <c r="O26" i="31"/>
  <c r="C27" i="31"/>
  <c r="D27" i="31"/>
  <c r="E27" i="31"/>
  <c r="K27" i="31"/>
  <c r="L27" i="31"/>
  <c r="M27" i="31"/>
  <c r="N27" i="31"/>
  <c r="O27" i="31"/>
  <c r="B29" i="31"/>
  <c r="C29" i="31"/>
  <c r="D29" i="31"/>
  <c r="E29" i="31"/>
  <c r="F29" i="31"/>
  <c r="G29" i="31"/>
  <c r="I29" i="31"/>
  <c r="J29" i="31"/>
  <c r="K29" i="31"/>
  <c r="L29" i="31"/>
  <c r="M29" i="31"/>
  <c r="N29" i="31"/>
  <c r="O29" i="31"/>
  <c r="D31" i="31"/>
  <c r="N31" i="31"/>
  <c r="O31" i="31"/>
  <c r="B6" i="30"/>
  <c r="C6" i="30"/>
  <c r="D6" i="30"/>
  <c r="E6" i="30"/>
  <c r="F6" i="30"/>
  <c r="G6" i="30"/>
  <c r="I6" i="30"/>
  <c r="J6" i="30"/>
  <c r="L6" i="30"/>
  <c r="M6" i="30"/>
  <c r="N6" i="30"/>
  <c r="O6" i="30"/>
  <c r="B7" i="30"/>
  <c r="C7" i="30"/>
  <c r="D7" i="30"/>
  <c r="E7" i="30"/>
  <c r="F7" i="30"/>
  <c r="G7" i="30"/>
  <c r="I7" i="30"/>
  <c r="J7" i="30"/>
  <c r="K7" i="30"/>
  <c r="L7" i="30"/>
  <c r="M7" i="30"/>
  <c r="N7" i="30"/>
  <c r="O7" i="30"/>
  <c r="J9" i="30"/>
  <c r="J25" i="32" s="1"/>
  <c r="E12" i="30"/>
  <c r="E28" i="32" s="1"/>
  <c r="F12" i="30"/>
  <c r="F28" i="32" s="1"/>
  <c r="G12" i="30"/>
  <c r="G28" i="32" s="1"/>
  <c r="I12" i="30"/>
  <c r="I28" i="32" s="1"/>
  <c r="J12" i="30"/>
  <c r="J28" i="32" s="1"/>
  <c r="K12" i="30"/>
  <c r="K28" i="32" s="1"/>
  <c r="L12" i="30"/>
  <c r="L28" i="32" s="1"/>
  <c r="M12" i="30"/>
  <c r="M28" i="32" s="1"/>
  <c r="N12" i="30"/>
  <c r="N28" i="32" s="1"/>
  <c r="O12" i="30"/>
  <c r="O28" i="32" s="1"/>
  <c r="B14" i="30"/>
  <c r="B30" i="32" s="1"/>
  <c r="C14" i="30"/>
  <c r="C30" i="32" s="1"/>
  <c r="D14" i="30"/>
  <c r="D30" i="32" s="1"/>
  <c r="E14" i="30"/>
  <c r="E30" i="32" s="1"/>
  <c r="F14" i="30"/>
  <c r="F30" i="32" s="1"/>
  <c r="G14" i="30"/>
  <c r="G30" i="32" s="1"/>
  <c r="I14" i="30"/>
  <c r="I30" i="32" s="1"/>
  <c r="J14" i="30"/>
  <c r="J30" i="32" s="1"/>
  <c r="K14" i="30"/>
  <c r="K30" i="32" s="1"/>
  <c r="L14" i="30"/>
  <c r="L30" i="32" s="1"/>
  <c r="M14" i="30"/>
  <c r="M30" i="32" s="1"/>
  <c r="N14" i="30"/>
  <c r="N30" i="32" s="1"/>
  <c r="O14" i="30"/>
  <c r="O30" i="32" s="1"/>
  <c r="B16" i="30"/>
  <c r="B32" i="32" s="1"/>
  <c r="C16" i="30"/>
  <c r="C32" i="32" s="1"/>
  <c r="D16" i="30"/>
  <c r="D32" i="32" s="1"/>
  <c r="E16" i="30"/>
  <c r="E32" i="32" s="1"/>
  <c r="F16" i="30"/>
  <c r="F32" i="32" s="1"/>
  <c r="G16" i="30"/>
  <c r="G32" i="32" s="1"/>
  <c r="I16" i="30"/>
  <c r="I32" i="32" s="1"/>
  <c r="J16" i="30"/>
  <c r="J32" i="32" s="1"/>
  <c r="D37" i="32"/>
  <c r="I22" i="30"/>
  <c r="O27" i="30"/>
  <c r="C28" i="30"/>
  <c r="D28" i="30"/>
  <c r="E28" i="30"/>
  <c r="K28" i="30"/>
  <c r="L28" i="30"/>
  <c r="M28" i="30"/>
  <c r="N28" i="30"/>
  <c r="O28" i="30"/>
  <c r="B30" i="30"/>
  <c r="C30" i="30"/>
  <c r="D30" i="30"/>
  <c r="E30" i="30"/>
  <c r="F30" i="30"/>
  <c r="G30" i="30"/>
  <c r="I30" i="30"/>
  <c r="J30" i="30"/>
  <c r="K30" i="30"/>
  <c r="L30" i="30"/>
  <c r="M30" i="30"/>
  <c r="N30" i="30"/>
  <c r="O30" i="30"/>
  <c r="N32" i="30"/>
  <c r="O32" i="30"/>
  <c r="B34" i="30"/>
  <c r="C34" i="30"/>
  <c r="D34" i="30"/>
  <c r="E34" i="30"/>
  <c r="F34" i="30"/>
  <c r="G34" i="30"/>
  <c r="I34" i="30"/>
  <c r="J34" i="30"/>
  <c r="K34" i="30"/>
  <c r="L34" i="30"/>
  <c r="M34" i="30"/>
  <c r="N34" i="30"/>
  <c r="O34" i="30"/>
  <c r="A44" i="30"/>
  <c r="A45" i="30"/>
  <c r="A47" i="30"/>
  <c r="A50" i="30"/>
  <c r="A51" i="30"/>
  <c r="A53" i="30"/>
  <c r="O13" i="29"/>
  <c r="O15" i="29" s="1"/>
  <c r="O11" i="32" s="1"/>
  <c r="B15" i="29"/>
  <c r="B11" i="32" s="1"/>
  <c r="C15" i="29"/>
  <c r="C11" i="32" s="1"/>
  <c r="D15" i="29"/>
  <c r="D11" i="32" s="1"/>
  <c r="E15" i="29"/>
  <c r="E11" i="32" s="1"/>
  <c r="F15" i="29"/>
  <c r="F11" i="32" s="1"/>
  <c r="G15" i="29"/>
  <c r="G11" i="32" s="1"/>
  <c r="H15" i="29"/>
  <c r="H11" i="32" s="1"/>
  <c r="I15" i="29"/>
  <c r="I11" i="32" s="1"/>
  <c r="J15" i="29"/>
  <c r="J11" i="32" s="1"/>
  <c r="K15" i="29"/>
  <c r="K11" i="32" s="1"/>
  <c r="L15" i="29"/>
  <c r="L11" i="32" s="1"/>
  <c r="N15" i="29"/>
  <c r="N11" i="32" s="1"/>
  <c r="N34" i="29"/>
  <c r="O34" i="29"/>
  <c r="O250" i="29" s="1"/>
  <c r="N35" i="29"/>
  <c r="O35" i="29" s="1"/>
  <c r="O37" i="29"/>
  <c r="O584" i="29" s="1"/>
  <c r="N39" i="29"/>
  <c r="N37" i="29" s="1"/>
  <c r="N42" i="29"/>
  <c r="N45" i="29"/>
  <c r="N48" i="29"/>
  <c r="N50" i="29"/>
  <c r="N20" i="32" s="1"/>
  <c r="C54" i="29"/>
  <c r="D54" i="29"/>
  <c r="F54" i="29"/>
  <c r="G54" i="29"/>
  <c r="H54" i="29"/>
  <c r="B60" i="29"/>
  <c r="B123" i="29" s="1"/>
  <c r="B173" i="29" s="1"/>
  <c r="B222" i="29" s="1"/>
  <c r="B273" i="29" s="1"/>
  <c r="B328" i="29" s="1"/>
  <c r="B386" i="29" s="1"/>
  <c r="B425" i="29" s="1"/>
  <c r="B475" i="29" s="1"/>
  <c r="B518" i="29" s="1"/>
  <c r="B570" i="29" s="1"/>
  <c r="C60" i="29"/>
  <c r="D60" i="29"/>
  <c r="D123" i="29" s="1"/>
  <c r="D173" i="29" s="1"/>
  <c r="D222" i="29" s="1"/>
  <c r="D273" i="29" s="1"/>
  <c r="D328" i="29" s="1"/>
  <c r="D386" i="29" s="1"/>
  <c r="D425" i="29" s="1"/>
  <c r="D475" i="29" s="1"/>
  <c r="D518" i="29" s="1"/>
  <c r="D570" i="29" s="1"/>
  <c r="E60" i="29"/>
  <c r="E123" i="29" s="1"/>
  <c r="E173" i="29" s="1"/>
  <c r="E222" i="29" s="1"/>
  <c r="E273" i="29" s="1"/>
  <c r="E328" i="29" s="1"/>
  <c r="E386" i="29" s="1"/>
  <c r="E425" i="29" s="1"/>
  <c r="E475" i="29" s="1"/>
  <c r="E518" i="29" s="1"/>
  <c r="E570" i="29" s="1"/>
  <c r="F60" i="29"/>
  <c r="F123" i="29" s="1"/>
  <c r="F173" i="29" s="1"/>
  <c r="F222" i="29" s="1"/>
  <c r="F273" i="29" s="1"/>
  <c r="F328" i="29" s="1"/>
  <c r="F386" i="29" s="1"/>
  <c r="F425" i="29" s="1"/>
  <c r="F475" i="29" s="1"/>
  <c r="F518" i="29" s="1"/>
  <c r="F570" i="29" s="1"/>
  <c r="G60" i="29"/>
  <c r="I60" i="29"/>
  <c r="I123" i="29" s="1"/>
  <c r="I173" i="29" s="1"/>
  <c r="I222" i="29" s="1"/>
  <c r="I273" i="29" s="1"/>
  <c r="I328" i="29" s="1"/>
  <c r="I386" i="29" s="1"/>
  <c r="I425" i="29" s="1"/>
  <c r="I475" i="29" s="1"/>
  <c r="I518" i="29" s="1"/>
  <c r="I570" i="29" s="1"/>
  <c r="J60" i="29"/>
  <c r="J123" i="29" s="1"/>
  <c r="J173" i="29" s="1"/>
  <c r="J222" i="29" s="1"/>
  <c r="J273" i="29" s="1"/>
  <c r="J328" i="29" s="1"/>
  <c r="J386" i="29" s="1"/>
  <c r="J425" i="29" s="1"/>
  <c r="J475" i="29" s="1"/>
  <c r="J518" i="29" s="1"/>
  <c r="J570" i="29" s="1"/>
  <c r="K60" i="29"/>
  <c r="K123" i="29" s="1"/>
  <c r="K173" i="29" s="1"/>
  <c r="K222" i="29" s="1"/>
  <c r="K273" i="29" s="1"/>
  <c r="K328" i="29" s="1"/>
  <c r="K386" i="29" s="1"/>
  <c r="K425" i="29" s="1"/>
  <c r="K475" i="29" s="1"/>
  <c r="K518" i="29" s="1"/>
  <c r="K570" i="29" s="1"/>
  <c r="L60" i="29"/>
  <c r="L123" i="29" s="1"/>
  <c r="L173" i="29" s="1"/>
  <c r="L222" i="29" s="1"/>
  <c r="L273" i="29" s="1"/>
  <c r="L328" i="29" s="1"/>
  <c r="L386" i="29" s="1"/>
  <c r="L425" i="29" s="1"/>
  <c r="L475" i="29" s="1"/>
  <c r="L518" i="29" s="1"/>
  <c r="L570" i="29" s="1"/>
  <c r="N60" i="29"/>
  <c r="N123" i="29" s="1"/>
  <c r="N173" i="29" s="1"/>
  <c r="N222" i="29" s="1"/>
  <c r="N273" i="29" s="1"/>
  <c r="N328" i="29" s="1"/>
  <c r="N386" i="29" s="1"/>
  <c r="N425" i="29" s="1"/>
  <c r="N475" i="29" s="1"/>
  <c r="N518" i="29" s="1"/>
  <c r="N570" i="29" s="1"/>
  <c r="O60" i="29"/>
  <c r="O123" i="29" s="1"/>
  <c r="O173" i="29" s="1"/>
  <c r="O222" i="29" s="1"/>
  <c r="O273" i="29" s="1"/>
  <c r="O328" i="29" s="1"/>
  <c r="O386" i="29" s="1"/>
  <c r="O425" i="29" s="1"/>
  <c r="O475" i="29" s="1"/>
  <c r="O518" i="29" s="1"/>
  <c r="O570" i="29" s="1"/>
  <c r="B61" i="29"/>
  <c r="B124" i="29" s="1"/>
  <c r="B174" i="29" s="1"/>
  <c r="B223" i="29" s="1"/>
  <c r="B274" i="29" s="1"/>
  <c r="B329" i="29" s="1"/>
  <c r="B387" i="29" s="1"/>
  <c r="B426" i="29" s="1"/>
  <c r="B476" i="29" s="1"/>
  <c r="B519" i="29" s="1"/>
  <c r="B571" i="29" s="1"/>
  <c r="C61" i="29"/>
  <c r="C124" i="29" s="1"/>
  <c r="C174" i="29" s="1"/>
  <c r="C223" i="29" s="1"/>
  <c r="C274" i="29" s="1"/>
  <c r="C329" i="29" s="1"/>
  <c r="C387" i="29" s="1"/>
  <c r="C426" i="29" s="1"/>
  <c r="C476" i="29" s="1"/>
  <c r="C519" i="29" s="1"/>
  <c r="C571" i="29" s="1"/>
  <c r="D61" i="29"/>
  <c r="E61" i="29"/>
  <c r="E124" i="29" s="1"/>
  <c r="E174" i="29" s="1"/>
  <c r="E223" i="29" s="1"/>
  <c r="E274" i="29" s="1"/>
  <c r="E329" i="29" s="1"/>
  <c r="E387" i="29" s="1"/>
  <c r="E426" i="29" s="1"/>
  <c r="E476" i="29" s="1"/>
  <c r="E519" i="29" s="1"/>
  <c r="E571" i="29" s="1"/>
  <c r="F61" i="29"/>
  <c r="F124" i="29" s="1"/>
  <c r="F174" i="29" s="1"/>
  <c r="F223" i="29" s="1"/>
  <c r="F274" i="29" s="1"/>
  <c r="F329" i="29" s="1"/>
  <c r="F387" i="29" s="1"/>
  <c r="F426" i="29" s="1"/>
  <c r="F476" i="29" s="1"/>
  <c r="F519" i="29" s="1"/>
  <c r="F571" i="29" s="1"/>
  <c r="G61" i="29"/>
  <c r="G124" i="29" s="1"/>
  <c r="G174" i="29" s="1"/>
  <c r="G223" i="29" s="1"/>
  <c r="G274" i="29" s="1"/>
  <c r="G329" i="29" s="1"/>
  <c r="G387" i="29" s="1"/>
  <c r="G426" i="29" s="1"/>
  <c r="G476" i="29" s="1"/>
  <c r="G519" i="29" s="1"/>
  <c r="G571" i="29" s="1"/>
  <c r="I61" i="29"/>
  <c r="I124" i="29" s="1"/>
  <c r="I174" i="29" s="1"/>
  <c r="I223" i="29" s="1"/>
  <c r="I274" i="29" s="1"/>
  <c r="I329" i="29" s="1"/>
  <c r="I387" i="29" s="1"/>
  <c r="I426" i="29" s="1"/>
  <c r="I476" i="29" s="1"/>
  <c r="I519" i="29" s="1"/>
  <c r="I571" i="29" s="1"/>
  <c r="J61" i="29"/>
  <c r="J124" i="29" s="1"/>
  <c r="J174" i="29" s="1"/>
  <c r="J223" i="29" s="1"/>
  <c r="J274" i="29" s="1"/>
  <c r="J329" i="29" s="1"/>
  <c r="J387" i="29" s="1"/>
  <c r="J426" i="29" s="1"/>
  <c r="J476" i="29" s="1"/>
  <c r="J519" i="29" s="1"/>
  <c r="J571" i="29" s="1"/>
  <c r="K61" i="29"/>
  <c r="K124" i="29" s="1"/>
  <c r="K174" i="29" s="1"/>
  <c r="K223" i="29" s="1"/>
  <c r="K274" i="29" s="1"/>
  <c r="K329" i="29" s="1"/>
  <c r="K387" i="29" s="1"/>
  <c r="K426" i="29" s="1"/>
  <c r="K476" i="29" s="1"/>
  <c r="K519" i="29" s="1"/>
  <c r="K571" i="29" s="1"/>
  <c r="L61" i="29"/>
  <c r="L124" i="29" s="1"/>
  <c r="L174" i="29" s="1"/>
  <c r="L223" i="29" s="1"/>
  <c r="L274" i="29" s="1"/>
  <c r="L329" i="29" s="1"/>
  <c r="L387" i="29" s="1"/>
  <c r="L426" i="29" s="1"/>
  <c r="L476" i="29" s="1"/>
  <c r="L519" i="29" s="1"/>
  <c r="L571" i="29" s="1"/>
  <c r="N61" i="29"/>
  <c r="N124" i="29"/>
  <c r="N174" i="29" s="1"/>
  <c r="N223" i="29" s="1"/>
  <c r="N274" i="29" s="1"/>
  <c r="N329" i="29" s="1"/>
  <c r="N387" i="29" s="1"/>
  <c r="N426" i="29" s="1"/>
  <c r="N476" i="29" s="1"/>
  <c r="N519" i="29" s="1"/>
  <c r="N571" i="29" s="1"/>
  <c r="O61" i="29"/>
  <c r="O124" i="29" s="1"/>
  <c r="O174" i="29" s="1"/>
  <c r="O223" i="29" s="1"/>
  <c r="O274" i="29" s="1"/>
  <c r="O329" i="29" s="1"/>
  <c r="O387" i="29" s="1"/>
  <c r="O426" i="29" s="1"/>
  <c r="O476" i="29" s="1"/>
  <c r="O519" i="29" s="1"/>
  <c r="O571" i="29" s="1"/>
  <c r="I54" i="29"/>
  <c r="J54" i="29"/>
  <c r="K54" i="29"/>
  <c r="N54" i="29"/>
  <c r="N63" i="29"/>
  <c r="O54" i="29" s="1"/>
  <c r="C67" i="29"/>
  <c r="D67" i="29"/>
  <c r="F67" i="29"/>
  <c r="G67" i="29"/>
  <c r="H67" i="29"/>
  <c r="I67" i="29"/>
  <c r="J67" i="29"/>
  <c r="K67" i="29"/>
  <c r="N67" i="29"/>
  <c r="N71" i="29"/>
  <c r="O67" i="29" s="1"/>
  <c r="N75" i="29"/>
  <c r="N82" i="29"/>
  <c r="N23" i="32" s="1"/>
  <c r="O82" i="29"/>
  <c r="O23" i="32"/>
  <c r="K91" i="29"/>
  <c r="K101" i="29" s="1"/>
  <c r="K15" i="32" s="1"/>
  <c r="N89" i="29"/>
  <c r="N91" i="29" s="1"/>
  <c r="N101" i="29" s="1"/>
  <c r="N15" i="32" s="1"/>
  <c r="B91" i="29"/>
  <c r="C91" i="29"/>
  <c r="D91" i="29"/>
  <c r="E91" i="29"/>
  <c r="F91" i="29"/>
  <c r="G91" i="29"/>
  <c r="G101" i="29" s="1"/>
  <c r="G15" i="32" s="1"/>
  <c r="H91" i="29"/>
  <c r="H101" i="29" s="1"/>
  <c r="H15" i="32" s="1"/>
  <c r="I91" i="29"/>
  <c r="I101" i="29" s="1"/>
  <c r="I15" i="32" s="1"/>
  <c r="J91" i="29"/>
  <c r="J101" i="29" s="1"/>
  <c r="J15" i="32" s="1"/>
  <c r="L91" i="29"/>
  <c r="L101" i="29" s="1"/>
  <c r="L15" i="32" s="1"/>
  <c r="O91" i="29"/>
  <c r="O101" i="29" s="1"/>
  <c r="O15" i="32" s="1"/>
  <c r="B99" i="29"/>
  <c r="B21" i="32" s="1"/>
  <c r="C99" i="29"/>
  <c r="C21" i="32" s="1"/>
  <c r="D99" i="29"/>
  <c r="D21" i="32" s="1"/>
  <c r="E99" i="29"/>
  <c r="E21" i="32" s="1"/>
  <c r="F101" i="29"/>
  <c r="F15" i="32" s="1"/>
  <c r="K18" i="32"/>
  <c r="L18" i="32"/>
  <c r="M18" i="32"/>
  <c r="N105" i="29"/>
  <c r="N18" i="32" s="1"/>
  <c r="C123" i="29"/>
  <c r="C173" i="29" s="1"/>
  <c r="C222" i="29" s="1"/>
  <c r="C273" i="29" s="1"/>
  <c r="C328" i="29" s="1"/>
  <c r="C386" i="29" s="1"/>
  <c r="C425" i="29" s="1"/>
  <c r="C475" i="29" s="1"/>
  <c r="C518" i="29" s="1"/>
  <c r="C570" i="29" s="1"/>
  <c r="G123" i="29"/>
  <c r="G173" i="29" s="1"/>
  <c r="G222" i="29" s="1"/>
  <c r="G273" i="29" s="1"/>
  <c r="G328" i="29" s="1"/>
  <c r="G386" i="29" s="1"/>
  <c r="G425" i="29" s="1"/>
  <c r="G475" i="29" s="1"/>
  <c r="G518" i="29" s="1"/>
  <c r="G570" i="29" s="1"/>
  <c r="D124" i="29"/>
  <c r="D174" i="29" s="1"/>
  <c r="D223" i="29" s="1"/>
  <c r="D274" i="29" s="1"/>
  <c r="D329" i="29" s="1"/>
  <c r="D387" i="29" s="1"/>
  <c r="D426" i="29" s="1"/>
  <c r="D476" i="29" s="1"/>
  <c r="D519" i="29" s="1"/>
  <c r="D571" i="29" s="1"/>
  <c r="K27" i="30"/>
  <c r="M27" i="30"/>
  <c r="N134" i="29"/>
  <c r="K138" i="29"/>
  <c r="O138" i="29"/>
  <c r="N156" i="29"/>
  <c r="N164" i="29" s="1"/>
  <c r="N548" i="29" s="1"/>
  <c r="O156" i="29"/>
  <c r="N181" i="29"/>
  <c r="N18" i="30" s="1"/>
  <c r="O181" i="29"/>
  <c r="O18" i="30" s="1"/>
  <c r="B234" i="29"/>
  <c r="B26" i="31" s="1"/>
  <c r="B238" i="29"/>
  <c r="C238" i="29"/>
  <c r="D238" i="29"/>
  <c r="E238" i="29"/>
  <c r="F238" i="29"/>
  <c r="G238" i="29"/>
  <c r="I238" i="29"/>
  <c r="K238" i="29"/>
  <c r="L238" i="29"/>
  <c r="N238" i="29"/>
  <c r="O238" i="29"/>
  <c r="J238" i="29"/>
  <c r="B248" i="29"/>
  <c r="C248" i="29"/>
  <c r="D248" i="29"/>
  <c r="E248" i="29"/>
  <c r="F248" i="29"/>
  <c r="H248" i="29"/>
  <c r="G250" i="29"/>
  <c r="I250" i="29"/>
  <c r="J250" i="29"/>
  <c r="J248" i="29" s="1"/>
  <c r="K250" i="29"/>
  <c r="K248" i="29" s="1"/>
  <c r="L250" i="29"/>
  <c r="N251" i="29"/>
  <c r="B253" i="29"/>
  <c r="C253" i="29"/>
  <c r="D253" i="29"/>
  <c r="E253" i="29"/>
  <c r="F253" i="29"/>
  <c r="G253" i="29"/>
  <c r="H253" i="29"/>
  <c r="I253" i="29"/>
  <c r="J253" i="29"/>
  <c r="K253" i="29"/>
  <c r="O253" i="29"/>
  <c r="B255" i="29"/>
  <c r="C255" i="29"/>
  <c r="C357" i="29" s="1"/>
  <c r="D255" i="29"/>
  <c r="D357" i="29" s="1"/>
  <c r="E255" i="29"/>
  <c r="F255" i="29"/>
  <c r="F357" i="29" s="1"/>
  <c r="G255" i="29"/>
  <c r="G357" i="29" s="1"/>
  <c r="H255" i="29"/>
  <c r="I255" i="29"/>
  <c r="I357" i="29" s="1"/>
  <c r="J255" i="29"/>
  <c r="J357" i="29" s="1"/>
  <c r="K255" i="29"/>
  <c r="O255" i="29"/>
  <c r="O357" i="29" s="1"/>
  <c r="B257" i="29"/>
  <c r="D257" i="29"/>
  <c r="G257" i="29"/>
  <c r="E257" i="29"/>
  <c r="F257" i="29"/>
  <c r="H257" i="29"/>
  <c r="I257" i="29"/>
  <c r="J257" i="29"/>
  <c r="K257" i="29"/>
  <c r="M505" i="29"/>
  <c r="N259" i="29"/>
  <c r="L14" i="31"/>
  <c r="M14" i="31"/>
  <c r="M38" i="32" s="1"/>
  <c r="I292" i="29"/>
  <c r="J292" i="29" s="1"/>
  <c r="J298" i="29" s="1"/>
  <c r="B330" i="29"/>
  <c r="C330" i="29"/>
  <c r="D330" i="29"/>
  <c r="E330" i="29"/>
  <c r="G330" i="29"/>
  <c r="I330" i="29"/>
  <c r="J330" i="29"/>
  <c r="K330" i="29"/>
  <c r="L330" i="29"/>
  <c r="N330" i="29"/>
  <c r="O330" i="29"/>
  <c r="B338" i="29"/>
  <c r="B339" i="29" s="1"/>
  <c r="C338" i="29"/>
  <c r="D338" i="29"/>
  <c r="D339" i="29" s="1"/>
  <c r="E338" i="29"/>
  <c r="F338" i="29"/>
  <c r="F339" i="29" s="1"/>
  <c r="H339" i="29"/>
  <c r="B341" i="29"/>
  <c r="C341" i="29"/>
  <c r="D341" i="29"/>
  <c r="E341" i="29"/>
  <c r="F341" i="29"/>
  <c r="G341" i="29"/>
  <c r="H341" i="29"/>
  <c r="H335" i="29" s="1"/>
  <c r="I341" i="29"/>
  <c r="J341" i="29"/>
  <c r="K341" i="29"/>
  <c r="B349" i="29"/>
  <c r="C349" i="29"/>
  <c r="D349" i="29"/>
  <c r="E349" i="29"/>
  <c r="F349" i="29"/>
  <c r="G349" i="29"/>
  <c r="H349" i="29"/>
  <c r="I349" i="29"/>
  <c r="J349" i="29"/>
  <c r="K349" i="29"/>
  <c r="B353" i="29"/>
  <c r="C353" i="29"/>
  <c r="D353" i="29"/>
  <c r="E353" i="29"/>
  <c r="F353" i="29"/>
  <c r="G353" i="29"/>
  <c r="H353" i="29"/>
  <c r="I353" i="29"/>
  <c r="J353" i="29"/>
  <c r="K353" i="29"/>
  <c r="O353" i="29"/>
  <c r="B363" i="29"/>
  <c r="C363" i="29"/>
  <c r="D363" i="29"/>
  <c r="E363" i="29"/>
  <c r="F363" i="29"/>
  <c r="G363" i="29"/>
  <c r="I363" i="29"/>
  <c r="J363" i="29"/>
  <c r="K363" i="29"/>
  <c r="L363" i="29"/>
  <c r="N363" i="29"/>
  <c r="O363" i="29"/>
  <c r="B366" i="29"/>
  <c r="C366" i="29"/>
  <c r="D366" i="29"/>
  <c r="E366" i="29"/>
  <c r="H503" i="29" s="1"/>
  <c r="F366" i="29"/>
  <c r="G366" i="29"/>
  <c r="I366" i="29"/>
  <c r="J366" i="29"/>
  <c r="J503" i="29" s="1"/>
  <c r="K366" i="29"/>
  <c r="L366" i="29"/>
  <c r="N366" i="29"/>
  <c r="N503" i="29" s="1"/>
  <c r="O366" i="29"/>
  <c r="O503" i="29" s="1"/>
  <c r="K369" i="29"/>
  <c r="L369" i="29"/>
  <c r="N369" i="29"/>
  <c r="O369" i="29"/>
  <c r="O507" i="29" s="1"/>
  <c r="D372" i="29"/>
  <c r="N372" i="29"/>
  <c r="O372" i="29"/>
  <c r="E385" i="29"/>
  <c r="E424" i="29" s="1"/>
  <c r="H386" i="29"/>
  <c r="H387" i="29"/>
  <c r="H426" i="29" s="1"/>
  <c r="C398" i="29"/>
  <c r="D398" i="29"/>
  <c r="E398" i="29"/>
  <c r="K398" i="29"/>
  <c r="L398" i="29"/>
  <c r="N398" i="29"/>
  <c r="O398" i="29"/>
  <c r="B400" i="29"/>
  <c r="C400" i="29"/>
  <c r="D400" i="29"/>
  <c r="E400" i="29"/>
  <c r="F400" i="29"/>
  <c r="G400" i="29"/>
  <c r="I400" i="29"/>
  <c r="J400" i="29"/>
  <c r="K400" i="29"/>
  <c r="L400" i="29"/>
  <c r="N400" i="29"/>
  <c r="O400" i="29"/>
  <c r="N401" i="29"/>
  <c r="O401" i="29"/>
  <c r="B403" i="29"/>
  <c r="C403" i="29"/>
  <c r="D403" i="29"/>
  <c r="E403" i="29"/>
  <c r="F403" i="29"/>
  <c r="G403" i="29"/>
  <c r="I403" i="29"/>
  <c r="J403" i="29"/>
  <c r="K403" i="29"/>
  <c r="L403" i="29"/>
  <c r="N403" i="29"/>
  <c r="O403" i="29"/>
  <c r="H425" i="29"/>
  <c r="N435" i="29"/>
  <c r="O435" i="29"/>
  <c r="C438" i="29"/>
  <c r="D438" i="29"/>
  <c r="E438" i="29"/>
  <c r="F438" i="29"/>
  <c r="G438" i="29"/>
  <c r="I438" i="29"/>
  <c r="J438" i="29"/>
  <c r="K438" i="29"/>
  <c r="L438" i="29"/>
  <c r="N438" i="29"/>
  <c r="O438" i="29"/>
  <c r="C466" i="29"/>
  <c r="D466" i="29"/>
  <c r="E466" i="29"/>
  <c r="F466" i="29"/>
  <c r="G466" i="29"/>
  <c r="I466" i="29"/>
  <c r="J466" i="29"/>
  <c r="K466" i="29"/>
  <c r="L466" i="29"/>
  <c r="N466" i="29"/>
  <c r="O466" i="29"/>
  <c r="C477" i="29"/>
  <c r="D477" i="29"/>
  <c r="E477" i="29"/>
  <c r="B479" i="29"/>
  <c r="B489" i="29" s="1"/>
  <c r="F491" i="29"/>
  <c r="C497" i="29"/>
  <c r="D497" i="29"/>
  <c r="E497" i="29"/>
  <c r="F497" i="29"/>
  <c r="H497" i="29"/>
  <c r="C505" i="29"/>
  <c r="D505" i="29"/>
  <c r="E505" i="29"/>
  <c r="F505" i="29"/>
  <c r="G505" i="29"/>
  <c r="H505" i="29"/>
  <c r="I505" i="29"/>
  <c r="J505" i="29"/>
  <c r="K505" i="29"/>
  <c r="B509" i="29"/>
  <c r="B575" i="29"/>
  <c r="C575" i="29"/>
  <c r="D575" i="29"/>
  <c r="E575" i="29"/>
  <c r="F575" i="29"/>
  <c r="G575" i="29"/>
  <c r="H575" i="29"/>
  <c r="I575" i="29"/>
  <c r="J575" i="29"/>
  <c r="K575" i="29"/>
  <c r="L575" i="29"/>
  <c r="N575" i="29"/>
  <c r="N576" i="29"/>
  <c r="O576" i="29"/>
  <c r="B581" i="29"/>
  <c r="C581" i="29"/>
  <c r="D581" i="29"/>
  <c r="E581" i="29"/>
  <c r="F581" i="29"/>
  <c r="G581" i="29"/>
  <c r="H581" i="29"/>
  <c r="I581" i="29"/>
  <c r="J581" i="29"/>
  <c r="K581" i="29"/>
  <c r="L581" i="29"/>
  <c r="N581" i="29"/>
  <c r="O581" i="29"/>
  <c r="N582" i="29"/>
  <c r="O582" i="29"/>
  <c r="B590" i="29"/>
  <c r="C590" i="29"/>
  <c r="D590" i="29"/>
  <c r="E590" i="29"/>
  <c r="F590" i="29"/>
  <c r="G590" i="29"/>
  <c r="H590" i="29"/>
  <c r="I590" i="29"/>
  <c r="J590" i="29"/>
  <c r="K590" i="29"/>
  <c r="L590" i="29"/>
  <c r="N590" i="29"/>
  <c r="O590" i="29"/>
  <c r="B609" i="29"/>
  <c r="D609" i="29"/>
  <c r="E609" i="29"/>
  <c r="N609" i="29"/>
  <c r="O609" i="29"/>
  <c r="B610" i="29"/>
  <c r="C610" i="29"/>
  <c r="D610" i="29"/>
  <c r="E610" i="29"/>
  <c r="F610" i="29"/>
  <c r="G610" i="29"/>
  <c r="H610" i="29"/>
  <c r="I610" i="29"/>
  <c r="J610" i="29"/>
  <c r="K610" i="29"/>
  <c r="L610" i="29"/>
  <c r="N610" i="29"/>
  <c r="O610" i="29"/>
  <c r="B611" i="29"/>
  <c r="C611" i="29"/>
  <c r="D611" i="29"/>
  <c r="E611" i="29"/>
  <c r="N611" i="29"/>
  <c r="O611" i="29"/>
  <c r="B617" i="29"/>
  <c r="C617" i="29"/>
  <c r="D617" i="29"/>
  <c r="E617" i="29"/>
  <c r="F617" i="29"/>
  <c r="G617" i="29"/>
  <c r="H617" i="29"/>
  <c r="I617" i="29"/>
  <c r="J617" i="29"/>
  <c r="K617" i="29"/>
  <c r="L617" i="29"/>
  <c r="N617" i="29"/>
  <c r="O617" i="29"/>
  <c r="B618" i="29"/>
  <c r="C618" i="29"/>
  <c r="D618" i="29"/>
  <c r="E618" i="29"/>
  <c r="F618" i="29"/>
  <c r="G618" i="29"/>
  <c r="I618" i="29"/>
  <c r="J618" i="29"/>
  <c r="K618" i="29"/>
  <c r="L618" i="29"/>
  <c r="N618" i="29"/>
  <c r="O618" i="29"/>
  <c r="C632" i="29"/>
  <c r="E632" i="29"/>
  <c r="I632" i="29"/>
  <c r="O632" i="29"/>
  <c r="C401" i="29"/>
  <c r="T18" i="33"/>
  <c r="B298" i="29"/>
  <c r="D101" i="29"/>
  <c r="D15" i="32" s="1"/>
  <c r="U10" i="33"/>
  <c r="N353" i="29"/>
  <c r="T20" i="33"/>
  <c r="O574" i="29"/>
  <c r="B398" i="29"/>
  <c r="B369" i="29"/>
  <c r="N253" i="29"/>
  <c r="O580" i="29"/>
  <c r="L338" i="29"/>
  <c r="L339" i="29" s="1"/>
  <c r="L248" i="29"/>
  <c r="O192" i="29"/>
  <c r="L13" i="31"/>
  <c r="K13" i="31"/>
  <c r="A12" i="34"/>
  <c r="A13" i="34" s="1"/>
  <c r="A14" i="34" s="1"/>
  <c r="A15" i="34" s="1"/>
  <c r="A16" i="34" s="1"/>
  <c r="A17" i="34" s="1"/>
  <c r="A18" i="34" s="1"/>
  <c r="A19" i="34" s="1"/>
  <c r="A20" i="34" s="1"/>
  <c r="A21" i="34" s="1"/>
  <c r="A22" i="34" s="1"/>
  <c r="A23" i="34" s="1"/>
  <c r="A24" i="34" s="1"/>
  <c r="A25" i="34" s="1"/>
  <c r="A37" i="34" s="1"/>
  <c r="A49" i="34" s="1"/>
  <c r="G497" i="29"/>
  <c r="K437" i="29"/>
  <c r="B372" i="29"/>
  <c r="O575" i="29"/>
  <c r="O573" i="29" s="1"/>
  <c r="D499" i="29"/>
  <c r="H632" i="29"/>
  <c r="D632" i="29"/>
  <c r="M503" i="29"/>
  <c r="M497" i="29"/>
  <c r="I491" i="29"/>
  <c r="K14" i="31"/>
  <c r="K38" i="32" s="1"/>
  <c r="L257" i="29"/>
  <c r="L505" i="29"/>
  <c r="L349" i="29"/>
  <c r="L255" i="29"/>
  <c r="L253" i="29"/>
  <c r="L247" i="29" s="1"/>
  <c r="L22" i="31" s="1"/>
  <c r="D26" i="22"/>
  <c r="C50" i="29" s="1"/>
  <c r="C27" i="30"/>
  <c r="D491" i="29"/>
  <c r="E491" i="29"/>
  <c r="G27" i="30"/>
  <c r="I248" i="29"/>
  <c r="I247" i="29" s="1"/>
  <c r="I22" i="31" s="1"/>
  <c r="N370" i="29"/>
  <c r="N595" i="29" s="1"/>
  <c r="D503" i="29"/>
  <c r="E503" i="29"/>
  <c r="L353" i="29"/>
  <c r="L341" i="29"/>
  <c r="L497" i="29"/>
  <c r="S23" i="33"/>
  <c r="B19" i="30"/>
  <c r="B37" i="32" s="1"/>
  <c r="E437" i="29"/>
  <c r="E9" i="30"/>
  <c r="E25" i="32" s="1"/>
  <c r="C298" i="29"/>
  <c r="C13" i="31"/>
  <c r="C17" i="31" s="1"/>
  <c r="G236" i="29"/>
  <c r="H236" i="29" s="1"/>
  <c r="E234" i="29"/>
  <c r="E372" i="29"/>
  <c r="L9" i="30"/>
  <c r="L25" i="32" s="1"/>
  <c r="L437" i="29"/>
  <c r="M18" i="30"/>
  <c r="J501" i="29"/>
  <c r="E357" i="29"/>
  <c r="T21" i="33"/>
  <c r="N287" i="29"/>
  <c r="N14" i="31" s="1"/>
  <c r="N38" i="32" s="1"/>
  <c r="C31" i="30"/>
  <c r="S10" i="33"/>
  <c r="U7" i="33"/>
  <c r="L38" i="32"/>
  <c r="M9" i="30"/>
  <c r="M25" i="32" s="1"/>
  <c r="N138" i="29"/>
  <c r="N632" i="29" s="1"/>
  <c r="N27" i="30"/>
  <c r="N35" i="30" s="1"/>
  <c r="N54" i="32" s="1"/>
  <c r="L138" i="29"/>
  <c r="L27" i="30"/>
  <c r="T6" i="33"/>
  <c r="K338" i="29"/>
  <c r="M16" i="30"/>
  <c r="M32" i="32" s="1"/>
  <c r="AA25" i="33"/>
  <c r="H18" i="20" s="1"/>
  <c r="L16" i="30"/>
  <c r="L32" i="32" s="1"/>
  <c r="R11" i="33"/>
  <c r="R10" i="33"/>
  <c r="R9" i="33"/>
  <c r="S13" i="33"/>
  <c r="E298" i="29"/>
  <c r="E13" i="31"/>
  <c r="K16" i="30"/>
  <c r="K32" i="32" s="1"/>
  <c r="U15" i="33"/>
  <c r="S21" i="33"/>
  <c r="S19" i="33"/>
  <c r="O35" i="30"/>
  <c r="O54" i="32" s="1"/>
  <c r="E612" i="29"/>
  <c r="F13" i="31"/>
  <c r="F298" i="29"/>
  <c r="F461" i="29" s="1"/>
  <c r="G28" i="30"/>
  <c r="F28" i="30"/>
  <c r="F398" i="29"/>
  <c r="G298" i="29"/>
  <c r="G446" i="29" s="1"/>
  <c r="G13" i="31"/>
  <c r="G17" i="31" s="1"/>
  <c r="F27" i="31"/>
  <c r="G611" i="29"/>
  <c r="G31" i="31"/>
  <c r="G27" i="31"/>
  <c r="T16" i="33"/>
  <c r="O579" i="29"/>
  <c r="H403" i="29"/>
  <c r="H618" i="29"/>
  <c r="F335" i="29"/>
  <c r="O16" i="29"/>
  <c r="O19" i="29" s="1"/>
  <c r="C339" i="29"/>
  <c r="C445" i="29"/>
  <c r="E26" i="31"/>
  <c r="E23" i="26"/>
  <c r="N16" i="30"/>
  <c r="N32" i="32" s="1"/>
  <c r="L335" i="29"/>
  <c r="M36" i="32"/>
  <c r="F609" i="29"/>
  <c r="F234" i="29"/>
  <c r="F26" i="31" s="1"/>
  <c r="M501" i="29"/>
  <c r="M491" i="29"/>
  <c r="C446" i="29"/>
  <c r="L499" i="29"/>
  <c r="L357" i="29"/>
  <c r="L632" i="29"/>
  <c r="N166" i="29"/>
  <c r="N491" i="29"/>
  <c r="O491" i="29"/>
  <c r="G398" i="29"/>
  <c r="H28" i="30"/>
  <c r="H398" i="29"/>
  <c r="H13" i="31"/>
  <c r="H17" i="31" s="1"/>
  <c r="H298" i="29"/>
  <c r="H31" i="31"/>
  <c r="H27" i="31"/>
  <c r="H611" i="29"/>
  <c r="H461" i="29"/>
  <c r="I28" i="30"/>
  <c r="I398" i="29"/>
  <c r="I13" i="31"/>
  <c r="I31" i="31"/>
  <c r="I611" i="29"/>
  <c r="I27" i="31"/>
  <c r="J28" i="30"/>
  <c r="J398" i="29"/>
  <c r="J13" i="31"/>
  <c r="J611" i="29"/>
  <c r="J31" i="31"/>
  <c r="J27" i="31"/>
  <c r="B10" i="17"/>
  <c r="B9" i="17"/>
  <c r="B8" i="17"/>
  <c r="B7" i="17"/>
  <c r="B6" i="17"/>
  <c r="B5" i="17"/>
  <c r="D8" i="15"/>
  <c r="D10" i="15"/>
  <c r="B11" i="17"/>
  <c r="B16" i="17"/>
  <c r="B15" i="17"/>
  <c r="B14" i="17"/>
  <c r="B13" i="17"/>
  <c r="B12" i="17"/>
  <c r="C2" i="17"/>
  <c r="B2" i="17"/>
  <c r="G19" i="20"/>
  <c r="H19" i="20" s="1"/>
  <c r="I19" i="20" s="1"/>
  <c r="J19" i="20" s="1"/>
  <c r="K19" i="20" s="1"/>
  <c r="L19" i="20" s="1"/>
  <c r="M19" i="20" s="1"/>
  <c r="N19" i="20" s="1"/>
  <c r="Y22" i="19"/>
  <c r="X23" i="19"/>
  <c r="N7" i="20" s="1"/>
  <c r="D5" i="21"/>
  <c r="C5" i="21"/>
  <c r="F17" i="21"/>
  <c r="G17" i="21" s="1"/>
  <c r="H17" i="21" s="1"/>
  <c r="I17" i="21" s="1"/>
  <c r="J17" i="21" s="1"/>
  <c r="K17" i="21" s="1"/>
  <c r="L17" i="21" s="1"/>
  <c r="M17" i="21" s="1"/>
  <c r="N17" i="21" s="1"/>
  <c r="E10" i="21"/>
  <c r="F10" i="21" s="1"/>
  <c r="G10" i="21" s="1"/>
  <c r="H10" i="21" s="1"/>
  <c r="I10" i="21" s="1"/>
  <c r="J10" i="21" s="1"/>
  <c r="K10" i="21" s="1"/>
  <c r="L10" i="21" s="1"/>
  <c r="M10" i="21" s="1"/>
  <c r="N10" i="21" s="1"/>
  <c r="F52" i="21"/>
  <c r="G52" i="21" s="1"/>
  <c r="H52" i="21" s="1"/>
  <c r="I52" i="21" s="1"/>
  <c r="J52" i="21" s="1"/>
  <c r="K52" i="21" s="1"/>
  <c r="L52" i="21" s="1"/>
  <c r="M52" i="21" s="1"/>
  <c r="N52" i="21" s="1"/>
  <c r="F51" i="21"/>
  <c r="G51" i="21" s="1"/>
  <c r="H51" i="21" s="1"/>
  <c r="I51" i="21" s="1"/>
  <c r="J51" i="21" s="1"/>
  <c r="K51" i="21" s="1"/>
  <c r="L51" i="21" s="1"/>
  <c r="M51" i="21" s="1"/>
  <c r="N51" i="21" s="1"/>
  <c r="F50" i="21"/>
  <c r="G50" i="21" s="1"/>
  <c r="H50" i="21" s="1"/>
  <c r="I50" i="21" s="1"/>
  <c r="J50" i="21" s="1"/>
  <c r="K50" i="21" s="1"/>
  <c r="L50" i="21" s="1"/>
  <c r="M50" i="21" s="1"/>
  <c r="N50" i="21" s="1"/>
  <c r="F49" i="21"/>
  <c r="G49" i="21" s="1"/>
  <c r="H49" i="21" s="1"/>
  <c r="I49" i="21" s="1"/>
  <c r="J49" i="21" s="1"/>
  <c r="K49" i="21" s="1"/>
  <c r="L49" i="21" s="1"/>
  <c r="M49" i="21" s="1"/>
  <c r="N49" i="21" s="1"/>
  <c r="F48" i="21"/>
  <c r="G48" i="21" s="1"/>
  <c r="H48" i="21" s="1"/>
  <c r="I48" i="21" s="1"/>
  <c r="J48" i="21" s="1"/>
  <c r="K48" i="21" s="1"/>
  <c r="L48" i="21" s="1"/>
  <c r="F43" i="21"/>
  <c r="G43" i="21" s="1"/>
  <c r="H43" i="21" s="1"/>
  <c r="I43" i="21" s="1"/>
  <c r="J43" i="21" s="1"/>
  <c r="K43" i="21" s="1"/>
  <c r="L43" i="21" s="1"/>
  <c r="M43" i="21" s="1"/>
  <c r="N43" i="21" s="1"/>
  <c r="G42" i="21"/>
  <c r="H42" i="21" s="1"/>
  <c r="I42" i="21" s="1"/>
  <c r="J42" i="21" s="1"/>
  <c r="K42" i="21" s="1"/>
  <c r="L42" i="21" s="1"/>
  <c r="M42" i="21" s="1"/>
  <c r="N42" i="21" s="1"/>
  <c r="E42" i="21"/>
  <c r="E41" i="21"/>
  <c r="F41" i="21" s="1"/>
  <c r="G41" i="21" s="1"/>
  <c r="H41" i="21" s="1"/>
  <c r="I41" i="21" s="1"/>
  <c r="J41" i="21" s="1"/>
  <c r="K41" i="21" s="1"/>
  <c r="L41" i="21" s="1"/>
  <c r="M41" i="21" s="1"/>
  <c r="N41" i="21" s="1"/>
  <c r="F40" i="21"/>
  <c r="G40" i="21" s="1"/>
  <c r="F37" i="21"/>
  <c r="G37" i="21" s="1"/>
  <c r="H37" i="21" s="1"/>
  <c r="I37" i="21" s="1"/>
  <c r="J37" i="21" s="1"/>
  <c r="K37" i="21" s="1"/>
  <c r="L37" i="21" s="1"/>
  <c r="M37" i="21" s="1"/>
  <c r="N37" i="21" s="1"/>
  <c r="E36" i="21"/>
  <c r="F36" i="21" s="1"/>
  <c r="G36" i="21" s="1"/>
  <c r="H36" i="21" s="1"/>
  <c r="I36" i="21" s="1"/>
  <c r="J36" i="21" s="1"/>
  <c r="K36" i="21" s="1"/>
  <c r="L36" i="21" s="1"/>
  <c r="M36" i="21" s="1"/>
  <c r="N36" i="21" s="1"/>
  <c r="F35" i="21"/>
  <c r="G35" i="21" s="1"/>
  <c r="H35" i="21" s="1"/>
  <c r="I35" i="21" s="1"/>
  <c r="J35" i="21" s="1"/>
  <c r="K35" i="21" s="1"/>
  <c r="L35" i="21" s="1"/>
  <c r="M35" i="21" s="1"/>
  <c r="N35" i="21" s="1"/>
  <c r="E34" i="21"/>
  <c r="F34" i="21" s="1"/>
  <c r="G34" i="21" s="1"/>
  <c r="H34" i="21" s="1"/>
  <c r="I34" i="21" s="1"/>
  <c r="J34" i="21" s="1"/>
  <c r="K34" i="21" s="1"/>
  <c r="L34" i="21" s="1"/>
  <c r="M34" i="21" s="1"/>
  <c r="N34" i="21" s="1"/>
  <c r="F32" i="21"/>
  <c r="G32" i="21" s="1"/>
  <c r="H32" i="21" s="1"/>
  <c r="I32" i="21" s="1"/>
  <c r="J32" i="21" s="1"/>
  <c r="K32" i="21" s="1"/>
  <c r="L32" i="21" s="1"/>
  <c r="M32" i="21" s="1"/>
  <c r="N32" i="21" s="1"/>
  <c r="F30" i="21"/>
  <c r="G30" i="21" s="1"/>
  <c r="H30" i="21" s="1"/>
  <c r="I30" i="21" s="1"/>
  <c r="J30" i="21" s="1"/>
  <c r="K30" i="21" s="1"/>
  <c r="L30" i="21" s="1"/>
  <c r="M30" i="21" s="1"/>
  <c r="N30" i="21" s="1"/>
  <c r="F29" i="21"/>
  <c r="G29" i="21" s="1"/>
  <c r="H29" i="21" s="1"/>
  <c r="I29" i="21" s="1"/>
  <c r="J29" i="21" s="1"/>
  <c r="K29" i="21" s="1"/>
  <c r="L29" i="21" s="1"/>
  <c r="M29" i="21" s="1"/>
  <c r="N29" i="21" s="1"/>
  <c r="F24" i="21"/>
  <c r="G24" i="21" s="1"/>
  <c r="H24" i="21" s="1"/>
  <c r="I24" i="21" s="1"/>
  <c r="J24" i="21" s="1"/>
  <c r="K24" i="21" s="1"/>
  <c r="L24" i="21" s="1"/>
  <c r="M24" i="21" s="1"/>
  <c r="N24" i="21" s="1"/>
  <c r="F23" i="21"/>
  <c r="G23" i="21" s="1"/>
  <c r="H23" i="21" s="1"/>
  <c r="I23" i="21" s="1"/>
  <c r="J23" i="21" s="1"/>
  <c r="K23" i="21" s="1"/>
  <c r="L23" i="21" s="1"/>
  <c r="M23" i="21" s="1"/>
  <c r="N23" i="21" s="1"/>
  <c r="F21" i="21"/>
  <c r="G21" i="21"/>
  <c r="H21" i="21" s="1"/>
  <c r="I21" i="21" s="1"/>
  <c r="J21" i="21" s="1"/>
  <c r="K21" i="21" s="1"/>
  <c r="L21" i="21" s="1"/>
  <c r="M21" i="21" s="1"/>
  <c r="N21" i="21" s="1"/>
  <c r="E18" i="26"/>
  <c r="F18" i="26" s="1"/>
  <c r="G18" i="26" s="1"/>
  <c r="H18" i="26" s="1"/>
  <c r="I18" i="26" s="1"/>
  <c r="J18" i="26" s="1"/>
  <c r="K18" i="26" s="1"/>
  <c r="L18" i="26" s="1"/>
  <c r="M18" i="26" s="1"/>
  <c r="D18" i="26"/>
  <c r="D15" i="26"/>
  <c r="E21" i="26"/>
  <c r="F21" i="26" s="1"/>
  <c r="G21" i="26" s="1"/>
  <c r="H21" i="26" s="1"/>
  <c r="I21" i="26" s="1"/>
  <c r="J21" i="26" s="1"/>
  <c r="K21" i="26" s="1"/>
  <c r="L21" i="26" s="1"/>
  <c r="M21" i="26" s="1"/>
  <c r="E19" i="26"/>
  <c r="F19" i="26" s="1"/>
  <c r="G19" i="26" s="1"/>
  <c r="H19" i="26" s="1"/>
  <c r="I19" i="26" s="1"/>
  <c r="J19" i="26" s="1"/>
  <c r="K19" i="26" s="1"/>
  <c r="L19" i="26" s="1"/>
  <c r="M19" i="26" s="1"/>
  <c r="E16" i="26"/>
  <c r="F16" i="26" s="1"/>
  <c r="G16" i="26" s="1"/>
  <c r="H16" i="26" s="1"/>
  <c r="I16" i="26" s="1"/>
  <c r="J16" i="26" s="1"/>
  <c r="K16" i="26" s="1"/>
  <c r="L16" i="26" s="1"/>
  <c r="M16" i="26" s="1"/>
  <c r="E25" i="26"/>
  <c r="F25" i="26" s="1"/>
  <c r="G25" i="26" s="1"/>
  <c r="H25" i="26" s="1"/>
  <c r="I25" i="26" s="1"/>
  <c r="J25" i="26" s="1"/>
  <c r="K25" i="26" s="1"/>
  <c r="L25" i="26" s="1"/>
  <c r="M25" i="26" s="1"/>
  <c r="E24" i="26"/>
  <c r="F24" i="26" s="1"/>
  <c r="G24" i="26" s="1"/>
  <c r="H24" i="26" s="1"/>
  <c r="I24" i="26" s="1"/>
  <c r="J24" i="26" s="1"/>
  <c r="K24" i="26" s="1"/>
  <c r="L24" i="26" s="1"/>
  <c r="M24" i="26" s="1"/>
  <c r="E22" i="26"/>
  <c r="F22" i="26" s="1"/>
  <c r="G22" i="26" s="1"/>
  <c r="H22" i="26" s="1"/>
  <c r="I22" i="26" s="1"/>
  <c r="J22" i="26" s="1"/>
  <c r="K22" i="26" s="1"/>
  <c r="L22" i="26" s="1"/>
  <c r="M22" i="26" s="1"/>
  <c r="D17" i="26"/>
  <c r="E17" i="26" s="1"/>
  <c r="F17" i="26" s="1"/>
  <c r="G17" i="26" s="1"/>
  <c r="H17" i="26" s="1"/>
  <c r="I17" i="26" s="1"/>
  <c r="J17" i="26" s="1"/>
  <c r="K17" i="26" s="1"/>
  <c r="L17" i="26" s="1"/>
  <c r="M17" i="26" s="1"/>
  <c r="C32" i="26"/>
  <c r="C17" i="29" s="1"/>
  <c r="C582" i="29" s="1"/>
  <c r="B32" i="26"/>
  <c r="B17" i="29" s="1"/>
  <c r="B576" i="29" s="1"/>
  <c r="C7" i="26"/>
  <c r="C8" i="26"/>
  <c r="B7" i="26"/>
  <c r="B11" i="26" s="1"/>
  <c r="C11" i="21"/>
  <c r="C53" i="21"/>
  <c r="C43" i="21"/>
  <c r="C9" i="21"/>
  <c r="C52" i="21"/>
  <c r="C41" i="21"/>
  <c r="C36" i="21"/>
  <c r="C48" i="21"/>
  <c r="C18" i="21"/>
  <c r="C25" i="21" s="1"/>
  <c r="C8" i="22" s="1"/>
  <c r="B39" i="29" s="1"/>
  <c r="B37" i="29" s="1"/>
  <c r="C34" i="21"/>
  <c r="B12" i="29"/>
  <c r="B10" i="32" s="1"/>
  <c r="D41" i="21"/>
  <c r="D18" i="21"/>
  <c r="E18" i="21" s="1"/>
  <c r="F18" i="21" s="1"/>
  <c r="G18" i="21" s="1"/>
  <c r="H18" i="21" s="1"/>
  <c r="I18" i="21" s="1"/>
  <c r="J18" i="21" s="1"/>
  <c r="K18" i="21" s="1"/>
  <c r="L18" i="21" s="1"/>
  <c r="M18" i="21" s="1"/>
  <c r="N18" i="21" s="1"/>
  <c r="A49" i="21"/>
  <c r="A50" i="21" s="1"/>
  <c r="A51" i="21" s="1"/>
  <c r="A52" i="21" s="1"/>
  <c r="A53" i="21" s="1"/>
  <c r="A20" i="20"/>
  <c r="A8" i="21"/>
  <c r="A9" i="21" s="1"/>
  <c r="A10" i="21" s="1"/>
  <c r="D7" i="21"/>
  <c r="F7" i="21" s="1"/>
  <c r="H7" i="21" s="1"/>
  <c r="J7" i="21" s="1"/>
  <c r="L7" i="21" s="1"/>
  <c r="N7" i="21" s="1"/>
  <c r="D53" i="21"/>
  <c r="D43" i="21"/>
  <c r="D22" i="21"/>
  <c r="D38" i="21"/>
  <c r="D21" i="21"/>
  <c r="D52" i="21"/>
  <c r="D20" i="21"/>
  <c r="D9" i="21"/>
  <c r="E9" i="21" s="1"/>
  <c r="D36" i="21"/>
  <c r="D40" i="21"/>
  <c r="D48" i="21"/>
  <c r="D30" i="21"/>
  <c r="D34" i="21"/>
  <c r="D19" i="21"/>
  <c r="C21" i="20"/>
  <c r="C20" i="22" s="1"/>
  <c r="B82" i="29" s="1"/>
  <c r="B23" i="32" s="1"/>
  <c r="D21" i="20"/>
  <c r="D20" i="22" s="1"/>
  <c r="C82" i="29" s="1"/>
  <c r="C23" i="32" s="1"/>
  <c r="D33" i="21"/>
  <c r="D8" i="21"/>
  <c r="D31" i="21"/>
  <c r="E31" i="21" s="1"/>
  <c r="F31" i="21" s="1"/>
  <c r="G31" i="21" s="1"/>
  <c r="H31" i="21" s="1"/>
  <c r="I31" i="21" s="1"/>
  <c r="J31" i="21" s="1"/>
  <c r="K31" i="21" s="1"/>
  <c r="L31" i="21" s="1"/>
  <c r="M31" i="21" s="1"/>
  <c r="N31" i="21" s="1"/>
  <c r="D17" i="21"/>
  <c r="AA23" i="19"/>
  <c r="B18" i="27"/>
  <c r="B25" i="27" s="1"/>
  <c r="B32" i="27" s="1"/>
  <c r="A8" i="22"/>
  <c r="A11" i="22" s="1"/>
  <c r="A14" i="22"/>
  <c r="F15" i="21"/>
  <c r="G15" i="21" s="1"/>
  <c r="H15" i="21" s="1"/>
  <c r="I15" i="21" s="1"/>
  <c r="J15" i="21" s="1"/>
  <c r="A16" i="21"/>
  <c r="A17" i="21" s="1"/>
  <c r="A18" i="21" s="1"/>
  <c r="A19" i="21" s="1"/>
  <c r="A20" i="21" s="1"/>
  <c r="A21" i="21" s="1"/>
  <c r="A22" i="21" s="1"/>
  <c r="A23" i="21" s="1"/>
  <c r="A24" i="21" s="1"/>
  <c r="F16" i="21"/>
  <c r="G16" i="21" s="1"/>
  <c r="H16" i="21" s="1"/>
  <c r="I16" i="21" s="1"/>
  <c r="J16" i="21" s="1"/>
  <c r="K16" i="21" s="1"/>
  <c r="L16" i="21" s="1"/>
  <c r="M16" i="21" s="1"/>
  <c r="N16" i="21" s="1"/>
  <c r="F22" i="21"/>
  <c r="G22" i="21" s="1"/>
  <c r="H22" i="21" s="1"/>
  <c r="I22" i="21" s="1"/>
  <c r="J22" i="21" s="1"/>
  <c r="K22" i="21" s="1"/>
  <c r="L22" i="21" s="1"/>
  <c r="M22" i="21" s="1"/>
  <c r="N22" i="21" s="1"/>
  <c r="A30" i="21"/>
  <c r="A31" i="21" s="1"/>
  <c r="A32" i="21" s="1"/>
  <c r="A33" i="21" s="1"/>
  <c r="A34" i="21" s="1"/>
  <c r="A35" i="21" s="1"/>
  <c r="A36" i="21" s="1"/>
  <c r="A37" i="21" s="1"/>
  <c r="A38" i="21" s="1"/>
  <c r="A39" i="21" s="1"/>
  <c r="A40" i="21" s="1"/>
  <c r="A41" i="21" s="1"/>
  <c r="A42" i="21" s="1"/>
  <c r="A43" i="21" s="1"/>
  <c r="F38" i="21"/>
  <c r="G38" i="21" s="1"/>
  <c r="H38" i="21" s="1"/>
  <c r="I38" i="21" s="1"/>
  <c r="J38" i="21" s="1"/>
  <c r="K38" i="21" s="1"/>
  <c r="L38" i="21" s="1"/>
  <c r="M38" i="21" s="1"/>
  <c r="N38" i="21" s="1"/>
  <c r="F39" i="21"/>
  <c r="G39" i="21" s="1"/>
  <c r="H39" i="21" s="1"/>
  <c r="I39" i="21" s="1"/>
  <c r="J39" i="21" s="1"/>
  <c r="K39" i="21" s="1"/>
  <c r="L39" i="21" s="1"/>
  <c r="M39" i="21" s="1"/>
  <c r="N39" i="21" s="1"/>
  <c r="D7" i="19"/>
  <c r="B8" i="19" s="1"/>
  <c r="D8" i="19" s="1"/>
  <c r="C6" i="17" s="1"/>
  <c r="C19" i="19"/>
  <c r="C23" i="19" s="1"/>
  <c r="E7" i="20" s="1"/>
  <c r="F19" i="19"/>
  <c r="F23" i="19" s="1"/>
  <c r="F7" i="20" s="1"/>
  <c r="E28" i="20" s="1"/>
  <c r="I19" i="19"/>
  <c r="I23" i="19" s="1"/>
  <c r="L19" i="19"/>
  <c r="L23" i="19" s="1"/>
  <c r="O19" i="19"/>
  <c r="O23" i="19" s="1"/>
  <c r="R19" i="19"/>
  <c r="R23" i="19" s="1"/>
  <c r="J7" i="20" s="1"/>
  <c r="U19" i="19"/>
  <c r="U23" i="19" s="1"/>
  <c r="G5" i="15"/>
  <c r="H5" i="15" s="1"/>
  <c r="E17" i="16" s="1"/>
  <c r="G7" i="15"/>
  <c r="H7" i="15" s="1"/>
  <c r="H8" i="15"/>
  <c r="E20" i="16" s="1"/>
  <c r="G8" i="15"/>
  <c r="F11" i="15"/>
  <c r="D14" i="15"/>
  <c r="D24" i="15" s="1"/>
  <c r="D34" i="15" s="1"/>
  <c r="D44" i="15" s="1"/>
  <c r="E14" i="15"/>
  <c r="E24" i="15" s="1"/>
  <c r="E34" i="15" s="1"/>
  <c r="E44" i="15" s="1"/>
  <c r="F14" i="15"/>
  <c r="F24" i="15" s="1"/>
  <c r="F34" i="15" s="1"/>
  <c r="F44" i="15" s="1"/>
  <c r="G14" i="15"/>
  <c r="G24" i="15" s="1"/>
  <c r="G34" i="15" s="1"/>
  <c r="G44" i="15" s="1"/>
  <c r="H14" i="15"/>
  <c r="H24" i="15" s="1"/>
  <c r="H34" i="15" s="1"/>
  <c r="H44" i="15" s="1"/>
  <c r="I14" i="15"/>
  <c r="I24" i="15" s="1"/>
  <c r="I34" i="15" s="1"/>
  <c r="I44" i="15" s="1"/>
  <c r="J14" i="15"/>
  <c r="J24" i="15" s="1"/>
  <c r="J34" i="15" s="1"/>
  <c r="J44" i="15" s="1"/>
  <c r="K14" i="15"/>
  <c r="K24" i="15" s="1"/>
  <c r="K34" i="15" s="1"/>
  <c r="K44" i="15" s="1"/>
  <c r="L14" i="15"/>
  <c r="L24" i="15" s="1"/>
  <c r="L34" i="15" s="1"/>
  <c r="L44" i="15" s="1"/>
  <c r="M14" i="15"/>
  <c r="M24" i="15" s="1"/>
  <c r="M34" i="15" s="1"/>
  <c r="M44" i="15" s="1"/>
  <c r="N14" i="15"/>
  <c r="N24" i="15" s="1"/>
  <c r="N34" i="15" s="1"/>
  <c r="N44" i="15" s="1"/>
  <c r="O14" i="15"/>
  <c r="O24" i="15" s="1"/>
  <c r="O34" i="15" s="1"/>
  <c r="O44" i="15" s="1"/>
  <c r="E21" i="15"/>
  <c r="D28" i="34" s="1"/>
  <c r="K21" i="15"/>
  <c r="D29" i="34" s="1"/>
  <c r="L21" i="15"/>
  <c r="E31" i="15"/>
  <c r="D30" i="34" s="1"/>
  <c r="F31" i="15"/>
  <c r="K31" i="15"/>
  <c r="D31" i="34" s="1"/>
  <c r="L31" i="15"/>
  <c r="E41" i="15"/>
  <c r="D32" i="34" s="1"/>
  <c r="F41" i="15"/>
  <c r="F6" i="11"/>
  <c r="C7" i="11"/>
  <c r="D7" i="11"/>
  <c r="E7" i="11"/>
  <c r="I9" i="11" s="1"/>
  <c r="F7" i="11"/>
  <c r="F8" i="11"/>
  <c r="J8" i="11"/>
  <c r="K8" i="11"/>
  <c r="F9" i="11"/>
  <c r="F12" i="11" s="1"/>
  <c r="J9" i="11"/>
  <c r="K9" i="11"/>
  <c r="C10" i="11"/>
  <c r="D10" i="11"/>
  <c r="E10" i="11"/>
  <c r="F10" i="11"/>
  <c r="J10" i="11"/>
  <c r="K10" i="11"/>
  <c r="J11" i="11"/>
  <c r="K11" i="11"/>
  <c r="J12" i="11"/>
  <c r="K12" i="11"/>
  <c r="F13" i="11"/>
  <c r="F14" i="11"/>
  <c r="F15" i="11"/>
  <c r="F16" i="11"/>
  <c r="F17" i="11"/>
  <c r="C18" i="11"/>
  <c r="D18" i="11"/>
  <c r="E18" i="11"/>
  <c r="F18" i="11"/>
  <c r="H18" i="11"/>
  <c r="F20" i="11"/>
  <c r="C21" i="11"/>
  <c r="D21" i="11"/>
  <c r="E21" i="11"/>
  <c r="F21" i="11"/>
  <c r="F22" i="11"/>
  <c r="I22" i="11"/>
  <c r="J22" i="11"/>
  <c r="F23" i="11"/>
  <c r="I23" i="11"/>
  <c r="J23" i="11"/>
  <c r="F24" i="11"/>
  <c r="E32" i="11"/>
  <c r="E33" i="11"/>
  <c r="E34" i="11"/>
  <c r="E35" i="11"/>
  <c r="E36" i="11"/>
  <c r="F39" i="11"/>
  <c r="F40" i="11"/>
  <c r="F44" i="11" s="1"/>
  <c r="C41" i="11"/>
  <c r="D41" i="11"/>
  <c r="E41" i="11"/>
  <c r="F41" i="11"/>
  <c r="F42" i="11"/>
  <c r="E48" i="11"/>
  <c r="C49" i="11"/>
  <c r="D49" i="11"/>
  <c r="E49" i="11"/>
  <c r="E50" i="11"/>
  <c r="E54" i="11"/>
  <c r="E55" i="11"/>
  <c r="E56" i="11"/>
  <c r="C16" i="11"/>
  <c r="C14" i="11"/>
  <c r="D14" i="11"/>
  <c r="E14" i="11"/>
  <c r="C32" i="11"/>
  <c r="D32" i="11"/>
  <c r="C39" i="11"/>
  <c r="E16" i="11"/>
  <c r="D39" i="11"/>
  <c r="C48" i="11"/>
  <c r="D54" i="11"/>
  <c r="E39" i="11"/>
  <c r="F11" i="11"/>
  <c r="M7" i="26"/>
  <c r="M11" i="26" s="1"/>
  <c r="M12" i="29" s="1"/>
  <c r="D48" i="11"/>
  <c r="E15" i="11"/>
  <c r="C54" i="11"/>
  <c r="B9" i="19"/>
  <c r="D9" i="19" s="1"/>
  <c r="C5" i="17"/>
  <c r="C50" i="11"/>
  <c r="C51" i="11" s="1"/>
  <c r="D50" i="11"/>
  <c r="K7" i="20"/>
  <c r="I7" i="20"/>
  <c r="H28" i="20" s="1"/>
  <c r="H39" i="20" s="1"/>
  <c r="G153" i="29" s="1"/>
  <c r="G33" i="30" s="1"/>
  <c r="H6" i="15"/>
  <c r="G6" i="15"/>
  <c r="E11" i="15"/>
  <c r="G10" i="15"/>
  <c r="H10" i="15" s="1"/>
  <c r="D6" i="11"/>
  <c r="C15" i="11"/>
  <c r="C42" i="11"/>
  <c r="C6" i="11"/>
  <c r="D9" i="26"/>
  <c r="D8" i="26"/>
  <c r="J28" i="20"/>
  <c r="D40" i="11"/>
  <c r="D44" i="11" s="1"/>
  <c r="D23" i="11"/>
  <c r="D42" i="11"/>
  <c r="D16" i="11"/>
  <c r="C40" i="11"/>
  <c r="C44" i="11" s="1"/>
  <c r="C23" i="11"/>
  <c r="C24" i="11"/>
  <c r="D24" i="11"/>
  <c r="E24" i="11"/>
  <c r="D7" i="26"/>
  <c r="D11" i="26" s="1"/>
  <c r="K11" i="15"/>
  <c r="D27" i="34" s="1"/>
  <c r="H7" i="20"/>
  <c r="E9" i="26"/>
  <c r="G7" i="20"/>
  <c r="F28" i="20" s="1"/>
  <c r="E40" i="11"/>
  <c r="E44" i="11" s="1"/>
  <c r="E23" i="11"/>
  <c r="E42" i="11"/>
  <c r="F7" i="26"/>
  <c r="E5" i="26"/>
  <c r="E10" i="26"/>
  <c r="L11" i="15"/>
  <c r="D5" i="26"/>
  <c r="E8" i="26"/>
  <c r="F9" i="26"/>
  <c r="D15" i="11"/>
  <c r="D8" i="11"/>
  <c r="C17" i="11"/>
  <c r="D159" i="29"/>
  <c r="D32" i="30" s="1"/>
  <c r="E5" i="21"/>
  <c r="E19" i="21" s="1"/>
  <c r="E25" i="21" s="1"/>
  <c r="E8" i="22" s="1"/>
  <c r="E6" i="11"/>
  <c r="D13" i="11"/>
  <c r="D9" i="11"/>
  <c r="D12" i="11"/>
  <c r="C55" i="11"/>
  <c r="D10" i="26"/>
  <c r="E7" i="26"/>
  <c r="E11" i="26" s="1"/>
  <c r="E12" i="29" s="1"/>
  <c r="F8" i="26"/>
  <c r="G7" i="26"/>
  <c r="G11" i="26" s="1"/>
  <c r="F10" i="26"/>
  <c r="F5" i="26"/>
  <c r="G9" i="26"/>
  <c r="C8" i="11"/>
  <c r="F11" i="26"/>
  <c r="F12" i="29" s="1"/>
  <c r="C9" i="11"/>
  <c r="C13" i="11"/>
  <c r="C56" i="11"/>
  <c r="C33" i="11"/>
  <c r="C34" i="11"/>
  <c r="G8" i="26"/>
  <c r="I7" i="26"/>
  <c r="I11" i="26" s="1"/>
  <c r="I12" i="29" s="1"/>
  <c r="G10" i="26"/>
  <c r="G5" i="26"/>
  <c r="G28" i="26" s="1"/>
  <c r="D17" i="11"/>
  <c r="D20" i="11" s="1"/>
  <c r="C35" i="11"/>
  <c r="C36" i="11" s="1"/>
  <c r="G29" i="26"/>
  <c r="K7" i="26"/>
  <c r="K11" i="26" s="1"/>
  <c r="K12" i="29" s="1"/>
  <c r="J7" i="26"/>
  <c r="J11" i="26" s="1"/>
  <c r="L7" i="26"/>
  <c r="L11" i="26" s="1"/>
  <c r="L12" i="29" s="1"/>
  <c r="L144" i="29" s="1"/>
  <c r="E8" i="11"/>
  <c r="E13" i="11"/>
  <c r="E9" i="11"/>
  <c r="D55" i="11"/>
  <c r="D56" i="11"/>
  <c r="E17" i="11"/>
  <c r="E19" i="11" s="1"/>
  <c r="I10" i="11"/>
  <c r="D33" i="11"/>
  <c r="D34" i="11"/>
  <c r="D35" i="11"/>
  <c r="D36" i="11" s="1"/>
  <c r="AB22" i="19"/>
  <c r="I503" i="29"/>
  <c r="H238" i="29"/>
  <c r="H24" i="31"/>
  <c r="H23" i="31" s="1"/>
  <c r="H363" i="29"/>
  <c r="H7" i="26"/>
  <c r="H8" i="26"/>
  <c r="H10" i="26"/>
  <c r="H5" i="26"/>
  <c r="H29" i="26" s="1"/>
  <c r="H9" i="26"/>
  <c r="H11" i="26"/>
  <c r="H12" i="29" s="1"/>
  <c r="I10" i="26"/>
  <c r="I5" i="26"/>
  <c r="J5" i="21" s="1"/>
  <c r="J19" i="21" s="1"/>
  <c r="I9" i="26"/>
  <c r="I8" i="26"/>
  <c r="J10" i="26"/>
  <c r="J5" i="26"/>
  <c r="J29" i="26" s="1"/>
  <c r="J9" i="26"/>
  <c r="J8" i="26"/>
  <c r="K10" i="26"/>
  <c r="K9" i="26"/>
  <c r="K5" i="26"/>
  <c r="K27" i="26" s="1"/>
  <c r="K8" i="26"/>
  <c r="L10" i="26"/>
  <c r="L9" i="26"/>
  <c r="L5" i="26"/>
  <c r="L26" i="26" s="1"/>
  <c r="M20" i="21" s="1"/>
  <c r="L8" i="26"/>
  <c r="M10" i="26"/>
  <c r="M5" i="26"/>
  <c r="M29" i="26" s="1"/>
  <c r="M9" i="26"/>
  <c r="M8" i="26"/>
  <c r="G461" i="29" l="1"/>
  <c r="O4" i="48"/>
  <c r="P4" i="48"/>
  <c r="G26" i="26"/>
  <c r="H20" i="21" s="1"/>
  <c r="C11" i="26"/>
  <c r="O5" i="48"/>
  <c r="P5" i="48"/>
  <c r="E603" i="29"/>
  <c r="L603" i="29"/>
  <c r="K499" i="29"/>
  <c r="C499" i="29"/>
  <c r="C437" i="29"/>
  <c r="E461" i="29"/>
  <c r="D335" i="29"/>
  <c r="H247" i="29"/>
  <c r="H22" i="31" s="1"/>
  <c r="D247" i="29"/>
  <c r="D22" i="31" s="1"/>
  <c r="D32" i="31" s="1"/>
  <c r="U20" i="33"/>
  <c r="M25" i="33"/>
  <c r="T10" i="33"/>
  <c r="S9" i="33"/>
  <c r="M499" i="29"/>
  <c r="E25" i="17"/>
  <c r="F25" i="17" s="1"/>
  <c r="G33" i="19"/>
  <c r="E34" i="19" s="1"/>
  <c r="E26" i="17" s="1"/>
  <c r="F26" i="17" s="1"/>
  <c r="E159" i="29"/>
  <c r="E32" i="30" s="1"/>
  <c r="F372" i="29"/>
  <c r="G507" i="29"/>
  <c r="F611" i="29"/>
  <c r="F612" i="29" s="1"/>
  <c r="N198" i="29"/>
  <c r="D446" i="29"/>
  <c r="T24" i="33"/>
  <c r="N192" i="29"/>
  <c r="O457" i="29" s="1"/>
  <c r="O468" i="29" s="1"/>
  <c r="N255" i="29"/>
  <c r="N501" i="29" s="1"/>
  <c r="C609" i="29"/>
  <c r="B401" i="29"/>
  <c r="N584" i="29"/>
  <c r="D17" i="31"/>
  <c r="B192" i="29"/>
  <c r="E24" i="17"/>
  <c r="F24" i="17" s="1"/>
  <c r="K28" i="26"/>
  <c r="E20" i="11"/>
  <c r="D57" i="11"/>
  <c r="H5" i="21"/>
  <c r="H19" i="21" s="1"/>
  <c r="H25" i="21" s="1"/>
  <c r="H8" i="22" s="1"/>
  <c r="G39" i="29" s="1"/>
  <c r="G37" i="29" s="1"/>
  <c r="D156" i="29"/>
  <c r="D414" i="29" s="1"/>
  <c r="D5" i="17"/>
  <c r="C54" i="21"/>
  <c r="C14" i="22" s="1"/>
  <c r="B45" i="29" s="1"/>
  <c r="F507" i="29"/>
  <c r="B335" i="29"/>
  <c r="I16" i="31"/>
  <c r="I17" i="31" s="1"/>
  <c r="S18" i="33"/>
  <c r="E17" i="31"/>
  <c r="E378" i="29"/>
  <c r="E507" i="29"/>
  <c r="K497" i="29"/>
  <c r="B158" i="29"/>
  <c r="F632" i="29"/>
  <c r="O612" i="29"/>
  <c r="C612" i="29"/>
  <c r="D612" i="29"/>
  <c r="N612" i="29"/>
  <c r="B612" i="29"/>
  <c r="K603" i="29"/>
  <c r="G603" i="29"/>
  <c r="C603" i="29"/>
  <c r="O603" i="29"/>
  <c r="J603" i="29"/>
  <c r="F603" i="29"/>
  <c r="B603" i="29"/>
  <c r="G503" i="29"/>
  <c r="C9" i="30"/>
  <c r="C25" i="32" s="1"/>
  <c r="E31" i="31"/>
  <c r="S15" i="33"/>
  <c r="G20" i="20"/>
  <c r="D25" i="11"/>
  <c r="I8" i="15"/>
  <c r="T15" i="33"/>
  <c r="E446" i="29"/>
  <c r="U12" i="33"/>
  <c r="E501" i="29"/>
  <c r="J338" i="29"/>
  <c r="J335" i="29" s="1"/>
  <c r="G501" i="29"/>
  <c r="D437" i="29"/>
  <c r="C372" i="29"/>
  <c r="L501" i="29"/>
  <c r="T12" i="33"/>
  <c r="M603" i="29"/>
  <c r="F76" i="23"/>
  <c r="O370" i="29"/>
  <c r="O595" i="29" s="1"/>
  <c r="O52" i="29"/>
  <c r="O32" i="29"/>
  <c r="O399" i="29" s="1"/>
  <c r="O596" i="29" s="1"/>
  <c r="D12" i="29"/>
  <c r="D16" i="29" s="1"/>
  <c r="E12" i="26"/>
  <c r="N23" i="30"/>
  <c r="N44" i="30" s="1"/>
  <c r="N36" i="32"/>
  <c r="J28" i="26"/>
  <c r="G12" i="26"/>
  <c r="E57" i="11"/>
  <c r="F43" i="11"/>
  <c r="F25" i="11"/>
  <c r="H445" i="29"/>
  <c r="G234" i="29"/>
  <c r="C247" i="29"/>
  <c r="D10" i="16"/>
  <c r="D12" i="16" s="1"/>
  <c r="C278" i="29" s="1"/>
  <c r="D445" i="29"/>
  <c r="B93" i="50"/>
  <c r="E22" i="11"/>
  <c r="L29" i="26"/>
  <c r="F12" i="26"/>
  <c r="D26" i="11"/>
  <c r="F378" i="29"/>
  <c r="F481" i="29" s="1"/>
  <c r="D378" i="29"/>
  <c r="E247" i="29"/>
  <c r="B17" i="31"/>
  <c r="C32" i="30"/>
  <c r="D507" i="29"/>
  <c r="I27" i="26"/>
  <c r="I26" i="26"/>
  <c r="J20" i="21" s="1"/>
  <c r="C12" i="11"/>
  <c r="C25" i="11"/>
  <c r="B16" i="29"/>
  <c r="B19" i="29" s="1"/>
  <c r="B116" i="29" s="1"/>
  <c r="D9" i="15"/>
  <c r="H9" i="15" s="1"/>
  <c r="E21" i="16" s="1"/>
  <c r="C461" i="29"/>
  <c r="G372" i="29"/>
  <c r="G609" i="29"/>
  <c r="G612" i="29" s="1"/>
  <c r="D501" i="29"/>
  <c r="N414" i="29"/>
  <c r="N619" i="29" s="1"/>
  <c r="I603" i="29"/>
  <c r="F503" i="29"/>
  <c r="C503" i="29"/>
  <c r="B278" i="29"/>
  <c r="B7" i="31" s="1"/>
  <c r="U21" i="33"/>
  <c r="S20" i="33"/>
  <c r="U18" i="33"/>
  <c r="J25" i="21"/>
  <c r="J8" i="22" s="1"/>
  <c r="I39" i="29" s="1"/>
  <c r="I37" i="29" s="1"/>
  <c r="I350" i="29" s="1"/>
  <c r="I594" i="29" s="1"/>
  <c r="F23" i="26"/>
  <c r="M247" i="29"/>
  <c r="M22" i="31" s="1"/>
  <c r="F16" i="29"/>
  <c r="F10" i="32"/>
  <c r="F12" i="32" s="1"/>
  <c r="F580" i="29"/>
  <c r="F579" i="29" s="1"/>
  <c r="K580" i="29"/>
  <c r="K579" i="29" s="1"/>
  <c r="K144" i="29"/>
  <c r="K164" i="29" s="1"/>
  <c r="K548" i="29" s="1"/>
  <c r="I10" i="32"/>
  <c r="I12" i="32" s="1"/>
  <c r="I16" i="29"/>
  <c r="I574" i="29"/>
  <c r="I573" i="29" s="1"/>
  <c r="E22" i="31"/>
  <c r="E32" i="31" s="1"/>
  <c r="E40" i="32" s="1"/>
  <c r="E268" i="29"/>
  <c r="L580" i="29"/>
  <c r="L579" i="29" s="1"/>
  <c r="L12" i="26"/>
  <c r="J26" i="26"/>
  <c r="K20" i="21" s="1"/>
  <c r="I5" i="15"/>
  <c r="J339" i="29"/>
  <c r="C501" i="29"/>
  <c r="B247" i="29"/>
  <c r="B357" i="29"/>
  <c r="B378" i="29" s="1"/>
  <c r="J499" i="29"/>
  <c r="I499" i="29"/>
  <c r="G499" i="29"/>
  <c r="F499" i="29"/>
  <c r="E499" i="29"/>
  <c r="O251" i="29"/>
  <c r="O341" i="29" s="1"/>
  <c r="N341" i="29"/>
  <c r="N342" i="29" s="1"/>
  <c r="J497" i="29"/>
  <c r="I338" i="29"/>
  <c r="I497" i="29"/>
  <c r="K632" i="29"/>
  <c r="L491" i="29"/>
  <c r="K491" i="29"/>
  <c r="S16" i="33"/>
  <c r="U16" i="33"/>
  <c r="U14" i="33"/>
  <c r="S14" i="33"/>
  <c r="S11" i="33"/>
  <c r="U11" i="33"/>
  <c r="T11" i="33"/>
  <c r="W25" i="33"/>
  <c r="U9" i="33"/>
  <c r="T9" i="33"/>
  <c r="L25" i="33"/>
  <c r="Y25" i="33"/>
  <c r="F18" i="20" s="1"/>
  <c r="S8" i="33"/>
  <c r="K25" i="33"/>
  <c r="R7" i="33"/>
  <c r="T7" i="33"/>
  <c r="S7" i="33"/>
  <c r="X25" i="33"/>
  <c r="E18" i="20" s="1"/>
  <c r="R6" i="33"/>
  <c r="U6" i="33"/>
  <c r="S6" i="33"/>
  <c r="J25" i="33"/>
  <c r="R13" i="33"/>
  <c r="U13" i="33"/>
  <c r="T13" i="33"/>
  <c r="R17" i="33"/>
  <c r="S17" i="33"/>
  <c r="U17" i="33"/>
  <c r="T17" i="33"/>
  <c r="F9" i="30"/>
  <c r="F25" i="32" s="1"/>
  <c r="F437" i="29"/>
  <c r="I9" i="30"/>
  <c r="I25" i="32" s="1"/>
  <c r="J437" i="29"/>
  <c r="I437" i="29"/>
  <c r="M5" i="21"/>
  <c r="M19" i="21" s="1"/>
  <c r="E12" i="11"/>
  <c r="I12" i="11" s="1"/>
  <c r="D22" i="11"/>
  <c r="C57" i="11"/>
  <c r="E156" i="29"/>
  <c r="E414" i="29" s="1"/>
  <c r="D10" i="32"/>
  <c r="D12" i="32" s="1"/>
  <c r="K15" i="21"/>
  <c r="D11" i="11"/>
  <c r="E51" i="11"/>
  <c r="I298" i="29"/>
  <c r="B23" i="30"/>
  <c r="B44" i="30" s="1"/>
  <c r="F247" i="29"/>
  <c r="T8" i="33"/>
  <c r="F501" i="29"/>
  <c r="U8" i="33"/>
  <c r="K503" i="29"/>
  <c r="L503" i="29"/>
  <c r="H357" i="29"/>
  <c r="H501" i="29"/>
  <c r="I501" i="29"/>
  <c r="H499" i="29"/>
  <c r="O414" i="29"/>
  <c r="O164" i="29"/>
  <c r="S22" i="33"/>
  <c r="T22" i="33"/>
  <c r="U22" i="33"/>
  <c r="U19" i="33"/>
  <c r="T19" i="33"/>
  <c r="Z25" i="33"/>
  <c r="G18" i="20" s="1"/>
  <c r="J27" i="30"/>
  <c r="J491" i="29"/>
  <c r="J632" i="29"/>
  <c r="L27" i="26"/>
  <c r="L28" i="26"/>
  <c r="K5" i="21"/>
  <c r="K19" i="21" s="1"/>
  <c r="G27" i="26"/>
  <c r="F159" i="29"/>
  <c r="C11" i="11"/>
  <c r="O583" i="29"/>
  <c r="G509" i="29"/>
  <c r="F36" i="20"/>
  <c r="F39" i="20" s="1"/>
  <c r="E153" i="29" s="1"/>
  <c r="E33" i="30" s="1"/>
  <c r="G9" i="20"/>
  <c r="G10" i="20" s="1"/>
  <c r="E10" i="27" s="1"/>
  <c r="E17" i="27" s="1"/>
  <c r="E24" i="27" s="1"/>
  <c r="E31" i="27" s="1"/>
  <c r="C435" i="29"/>
  <c r="C20" i="32"/>
  <c r="B32" i="30"/>
  <c r="B156" i="29"/>
  <c r="O499" i="29"/>
  <c r="N499" i="29"/>
  <c r="K292" i="29"/>
  <c r="J16" i="31"/>
  <c r="J17" i="31" s="1"/>
  <c r="N257" i="29"/>
  <c r="N505" i="29"/>
  <c r="O259" i="29"/>
  <c r="N349" i="29"/>
  <c r="N350" i="29" s="1"/>
  <c r="N594" i="29" s="1"/>
  <c r="O23" i="30"/>
  <c r="O44" i="30" s="1"/>
  <c r="O36" i="32"/>
  <c r="E101" i="29"/>
  <c r="E15" i="32" s="1"/>
  <c r="U23" i="33"/>
  <c r="T23" i="33"/>
  <c r="N25" i="33"/>
  <c r="E27" i="30"/>
  <c r="G491" i="29"/>
  <c r="H491" i="29"/>
  <c r="J32" i="20"/>
  <c r="J39" i="20" s="1"/>
  <c r="I153" i="29" s="1"/>
  <c r="I33" i="30" s="1"/>
  <c r="K8" i="20"/>
  <c r="K10" i="20" s="1"/>
  <c r="I10" i="27" s="1"/>
  <c r="I17" i="27" s="1"/>
  <c r="I24" i="27" s="1"/>
  <c r="I31" i="27" s="1"/>
  <c r="D6" i="17"/>
  <c r="B580" i="29"/>
  <c r="B13" i="32"/>
  <c r="H446" i="29"/>
  <c r="G445" i="29"/>
  <c r="K335" i="29"/>
  <c r="K339" i="29"/>
  <c r="C156" i="29"/>
  <c r="C414" i="29" s="1"/>
  <c r="N357" i="29"/>
  <c r="O501" i="29"/>
  <c r="C378" i="29"/>
  <c r="C335" i="29"/>
  <c r="E339" i="29"/>
  <c r="E335" i="29"/>
  <c r="O616" i="29"/>
  <c r="O620" i="29" s="1"/>
  <c r="N32" i="29"/>
  <c r="N52" i="29"/>
  <c r="N56" i="29" s="1"/>
  <c r="N65" i="29" s="1"/>
  <c r="N250" i="29"/>
  <c r="N574" i="29"/>
  <c r="N573" i="29" s="1"/>
  <c r="N10" i="32"/>
  <c r="N12" i="32" s="1"/>
  <c r="N9" i="32" s="1"/>
  <c r="N580" i="29"/>
  <c r="N579" i="29" s="1"/>
  <c r="N16" i="29"/>
  <c r="N19" i="29" s="1"/>
  <c r="N364" i="29" s="1"/>
  <c r="N589" i="29" s="1"/>
  <c r="C12" i="30"/>
  <c r="C28" i="32" s="1"/>
  <c r="D300" i="29"/>
  <c r="D12" i="30" s="1"/>
  <c r="D28" i="32" s="1"/>
  <c r="B27" i="30"/>
  <c r="B36" i="32" s="1"/>
  <c r="B35" i="32" s="1"/>
  <c r="B632" i="29"/>
  <c r="C491" i="29"/>
  <c r="F17" i="31"/>
  <c r="C507" i="29"/>
  <c r="F445" i="29"/>
  <c r="N603" i="29"/>
  <c r="K247" i="29"/>
  <c r="K22" i="31" s="1"/>
  <c r="D461" i="29"/>
  <c r="J247" i="29"/>
  <c r="J22" i="31" s="1"/>
  <c r="B101" i="29"/>
  <c r="B15" i="32" s="1"/>
  <c r="O56" i="29"/>
  <c r="O65" i="29" s="1"/>
  <c r="O69" i="29" s="1"/>
  <c r="O73" i="29" s="1"/>
  <c r="O358" i="29" s="1"/>
  <c r="O593" i="29" s="1"/>
  <c r="R25" i="33"/>
  <c r="D33" i="17"/>
  <c r="M338" i="29"/>
  <c r="M10" i="32"/>
  <c r="M12" i="32" s="1"/>
  <c r="M144" i="29"/>
  <c r="M164" i="29" s="1"/>
  <c r="N168" i="29" s="1"/>
  <c r="M16" i="29"/>
  <c r="J12" i="26"/>
  <c r="J12" i="29"/>
  <c r="J16" i="29" s="1"/>
  <c r="F27" i="26"/>
  <c r="F28" i="26"/>
  <c r="G5" i="21"/>
  <c r="G19" i="21" s="1"/>
  <c r="G25" i="21" s="1"/>
  <c r="E144" i="29"/>
  <c r="E401" i="29" s="1"/>
  <c r="E10" i="32"/>
  <c r="E12" i="32" s="1"/>
  <c r="E580" i="29"/>
  <c r="E579" i="29" s="1"/>
  <c r="E28" i="26"/>
  <c r="F5" i="21"/>
  <c r="F19" i="21" s="1"/>
  <c r="F25" i="21" s="1"/>
  <c r="F8" i="22" s="1"/>
  <c r="E39" i="29" s="1"/>
  <c r="E37" i="29" s="1"/>
  <c r="E26" i="26"/>
  <c r="E29" i="26"/>
  <c r="E8" i="21"/>
  <c r="E11" i="21" s="1"/>
  <c r="E5" i="22" s="1"/>
  <c r="D35" i="29" s="1"/>
  <c r="D342" i="29" s="1"/>
  <c r="F9" i="21"/>
  <c r="M28" i="26"/>
  <c r="N5" i="21"/>
  <c r="N19" i="21" s="1"/>
  <c r="M27" i="26"/>
  <c r="K10" i="32"/>
  <c r="K12" i="32" s="1"/>
  <c r="K16" i="29"/>
  <c r="K574" i="29"/>
  <c r="K573" i="29" s="1"/>
  <c r="K29" i="26"/>
  <c r="K26" i="26"/>
  <c r="L20" i="21" s="1"/>
  <c r="L5" i="21"/>
  <c r="L19" i="21" s="1"/>
  <c r="I12" i="26"/>
  <c r="D19" i="11"/>
  <c r="F26" i="26"/>
  <c r="I8" i="11"/>
  <c r="E11" i="11"/>
  <c r="I11" i="11" s="1"/>
  <c r="D28" i="26"/>
  <c r="D29" i="26"/>
  <c r="D28" i="20"/>
  <c r="C34" i="26"/>
  <c r="D12" i="26"/>
  <c r="D24" i="16"/>
  <c r="D27" i="22" s="1"/>
  <c r="D22" i="20"/>
  <c r="D21" i="22" s="1"/>
  <c r="D24" i="22" s="1"/>
  <c r="H28" i="26"/>
  <c r="I5" i="21"/>
  <c r="I19" i="21" s="1"/>
  <c r="I25" i="21" s="1"/>
  <c r="H26" i="26"/>
  <c r="I20" i="21" s="1"/>
  <c r="J8" i="15"/>
  <c r="M8" i="15" s="1"/>
  <c r="N8" i="15" s="1"/>
  <c r="F20" i="16" s="1"/>
  <c r="E9" i="16"/>
  <c r="F29" i="26"/>
  <c r="C20" i="11"/>
  <c r="C19" i="11"/>
  <c r="C22" i="11"/>
  <c r="M26" i="26"/>
  <c r="N20" i="21" s="1"/>
  <c r="L16" i="29"/>
  <c r="L10" i="32"/>
  <c r="L12" i="32" s="1"/>
  <c r="L574" i="29"/>
  <c r="L573" i="29" s="1"/>
  <c r="K12" i="26"/>
  <c r="I580" i="29"/>
  <c r="I579" i="29" s="1"/>
  <c r="I144" i="29"/>
  <c r="I401" i="29" s="1"/>
  <c r="I29" i="26"/>
  <c r="I28" i="26"/>
  <c r="H27" i="26"/>
  <c r="G159" i="29"/>
  <c r="E27" i="26"/>
  <c r="E18" i="16"/>
  <c r="I6" i="15"/>
  <c r="J6" i="15" s="1"/>
  <c r="G9" i="15"/>
  <c r="I9" i="15" s="1"/>
  <c r="E10" i="16" s="1"/>
  <c r="D11" i="21"/>
  <c r="D12" i="21" s="1"/>
  <c r="D6" i="22" s="1"/>
  <c r="B12" i="32"/>
  <c r="B34" i="26"/>
  <c r="C12" i="21" s="1"/>
  <c r="C6" i="22" s="1"/>
  <c r="B582" i="29"/>
  <c r="B579" i="29" s="1"/>
  <c r="H609" i="29"/>
  <c r="H612" i="29" s="1"/>
  <c r="I236" i="29"/>
  <c r="H507" i="29"/>
  <c r="H234" i="29"/>
  <c r="H372" i="29"/>
  <c r="H378" i="29" s="1"/>
  <c r="N116" i="29"/>
  <c r="C43" i="11"/>
  <c r="F26" i="11"/>
  <c r="D44" i="21"/>
  <c r="D11" i="22" s="1"/>
  <c r="C75" i="29" s="1"/>
  <c r="C44" i="21"/>
  <c r="C576" i="29"/>
  <c r="O338" i="29"/>
  <c r="O335" i="29" s="1"/>
  <c r="O336" i="29" s="1"/>
  <c r="O591" i="29" s="1"/>
  <c r="O497" i="29"/>
  <c r="O509" i="29" s="1"/>
  <c r="O248" i="29"/>
  <c r="B281" i="29"/>
  <c r="C26" i="22"/>
  <c r="B50" i="29" s="1"/>
  <c r="B20" i="32" s="1"/>
  <c r="L266" i="29"/>
  <c r="K31" i="31"/>
  <c r="K32" i="31" s="1"/>
  <c r="K611" i="29"/>
  <c r="H8" i="20"/>
  <c r="G32" i="20"/>
  <c r="O14" i="32"/>
  <c r="K32" i="20"/>
  <c r="K39" i="20" s="1"/>
  <c r="J153" i="29" s="1"/>
  <c r="J33" i="30" s="1"/>
  <c r="G56" i="34"/>
  <c r="G57" i="34" s="1"/>
  <c r="B59" i="50"/>
  <c r="N10" i="20"/>
  <c r="L10" i="27" s="1"/>
  <c r="L17" i="27" s="1"/>
  <c r="L24" i="27" s="1"/>
  <c r="L31" i="27" s="1"/>
  <c r="F446" i="29"/>
  <c r="E445" i="29"/>
  <c r="C101" i="29"/>
  <c r="C15" i="32" s="1"/>
  <c r="G437" i="29"/>
  <c r="F509" i="29"/>
  <c r="F510" i="29" s="1"/>
  <c r="H603" i="29"/>
  <c r="D603" i="29"/>
  <c r="B95" i="50"/>
  <c r="D95" i="50"/>
  <c r="H580" i="29"/>
  <c r="H579" i="29" s="1"/>
  <c r="H574" i="29"/>
  <c r="H573" i="29" s="1"/>
  <c r="H16" i="29"/>
  <c r="H10" i="32"/>
  <c r="H12" i="32" s="1"/>
  <c r="H144" i="29"/>
  <c r="L401" i="29"/>
  <c r="L164" i="29"/>
  <c r="M574" i="29"/>
  <c r="M573" i="29" s="1"/>
  <c r="M580" i="29"/>
  <c r="M579" i="29" s="1"/>
  <c r="M12" i="26"/>
  <c r="I8" i="22"/>
  <c r="H39" i="29" s="1"/>
  <c r="H37" i="29" s="1"/>
  <c r="J27" i="26"/>
  <c r="H12" i="26"/>
  <c r="G12" i="29"/>
  <c r="G8" i="22"/>
  <c r="F39" i="29" s="1"/>
  <c r="F37" i="29" s="1"/>
  <c r="D39" i="29"/>
  <c r="D37" i="29" s="1"/>
  <c r="F574" i="29"/>
  <c r="F573" i="29" s="1"/>
  <c r="F144" i="29"/>
  <c r="E574" i="29"/>
  <c r="E573" i="29" s="1"/>
  <c r="E16" i="29"/>
  <c r="D580" i="29"/>
  <c r="D579" i="29" s="1"/>
  <c r="C26" i="11"/>
  <c r="E25" i="11"/>
  <c r="E26" i="11"/>
  <c r="H11" i="15"/>
  <c r="J5" i="15"/>
  <c r="E6" i="16"/>
  <c r="E43" i="11"/>
  <c r="D43" i="11"/>
  <c r="I10" i="15"/>
  <c r="E22" i="16"/>
  <c r="E7" i="16"/>
  <c r="D29" i="20"/>
  <c r="C7" i="17"/>
  <c r="D7" i="17" s="1"/>
  <c r="B10" i="19"/>
  <c r="D10" i="19" s="1"/>
  <c r="C45" i="21"/>
  <c r="C12" i="22" s="1"/>
  <c r="C11" i="22"/>
  <c r="B75" i="29" s="1"/>
  <c r="B76" i="29" s="1"/>
  <c r="D26" i="26"/>
  <c r="D27" i="26"/>
  <c r="G28" i="20"/>
  <c r="D370" i="29"/>
  <c r="D595" i="29" s="1"/>
  <c r="D32" i="29"/>
  <c r="I28" i="20"/>
  <c r="D51" i="11"/>
  <c r="B584" i="29"/>
  <c r="B40" i="29"/>
  <c r="B350" i="29"/>
  <c r="B594" i="29" s="1"/>
  <c r="B25" i="29"/>
  <c r="D45" i="21"/>
  <c r="D12" i="22" s="1"/>
  <c r="B574" i="29"/>
  <c r="B573" i="29" s="1"/>
  <c r="D25" i="21"/>
  <c r="C12" i="26"/>
  <c r="E53" i="21"/>
  <c r="D54" i="21"/>
  <c r="C35" i="26"/>
  <c r="F19" i="11"/>
  <c r="C22" i="20"/>
  <c r="C21" i="22" s="1"/>
  <c r="C24" i="22" s="1"/>
  <c r="C24" i="16"/>
  <c r="C27" i="22" s="1"/>
  <c r="C26" i="21"/>
  <c r="C9" i="22" s="1"/>
  <c r="C55" i="21"/>
  <c r="C15" i="22" s="1"/>
  <c r="C5" i="22"/>
  <c r="I7" i="15"/>
  <c r="E19" i="16"/>
  <c r="B364" i="29"/>
  <c r="B589" i="29" s="1"/>
  <c r="M48" i="21"/>
  <c r="C12" i="29"/>
  <c r="C13" i="32"/>
  <c r="J446" i="29"/>
  <c r="J445" i="29"/>
  <c r="N585" i="29"/>
  <c r="N354" i="29"/>
  <c r="N592" i="29" s="1"/>
  <c r="N69" i="29"/>
  <c r="N73" i="29" s="1"/>
  <c r="O116" i="29"/>
  <c r="O25" i="29"/>
  <c r="O364" i="29"/>
  <c r="O589" i="29" s="1"/>
  <c r="O602" i="29" s="1"/>
  <c r="O342" i="29"/>
  <c r="C418" i="29"/>
  <c r="C619" i="29"/>
  <c r="O287" i="29"/>
  <c r="D44" i="19"/>
  <c r="E29" i="19"/>
  <c r="K501" i="29"/>
  <c r="K357" i="29"/>
  <c r="G248" i="29"/>
  <c r="G247" i="29" s="1"/>
  <c r="G338" i="29"/>
  <c r="L10" i="20"/>
  <c r="J10" i="27" s="1"/>
  <c r="J17" i="27" s="1"/>
  <c r="J24" i="27" s="1"/>
  <c r="J31" i="27" s="1"/>
  <c r="I8" i="20"/>
  <c r="I10" i="20" s="1"/>
  <c r="G10" i="27" s="1"/>
  <c r="G17" i="27" s="1"/>
  <c r="G24" i="27" s="1"/>
  <c r="G31" i="27" s="1"/>
  <c r="M8" i="20"/>
  <c r="M10" i="20" s="1"/>
  <c r="K10" i="27" s="1"/>
  <c r="K17" i="27" s="1"/>
  <c r="K24" i="27" s="1"/>
  <c r="K31" i="27" s="1"/>
  <c r="L32" i="20"/>
  <c r="L39" i="20" s="1"/>
  <c r="K153" i="29" s="1"/>
  <c r="H187" i="29"/>
  <c r="H20" i="20"/>
  <c r="G19" i="30"/>
  <c r="G37" i="32" s="1"/>
  <c r="J8" i="20"/>
  <c r="J10" i="20" s="1"/>
  <c r="H10" i="27" s="1"/>
  <c r="H17" i="27" s="1"/>
  <c r="H24" i="27" s="1"/>
  <c r="H31" i="27" s="1"/>
  <c r="I32" i="20"/>
  <c r="M32" i="20"/>
  <c r="M39" i="20" s="1"/>
  <c r="L153" i="29" s="1"/>
  <c r="D55" i="34"/>
  <c r="D54" i="34"/>
  <c r="C95" i="50"/>
  <c r="J76" i="23"/>
  <c r="D37" i="56" s="1"/>
  <c r="E37" i="56" s="1"/>
  <c r="B81" i="50"/>
  <c r="C104" i="50"/>
  <c r="B89" i="50"/>
  <c r="B90" i="50"/>
  <c r="B60" i="50"/>
  <c r="C81" i="50"/>
  <c r="N5" i="48"/>
  <c r="M5" i="48"/>
  <c r="N4" i="48"/>
  <c r="M4" i="48"/>
  <c r="B16" i="48"/>
  <c r="B17" i="48" s="1"/>
  <c r="B18" i="48" s="1"/>
  <c r="B19" i="48" s="1"/>
  <c r="B20" i="48" s="1"/>
  <c r="B21" i="48" s="1"/>
  <c r="B22" i="48" s="1"/>
  <c r="B23" i="48" s="1"/>
  <c r="B24" i="48" s="1"/>
  <c r="B25" i="48" s="1"/>
  <c r="D113" i="50"/>
  <c r="C90" i="50"/>
  <c r="C60" i="50"/>
  <c r="D59" i="50"/>
  <c r="D15" i="50"/>
  <c r="C113" i="50"/>
  <c r="D104" i="50"/>
  <c r="D16" i="50"/>
  <c r="D22" i="50" s="1"/>
  <c r="D88" i="50" s="1"/>
  <c r="D81" i="50"/>
  <c r="D105" i="50"/>
  <c r="D89" i="50"/>
  <c r="D90" i="50"/>
  <c r="C89" i="50"/>
  <c r="K53" i="23"/>
  <c r="E103" i="46" s="1"/>
  <c r="D6" i="56"/>
  <c r="B33" i="48"/>
  <c r="B34" i="48" s="1"/>
  <c r="B35" i="48" s="1"/>
  <c r="B36" i="48" s="1"/>
  <c r="B37" i="48" s="1"/>
  <c r="B38" i="48" s="1"/>
  <c r="B39" i="48" s="1"/>
  <c r="B40" i="48" s="1"/>
  <c r="B41" i="48" s="1"/>
  <c r="B42" i="48" s="1"/>
  <c r="B43" i="48" s="1"/>
  <c r="D60" i="50"/>
  <c r="B15" i="50"/>
  <c r="B16" i="50"/>
  <c r="B22" i="50" s="1"/>
  <c r="B88" i="50" s="1"/>
  <c r="C16" i="50"/>
  <c r="C22" i="50" s="1"/>
  <c r="C91" i="50" s="1"/>
  <c r="C15" i="50"/>
  <c r="X28" i="23"/>
  <c r="AI28" i="23"/>
  <c r="R58" i="23"/>
  <c r="R64" i="23" s="1"/>
  <c r="AC28" i="23"/>
  <c r="AD28" i="23"/>
  <c r="AB28" i="23"/>
  <c r="AA28" i="23"/>
  <c r="J28" i="23"/>
  <c r="I28" i="23"/>
  <c r="E6" i="56" l="1"/>
  <c r="E17" i="56" s="1"/>
  <c r="B46" i="29"/>
  <c r="D268" i="29"/>
  <c r="D546" i="29" s="1"/>
  <c r="D553" i="29" s="1"/>
  <c r="C509" i="29"/>
  <c r="N602" i="29"/>
  <c r="C7" i="31"/>
  <c r="C10" i="31" s="1"/>
  <c r="C283" i="29"/>
  <c r="C460" i="29"/>
  <c r="D40" i="32"/>
  <c r="D55" i="32"/>
  <c r="D5" i="22"/>
  <c r="K401" i="29"/>
  <c r="M401" i="29"/>
  <c r="K166" i="29"/>
  <c r="N25" i="29"/>
  <c r="N604" i="29"/>
  <c r="O605" i="29"/>
  <c r="D509" i="29"/>
  <c r="I584" i="29"/>
  <c r="M548" i="29"/>
  <c r="O354" i="29"/>
  <c r="O592" i="29" s="1"/>
  <c r="E55" i="32"/>
  <c r="H481" i="29"/>
  <c r="N418" i="29"/>
  <c r="O439" i="29"/>
  <c r="N194" i="29"/>
  <c r="D57" i="34"/>
  <c r="M166" i="29"/>
  <c r="D481" i="29"/>
  <c r="D510" i="29" s="1"/>
  <c r="G34" i="19"/>
  <c r="E35" i="19" s="1"/>
  <c r="E509" i="29"/>
  <c r="O198" i="29"/>
  <c r="N9" i="30"/>
  <c r="N25" i="32" s="1"/>
  <c r="N437" i="29"/>
  <c r="B82" i="50"/>
  <c r="B35" i="30"/>
  <c r="D11" i="15"/>
  <c r="C268" i="29"/>
  <c r="C22" i="31"/>
  <c r="C32" i="31" s="1"/>
  <c r="D574" i="29"/>
  <c r="D573" i="29" s="1"/>
  <c r="D144" i="29"/>
  <c r="T25" i="33"/>
  <c r="B49" i="29"/>
  <c r="B43" i="29"/>
  <c r="G26" i="31"/>
  <c r="G23" i="26"/>
  <c r="G32" i="26" s="1"/>
  <c r="C304" i="29"/>
  <c r="C36" i="31" s="1"/>
  <c r="H9" i="20"/>
  <c r="H10" i="20" s="1"/>
  <c r="F10" i="27" s="1"/>
  <c r="F17" i="27" s="1"/>
  <c r="F24" i="27" s="1"/>
  <c r="F31" i="27" s="1"/>
  <c r="G36" i="20"/>
  <c r="J461" i="29"/>
  <c r="I446" i="29"/>
  <c r="I445" i="29"/>
  <c r="I461" i="29"/>
  <c r="U25" i="33"/>
  <c r="I339" i="29"/>
  <c r="I335" i="29"/>
  <c r="H509" i="29"/>
  <c r="H510" i="29" s="1"/>
  <c r="M339" i="29"/>
  <c r="M335" i="29"/>
  <c r="C40" i="32"/>
  <c r="C55" i="32"/>
  <c r="N248" i="29"/>
  <c r="N247" i="29" s="1"/>
  <c r="N338" i="29"/>
  <c r="F22" i="31"/>
  <c r="F32" i="31" s="1"/>
  <c r="F268" i="29"/>
  <c r="F9" i="20"/>
  <c r="F10" i="20" s="1"/>
  <c r="D10" i="27" s="1"/>
  <c r="D17" i="27" s="1"/>
  <c r="D24" i="27" s="1"/>
  <c r="D31" i="27" s="1"/>
  <c r="E36" i="20"/>
  <c r="E39" i="20" s="1"/>
  <c r="D153" i="29" s="1"/>
  <c r="D33" i="30" s="1"/>
  <c r="E546" i="29"/>
  <c r="E553" i="29" s="1"/>
  <c r="E379" i="29"/>
  <c r="O585" i="29"/>
  <c r="G11" i="15"/>
  <c r="G39" i="20"/>
  <c r="F153" i="29" s="1"/>
  <c r="F33" i="30" s="1"/>
  <c r="J9" i="15"/>
  <c r="M9" i="15" s="1"/>
  <c r="O548" i="29"/>
  <c r="O166" i="29"/>
  <c r="O194" i="29" s="1"/>
  <c r="O168" i="29"/>
  <c r="N497" i="29"/>
  <c r="N509" i="29" s="1"/>
  <c r="L15" i="21"/>
  <c r="K25" i="21"/>
  <c r="K8" i="22" s="1"/>
  <c r="J39" i="29" s="1"/>
  <c r="J37" i="29" s="1"/>
  <c r="J350" i="29" s="1"/>
  <c r="J594" i="29" s="1"/>
  <c r="D36" i="20"/>
  <c r="D37" i="20" s="1"/>
  <c r="E35" i="20" s="1"/>
  <c r="E37" i="20" s="1"/>
  <c r="F35" i="20" s="1"/>
  <c r="F37" i="20" s="1"/>
  <c r="G35" i="20" s="1"/>
  <c r="G37" i="20" s="1"/>
  <c r="H35" i="20" s="1"/>
  <c r="H37" i="20" s="1"/>
  <c r="E9" i="20"/>
  <c r="E10" i="20" s="1"/>
  <c r="C10" i="27" s="1"/>
  <c r="C17" i="27" s="1"/>
  <c r="C24" i="27" s="1"/>
  <c r="C31" i="27" s="1"/>
  <c r="B268" i="29"/>
  <c r="B22" i="31"/>
  <c r="B32" i="31" s="1"/>
  <c r="B43" i="32" s="1"/>
  <c r="O599" i="29"/>
  <c r="O607" i="29" s="1"/>
  <c r="O613" i="29" s="1"/>
  <c r="O624" i="29" s="1"/>
  <c r="B602" i="29"/>
  <c r="C481" i="29"/>
  <c r="B9" i="32"/>
  <c r="N583" i="29"/>
  <c r="N605" i="29" s="1"/>
  <c r="N399" i="29"/>
  <c r="N596" i="29" s="1"/>
  <c r="O349" i="29"/>
  <c r="O350" i="29" s="1"/>
  <c r="O594" i="29" s="1"/>
  <c r="O604" i="29" s="1"/>
  <c r="O257" i="29"/>
  <c r="O247" i="29" s="1"/>
  <c r="O268" i="29" s="1"/>
  <c r="O505" i="29"/>
  <c r="L292" i="29"/>
  <c r="K16" i="31"/>
  <c r="K17" i="31" s="1"/>
  <c r="K298" i="29"/>
  <c r="K461" i="29" s="1"/>
  <c r="B414" i="29"/>
  <c r="B164" i="29"/>
  <c r="E481" i="29"/>
  <c r="E510" i="29" s="1"/>
  <c r="F156" i="29"/>
  <c r="F414" i="29" s="1"/>
  <c r="F32" i="30"/>
  <c r="O619" i="29"/>
  <c r="O418" i="29"/>
  <c r="S25" i="33"/>
  <c r="B54" i="32"/>
  <c r="C510" i="29"/>
  <c r="O339" i="29"/>
  <c r="O378" i="29"/>
  <c r="N76" i="29"/>
  <c r="N49" i="29"/>
  <c r="N43" i="29"/>
  <c r="N40" i="29"/>
  <c r="N36" i="29"/>
  <c r="N46" i="29"/>
  <c r="F20" i="21"/>
  <c r="E32" i="26"/>
  <c r="C448" i="29"/>
  <c r="B8" i="31"/>
  <c r="B10" i="31" s="1"/>
  <c r="O586" i="29"/>
  <c r="O78" i="29"/>
  <c r="K40" i="32"/>
  <c r="K55" i="32"/>
  <c r="I609" i="29"/>
  <c r="I612" i="29" s="1"/>
  <c r="I234" i="29"/>
  <c r="J236" i="29"/>
  <c r="J507" i="29" s="1"/>
  <c r="J509" i="29" s="1"/>
  <c r="I372" i="29"/>
  <c r="I378" i="29" s="1"/>
  <c r="I481" i="29" s="1"/>
  <c r="I507" i="29"/>
  <c r="I509" i="29" s="1"/>
  <c r="F32" i="26"/>
  <c r="G20" i="21"/>
  <c r="F8" i="21"/>
  <c r="F11" i="21" s="1"/>
  <c r="G9" i="21"/>
  <c r="E31" i="30"/>
  <c r="E35" i="30" s="1"/>
  <c r="E164" i="29"/>
  <c r="J574" i="29"/>
  <c r="J573" i="29" s="1"/>
  <c r="J10" i="32"/>
  <c r="J12" i="32" s="1"/>
  <c r="J144" i="29"/>
  <c r="J580" i="29"/>
  <c r="J579" i="29" s="1"/>
  <c r="N600" i="29"/>
  <c r="E23" i="16"/>
  <c r="E26" i="22" s="1"/>
  <c r="D50" i="29" s="1"/>
  <c r="B379" i="29"/>
  <c r="G156" i="29"/>
  <c r="G414" i="29" s="1"/>
  <c r="G32" i="30"/>
  <c r="H159" i="29"/>
  <c r="I31" i="30"/>
  <c r="I35" i="30" s="1"/>
  <c r="I164" i="29"/>
  <c r="O601" i="29"/>
  <c r="M266" i="29"/>
  <c r="L611" i="29"/>
  <c r="L31" i="31"/>
  <c r="L32" i="31" s="1"/>
  <c r="B283" i="29"/>
  <c r="B304" i="29" s="1"/>
  <c r="B36" i="31" s="1"/>
  <c r="H23" i="26"/>
  <c r="H32" i="26" s="1"/>
  <c r="H26" i="31"/>
  <c r="H32" i="31" s="1"/>
  <c r="H268" i="29"/>
  <c r="H546" i="29" s="1"/>
  <c r="H553" i="29" s="1"/>
  <c r="AH29" i="23"/>
  <c r="G57" i="23"/>
  <c r="G60" i="23" s="1"/>
  <c r="G335" i="29"/>
  <c r="G339" i="29"/>
  <c r="G378" i="29"/>
  <c r="G481" i="29" s="1"/>
  <c r="G29" i="19"/>
  <c r="E30" i="19" s="1"/>
  <c r="E21" i="17"/>
  <c r="F21" i="17" s="1"/>
  <c r="C19" i="31"/>
  <c r="C42" i="32"/>
  <c r="O80" i="29"/>
  <c r="O84" i="29" s="1"/>
  <c r="O28" i="29"/>
  <c r="C17" i="22"/>
  <c r="C23" i="22" s="1"/>
  <c r="C29" i="22" s="1"/>
  <c r="B35" i="29"/>
  <c r="E54" i="21"/>
  <c r="F53" i="21"/>
  <c r="D26" i="21"/>
  <c r="D9" i="22" s="1"/>
  <c r="D8" i="22"/>
  <c r="C39" i="29" s="1"/>
  <c r="C37" i="29" s="1"/>
  <c r="B604" i="29"/>
  <c r="E418" i="29"/>
  <c r="E619" i="29"/>
  <c r="C35" i="29"/>
  <c r="D350" i="29"/>
  <c r="D594" i="29" s="1"/>
  <c r="D584" i="29"/>
  <c r="E350" i="29"/>
  <c r="E594" i="29" s="1"/>
  <c r="E584" i="29"/>
  <c r="G268" i="29"/>
  <c r="G22" i="31"/>
  <c r="G32" i="31" s="1"/>
  <c r="O46" i="29"/>
  <c r="O76" i="29"/>
  <c r="O36" i="29"/>
  <c r="O40" i="29"/>
  <c r="O43" i="29"/>
  <c r="N586" i="29"/>
  <c r="N78" i="29"/>
  <c r="N80" i="29" s="1"/>
  <c r="N84" i="29" s="1"/>
  <c r="N358" i="29"/>
  <c r="N593" i="29" s="1"/>
  <c r="C580" i="29"/>
  <c r="C579" i="29" s="1"/>
  <c r="C16" i="29"/>
  <c r="C19" i="29" s="1"/>
  <c r="C10" i="32"/>
  <c r="C12" i="32" s="1"/>
  <c r="C9" i="32" s="1"/>
  <c r="C574" i="29"/>
  <c r="C573" i="29" s="1"/>
  <c r="D583" i="29"/>
  <c r="D399" i="29"/>
  <c r="D596" i="29" s="1"/>
  <c r="D336" i="29"/>
  <c r="D591" i="29" s="1"/>
  <c r="J10" i="15"/>
  <c r="M10" i="15" s="1"/>
  <c r="E11" i="16"/>
  <c r="F584" i="29"/>
  <c r="F350" i="29"/>
  <c r="F594" i="29" s="1"/>
  <c r="G10" i="32"/>
  <c r="G12" i="32" s="1"/>
  <c r="G574" i="29"/>
  <c r="G573" i="29" s="1"/>
  <c r="G16" i="29"/>
  <c r="G144" i="29"/>
  <c r="G580" i="29"/>
  <c r="G579" i="29" s="1"/>
  <c r="N9" i="15"/>
  <c r="F21" i="16" s="1"/>
  <c r="H31" i="30"/>
  <c r="H35" i="30" s="1"/>
  <c r="H164" i="29"/>
  <c r="H401" i="29"/>
  <c r="O16" i="30"/>
  <c r="O32" i="32" s="1"/>
  <c r="O14" i="31"/>
  <c r="E8" i="16"/>
  <c r="I11" i="15"/>
  <c r="J7" i="15"/>
  <c r="M7" i="15" s="1"/>
  <c r="E20" i="21"/>
  <c r="D32" i="26"/>
  <c r="C8" i="17"/>
  <c r="D8" i="17" s="1"/>
  <c r="B11" i="19"/>
  <c r="D11" i="19" s="1"/>
  <c r="F31" i="30"/>
  <c r="F35" i="30" s="1"/>
  <c r="F401" i="29"/>
  <c r="F164" i="29"/>
  <c r="O8" i="15"/>
  <c r="I604" i="29"/>
  <c r="H584" i="29"/>
  <c r="H350" i="29"/>
  <c r="H594" i="29" s="1"/>
  <c r="I187" i="29"/>
  <c r="I20" i="20"/>
  <c r="H19" i="30"/>
  <c r="H37" i="32" s="1"/>
  <c r="D43" i="34"/>
  <c r="N48" i="21"/>
  <c r="D14" i="22"/>
  <c r="C45" i="29" s="1"/>
  <c r="D55" i="21"/>
  <c r="D15" i="22" s="1"/>
  <c r="F5" i="22"/>
  <c r="I39" i="20"/>
  <c r="H153" i="29" s="1"/>
  <c r="H33" i="30" s="1"/>
  <c r="N6" i="15"/>
  <c r="F18" i="16" s="1"/>
  <c r="M6" i="15"/>
  <c r="M5" i="15"/>
  <c r="J11" i="15"/>
  <c r="G350" i="29"/>
  <c r="G594" i="29" s="1"/>
  <c r="G584" i="29"/>
  <c r="L166" i="29"/>
  <c r="L548" i="29"/>
  <c r="C82" i="50"/>
  <c r="AB29" i="23"/>
  <c r="D91" i="50"/>
  <c r="D24" i="50"/>
  <c r="D82" i="50"/>
  <c r="B91" i="50"/>
  <c r="B24" i="50"/>
  <c r="B33" i="50" s="1"/>
  <c r="B36" i="50" s="1"/>
  <c r="C24" i="50"/>
  <c r="C88" i="50"/>
  <c r="AF28" i="23"/>
  <c r="AE28" i="23"/>
  <c r="E24" i="16" l="1"/>
  <c r="E27" i="22" s="1"/>
  <c r="I510" i="29"/>
  <c r="O22" i="31"/>
  <c r="O32" i="31" s="1"/>
  <c r="F604" i="29"/>
  <c r="D379" i="29"/>
  <c r="O9" i="30"/>
  <c r="O25" i="32" s="1"/>
  <c r="O437" i="29"/>
  <c r="O622" i="29"/>
  <c r="J584" i="29"/>
  <c r="J604" i="29" s="1"/>
  <c r="B45" i="31"/>
  <c r="O484" i="29"/>
  <c r="C14" i="32"/>
  <c r="D40" i="20"/>
  <c r="C181" i="29" s="1"/>
  <c r="C192" i="29" s="1"/>
  <c r="D281" i="29"/>
  <c r="O600" i="29"/>
  <c r="E27" i="17"/>
  <c r="F27" i="17" s="1"/>
  <c r="G35" i="19"/>
  <c r="E36" i="19" s="1"/>
  <c r="D32" i="50"/>
  <c r="D35" i="50" s="1"/>
  <c r="D119" i="50" s="1"/>
  <c r="D121" i="50" s="1"/>
  <c r="F5" i="57"/>
  <c r="F6" i="57" s="1"/>
  <c r="G77" i="23"/>
  <c r="G78" i="23" s="1"/>
  <c r="G17" i="29"/>
  <c r="G19" i="29" s="1"/>
  <c r="G34" i="26"/>
  <c r="C546" i="29"/>
  <c r="C553" i="29" s="1"/>
  <c r="C379" i="29"/>
  <c r="E12" i="16"/>
  <c r="N616" i="29"/>
  <c r="N620" i="29" s="1"/>
  <c r="D31" i="30"/>
  <c r="D35" i="30" s="1"/>
  <c r="D164" i="29"/>
  <c r="D401" i="29"/>
  <c r="E604" i="29"/>
  <c r="B55" i="32"/>
  <c r="B56" i="32" s="1"/>
  <c r="B45" i="32"/>
  <c r="B43" i="31"/>
  <c r="B44" i="32"/>
  <c r="B42" i="31"/>
  <c r="B40" i="32"/>
  <c r="N378" i="29"/>
  <c r="O481" i="29" s="1"/>
  <c r="N339" i="29"/>
  <c r="N335" i="29"/>
  <c r="N336" i="29" s="1"/>
  <c r="N591" i="29" s="1"/>
  <c r="N599" i="29" s="1"/>
  <c r="N607" i="29" s="1"/>
  <c r="N613" i="29" s="1"/>
  <c r="B548" i="29"/>
  <c r="B166" i="29"/>
  <c r="B194" i="29" s="1"/>
  <c r="M292" i="29"/>
  <c r="L16" i="31"/>
  <c r="L17" i="31" s="1"/>
  <c r="L298" i="29"/>
  <c r="L461" i="29" s="1"/>
  <c r="B308" i="29"/>
  <c r="B546" i="29"/>
  <c r="M15" i="21"/>
  <c r="L25" i="21"/>
  <c r="N268" i="29"/>
  <c r="N22" i="31"/>
  <c r="N32" i="31" s="1"/>
  <c r="B619" i="29"/>
  <c r="B418" i="29"/>
  <c r="F546" i="29"/>
  <c r="F553" i="29" s="1"/>
  <c r="F379" i="29"/>
  <c r="D39" i="20"/>
  <c r="C153" i="29" s="1"/>
  <c r="F55" i="32"/>
  <c r="F40" i="32"/>
  <c r="B19" i="31"/>
  <c r="B42" i="32"/>
  <c r="D604" i="29"/>
  <c r="L40" i="32"/>
  <c r="L55" i="32"/>
  <c r="I166" i="29"/>
  <c r="I548" i="29"/>
  <c r="K236" i="29"/>
  <c r="J372" i="29"/>
  <c r="J378" i="29" s="1"/>
  <c r="J234" i="29"/>
  <c r="J609" i="29"/>
  <c r="J612" i="29" s="1"/>
  <c r="E34" i="26"/>
  <c r="E17" i="29"/>
  <c r="O308" i="29"/>
  <c r="O311" i="29"/>
  <c r="O379" i="29"/>
  <c r="O546" i="29"/>
  <c r="O614" i="29"/>
  <c r="H40" i="32"/>
  <c r="H55" i="32"/>
  <c r="I54" i="32"/>
  <c r="E548" i="29"/>
  <c r="E551" i="29" s="1"/>
  <c r="E559" i="29" s="1"/>
  <c r="E563" i="29" s="1"/>
  <c r="E166" i="29"/>
  <c r="I268" i="29"/>
  <c r="I26" i="31"/>
  <c r="I32" i="31" s="1"/>
  <c r="I23" i="26"/>
  <c r="I32" i="26" s="1"/>
  <c r="O44" i="32"/>
  <c r="O43" i="32"/>
  <c r="O55" i="32"/>
  <c r="O56" i="32" s="1"/>
  <c r="O43" i="31"/>
  <c r="O42" i="31"/>
  <c r="O40" i="32"/>
  <c r="O45" i="32"/>
  <c r="O45" i="31"/>
  <c r="H17" i="29"/>
  <c r="H34" i="26"/>
  <c r="M611" i="29"/>
  <c r="M31" i="31"/>
  <c r="M32" i="31" s="1"/>
  <c r="H156" i="29"/>
  <c r="H414" i="29" s="1"/>
  <c r="H619" i="29" s="1"/>
  <c r="H32" i="30"/>
  <c r="I159" i="29"/>
  <c r="J401" i="29"/>
  <c r="J31" i="30"/>
  <c r="J35" i="30" s="1"/>
  <c r="J54" i="32" s="1"/>
  <c r="J164" i="29"/>
  <c r="E43" i="31"/>
  <c r="E44" i="32"/>
  <c r="E54" i="32"/>
  <c r="E56" i="32" s="1"/>
  <c r="E45" i="32"/>
  <c r="E45" i="31"/>
  <c r="E42" i="31"/>
  <c r="E43" i="32"/>
  <c r="F17" i="29"/>
  <c r="F34" i="26"/>
  <c r="N601" i="29"/>
  <c r="H9" i="21"/>
  <c r="G8" i="21"/>
  <c r="G11" i="21" s="1"/>
  <c r="D278" i="29"/>
  <c r="E33" i="21"/>
  <c r="E44" i="21" s="1"/>
  <c r="F548" i="29"/>
  <c r="F551" i="29" s="1"/>
  <c r="F166" i="29"/>
  <c r="E35" i="29"/>
  <c r="H604" i="29"/>
  <c r="F9" i="16"/>
  <c r="D18" i="15"/>
  <c r="G18" i="15" s="1"/>
  <c r="F619" i="29"/>
  <c r="F418" i="29"/>
  <c r="F484" i="29" s="1"/>
  <c r="F487" i="29" s="1"/>
  <c r="O38" i="32"/>
  <c r="H548" i="29"/>
  <c r="H551" i="29" s="1"/>
  <c r="H166" i="29"/>
  <c r="D599" i="29"/>
  <c r="D605" i="29"/>
  <c r="D616" i="29"/>
  <c r="D620" i="29" s="1"/>
  <c r="N16" i="32"/>
  <c r="N103" i="29"/>
  <c r="N107" i="29" s="1"/>
  <c r="C32" i="29"/>
  <c r="C342" i="29"/>
  <c r="C370" i="29"/>
  <c r="C595" i="29" s="1"/>
  <c r="C52" i="29"/>
  <c r="C56" i="29" s="1"/>
  <c r="C65" i="29" s="1"/>
  <c r="E419" i="29"/>
  <c r="E484" i="29"/>
  <c r="E487" i="29" s="1"/>
  <c r="G53" i="21"/>
  <c r="F54" i="21"/>
  <c r="C35" i="31"/>
  <c r="C41" i="32"/>
  <c r="C52" i="32"/>
  <c r="D45" i="34"/>
  <c r="D44" i="34"/>
  <c r="J187" i="29"/>
  <c r="I19" i="30"/>
  <c r="I37" i="32" s="1"/>
  <c r="J20" i="20"/>
  <c r="D34" i="26"/>
  <c r="E55" i="21" s="1"/>
  <c r="E15" i="22" s="1"/>
  <c r="D17" i="29"/>
  <c r="H54" i="32"/>
  <c r="H56" i="32" s="1"/>
  <c r="H45" i="32"/>
  <c r="H43" i="31"/>
  <c r="H44" i="32"/>
  <c r="H45" i="31"/>
  <c r="H42" i="31"/>
  <c r="H43" i="32"/>
  <c r="G31" i="30"/>
  <c r="G35" i="30" s="1"/>
  <c r="G54" i="32" s="1"/>
  <c r="G401" i="29"/>
  <c r="G164" i="29"/>
  <c r="N10" i="15"/>
  <c r="F22" i="16" s="1"/>
  <c r="G40" i="32"/>
  <c r="G55" i="32"/>
  <c r="G43" i="32"/>
  <c r="G45" i="31"/>
  <c r="G45" i="32"/>
  <c r="E14" i="22"/>
  <c r="D45" i="29" s="1"/>
  <c r="F54" i="32"/>
  <c r="F45" i="32"/>
  <c r="F44" i="32"/>
  <c r="F42" i="31"/>
  <c r="F43" i="32"/>
  <c r="F43" i="31"/>
  <c r="F45" i="31"/>
  <c r="G604" i="29"/>
  <c r="N5" i="15"/>
  <c r="M11" i="15"/>
  <c r="O6" i="15"/>
  <c r="O9" i="15"/>
  <c r="G546" i="29"/>
  <c r="G379" i="29"/>
  <c r="C18" i="30"/>
  <c r="C584" i="29"/>
  <c r="C350" i="29"/>
  <c r="C594" i="29" s="1"/>
  <c r="B342" i="29"/>
  <c r="B370" i="29"/>
  <c r="B595" i="29" s="1"/>
  <c r="B32" i="29"/>
  <c r="B52" i="29"/>
  <c r="B56" i="29" s="1"/>
  <c r="B65" i="29" s="1"/>
  <c r="O103" i="29"/>
  <c r="O107" i="29" s="1"/>
  <c r="O16" i="32"/>
  <c r="E22" i="17"/>
  <c r="F22" i="17" s="1"/>
  <c r="G30" i="19"/>
  <c r="E31" i="19" s="1"/>
  <c r="D448" i="29"/>
  <c r="D20" i="32"/>
  <c r="D435" i="29"/>
  <c r="B12" i="19"/>
  <c r="D12" i="19" s="1"/>
  <c r="C9" i="17"/>
  <c r="D9" i="17" s="1"/>
  <c r="N7" i="15"/>
  <c r="F19" i="16" s="1"/>
  <c r="C364" i="29"/>
  <c r="C589" i="29" s="1"/>
  <c r="C602" i="29" s="1"/>
  <c r="C116" i="29"/>
  <c r="C40" i="29" s="1"/>
  <c r="C25" i="29"/>
  <c r="O627" i="29"/>
  <c r="O630" i="29" s="1"/>
  <c r="D17" i="22"/>
  <c r="D23" i="22" s="1"/>
  <c r="D29" i="22" s="1"/>
  <c r="G510" i="29"/>
  <c r="D8" i="31"/>
  <c r="AE29" i="23"/>
  <c r="F57" i="23"/>
  <c r="D33" i="50"/>
  <c r="D36" i="50" s="1"/>
  <c r="D37" i="50" s="1"/>
  <c r="D38" i="50" s="1"/>
  <c r="D87" i="50" s="1"/>
  <c r="E106" i="46"/>
  <c r="B32" i="50"/>
  <c r="B35" i="50" s="1"/>
  <c r="B37" i="50"/>
  <c r="B38" i="50" s="1"/>
  <c r="B87" i="50" s="1"/>
  <c r="B86" i="50"/>
  <c r="C32" i="50"/>
  <c r="C35" i="50" s="1"/>
  <c r="C119" i="50" s="1"/>
  <c r="C121" i="50" s="1"/>
  <c r="C33" i="50"/>
  <c r="C36" i="50" s="1"/>
  <c r="J73" i="23"/>
  <c r="G25" i="29" l="1"/>
  <c r="G364" i="29"/>
  <c r="G589" i="29" s="1"/>
  <c r="G602" i="29" s="1"/>
  <c r="G116" i="29"/>
  <c r="F56" i="32"/>
  <c r="E28" i="17"/>
  <c r="F28" i="17" s="1"/>
  <c r="G36" i="19"/>
  <c r="E37" i="19" s="1"/>
  <c r="D34" i="56"/>
  <c r="E34" i="56" s="1"/>
  <c r="E38" i="56" s="1"/>
  <c r="G84" i="23"/>
  <c r="E15" i="46" s="1"/>
  <c r="B311" i="29"/>
  <c r="D54" i="32"/>
  <c r="D56" i="32" s="1"/>
  <c r="D45" i="32"/>
  <c r="D43" i="32"/>
  <c r="D42" i="31"/>
  <c r="D43" i="31"/>
  <c r="D45" i="31"/>
  <c r="D44" i="32"/>
  <c r="D619" i="29"/>
  <c r="D418" i="29"/>
  <c r="D484" i="29" s="1"/>
  <c r="D487" i="29" s="1"/>
  <c r="F7" i="27"/>
  <c r="H26" i="21"/>
  <c r="H9" i="22" s="1"/>
  <c r="D548" i="29"/>
  <c r="D551" i="29" s="1"/>
  <c r="D559" i="29" s="1"/>
  <c r="D563" i="29" s="1"/>
  <c r="D166" i="29"/>
  <c r="D419" i="29"/>
  <c r="G576" i="29"/>
  <c r="G582" i="29"/>
  <c r="G13" i="32"/>
  <c r="G9" i="32" s="1"/>
  <c r="O510" i="29"/>
  <c r="O487" i="29"/>
  <c r="C33" i="30"/>
  <c r="C35" i="30" s="1"/>
  <c r="C164" i="29"/>
  <c r="N15" i="21"/>
  <c r="N25" i="21" s="1"/>
  <c r="M25" i="21"/>
  <c r="N42" i="31"/>
  <c r="N44" i="32"/>
  <c r="N45" i="31"/>
  <c r="N43" i="31"/>
  <c r="N45" i="32"/>
  <c r="N43" i="32"/>
  <c r="N40" i="32"/>
  <c r="N55" i="32"/>
  <c r="N56" i="32" s="1"/>
  <c r="B553" i="29"/>
  <c r="B559" i="29" s="1"/>
  <c r="B551" i="29"/>
  <c r="N308" i="29"/>
  <c r="N379" i="29"/>
  <c r="N546" i="29"/>
  <c r="N311" i="29"/>
  <c r="N614" i="29"/>
  <c r="N292" i="29"/>
  <c r="M298" i="29"/>
  <c r="M461" i="29" s="1"/>
  <c r="M16" i="31"/>
  <c r="M17" i="31" s="1"/>
  <c r="N624" i="29"/>
  <c r="N622" i="29"/>
  <c r="C604" i="29"/>
  <c r="G42" i="31"/>
  <c r="B419" i="29"/>
  <c r="C484" i="29"/>
  <c r="C487" i="29" s="1"/>
  <c r="L26" i="21"/>
  <c r="L9" i="22" s="1"/>
  <c r="L8" i="22"/>
  <c r="K39" i="29" s="1"/>
  <c r="K37" i="29" s="1"/>
  <c r="B625" i="29"/>
  <c r="B557" i="29"/>
  <c r="I55" i="32"/>
  <c r="I56" i="32" s="1"/>
  <c r="I40" i="32"/>
  <c r="I43" i="32"/>
  <c r="I45" i="31"/>
  <c r="I44" i="32"/>
  <c r="I42" i="31"/>
  <c r="I45" i="32"/>
  <c r="L236" i="29"/>
  <c r="K234" i="29"/>
  <c r="K372" i="29"/>
  <c r="K378" i="29" s="1"/>
  <c r="K481" i="29" s="1"/>
  <c r="K609" i="29"/>
  <c r="K612" i="29" s="1"/>
  <c r="L507" i="29"/>
  <c r="L509" i="29" s="1"/>
  <c r="H418" i="29"/>
  <c r="H484" i="29" s="1"/>
  <c r="H487" i="29" s="1"/>
  <c r="F419" i="29"/>
  <c r="G12" i="21"/>
  <c r="G6" i="22" s="1"/>
  <c r="G5" i="22"/>
  <c r="F35" i="29" s="1"/>
  <c r="M40" i="32"/>
  <c r="M55" i="32"/>
  <c r="I546" i="29"/>
  <c r="I553" i="29" s="1"/>
  <c r="I311" i="29"/>
  <c r="I308" i="29"/>
  <c r="I379" i="29"/>
  <c r="I43" i="31"/>
  <c r="O625" i="29"/>
  <c r="O628" i="29" s="1"/>
  <c r="O557" i="29"/>
  <c r="J26" i="31"/>
  <c r="J32" i="31" s="1"/>
  <c r="J23" i="26"/>
  <c r="J32" i="26" s="1"/>
  <c r="J268" i="29"/>
  <c r="H8" i="21"/>
  <c r="H11" i="21" s="1"/>
  <c r="I9" i="21"/>
  <c r="G26" i="21"/>
  <c r="G9" i="22" s="1"/>
  <c r="G35" i="26"/>
  <c r="F35" i="26"/>
  <c r="E7" i="27"/>
  <c r="J159" i="29"/>
  <c r="I156" i="29"/>
  <c r="I414" i="29" s="1"/>
  <c r="I32" i="30"/>
  <c r="E308" i="29"/>
  <c r="E311" i="29"/>
  <c r="O553" i="29"/>
  <c r="O551" i="29"/>
  <c r="E13" i="32"/>
  <c r="E9" i="32" s="1"/>
  <c r="E576" i="29"/>
  <c r="E582" i="29"/>
  <c r="E19" i="29"/>
  <c r="K507" i="29"/>
  <c r="K509" i="29" s="1"/>
  <c r="H576" i="29"/>
  <c r="H582" i="29"/>
  <c r="H13" i="32"/>
  <c r="H9" i="32" s="1"/>
  <c r="H14" i="32" s="1"/>
  <c r="H19" i="29"/>
  <c r="F582" i="29"/>
  <c r="F13" i="32"/>
  <c r="F9" i="32" s="1"/>
  <c r="F576" i="29"/>
  <c r="F19" i="29"/>
  <c r="J548" i="29"/>
  <c r="J166" i="29"/>
  <c r="H35" i="26"/>
  <c r="G7" i="27"/>
  <c r="I26" i="21"/>
  <c r="I9" i="22" s="1"/>
  <c r="I34" i="26"/>
  <c r="I17" i="29"/>
  <c r="D7" i="27"/>
  <c r="F26" i="21"/>
  <c r="F9" i="22" s="1"/>
  <c r="F12" i="21"/>
  <c r="F6" i="22" s="1"/>
  <c r="J379" i="29"/>
  <c r="J481" i="29"/>
  <c r="J510" i="29" s="1"/>
  <c r="B52" i="32"/>
  <c r="B35" i="31"/>
  <c r="B41" i="32"/>
  <c r="C28" i="29"/>
  <c r="G49" i="29"/>
  <c r="G43" i="29"/>
  <c r="G40" i="29"/>
  <c r="N11" i="15"/>
  <c r="F17" i="16"/>
  <c r="F23" i="16" s="1"/>
  <c r="D582" i="29"/>
  <c r="D13" i="32"/>
  <c r="D9" i="32" s="1"/>
  <c r="D576" i="29"/>
  <c r="D19" i="29"/>
  <c r="C37" i="31"/>
  <c r="C39" i="32"/>
  <c r="H53" i="21"/>
  <c r="G54" i="21"/>
  <c r="C36" i="29"/>
  <c r="C336" i="29"/>
  <c r="C591" i="29" s="1"/>
  <c r="C399" i="29"/>
  <c r="C596" i="29" s="1"/>
  <c r="C583" i="29"/>
  <c r="H419" i="29"/>
  <c r="C43" i="29"/>
  <c r="C49" i="29"/>
  <c r="C76" i="29"/>
  <c r="O7" i="15"/>
  <c r="C36" i="32"/>
  <c r="C35" i="32" s="1"/>
  <c r="C23" i="30"/>
  <c r="C44" i="30" s="1"/>
  <c r="G553" i="29"/>
  <c r="C46" i="29"/>
  <c r="O5" i="15"/>
  <c r="D52" i="29"/>
  <c r="D56" i="29" s="1"/>
  <c r="D65" i="29" s="1"/>
  <c r="G166" i="29"/>
  <c r="G548" i="29"/>
  <c r="G551" i="29" s="1"/>
  <c r="C7" i="27"/>
  <c r="E26" i="21"/>
  <c r="E9" i="22" s="1"/>
  <c r="D35" i="26"/>
  <c r="E12" i="21"/>
  <c r="E6" i="22" s="1"/>
  <c r="E35" i="26"/>
  <c r="C585" i="29"/>
  <c r="C354" i="29"/>
  <c r="C592" i="29" s="1"/>
  <c r="C69" i="29"/>
  <c r="C73" i="29" s="1"/>
  <c r="N114" i="29"/>
  <c r="N115" i="29" s="1"/>
  <c r="N112" i="29"/>
  <c r="E23" i="17"/>
  <c r="F23" i="17" s="1"/>
  <c r="G31" i="19"/>
  <c r="O17" i="32"/>
  <c r="O49" i="32"/>
  <c r="B585" i="29"/>
  <c r="B69" i="29"/>
  <c r="B73" i="29" s="1"/>
  <c r="B354" i="29"/>
  <c r="B592" i="29" s="1"/>
  <c r="C439" i="29"/>
  <c r="C457" i="29"/>
  <c r="D16" i="15"/>
  <c r="G16" i="15" s="1"/>
  <c r="F7" i="16"/>
  <c r="G44" i="32"/>
  <c r="G43" i="31"/>
  <c r="O10" i="15"/>
  <c r="G619" i="29"/>
  <c r="G418" i="29"/>
  <c r="G484" i="29" s="1"/>
  <c r="G487" i="29" s="1"/>
  <c r="F370" i="29"/>
  <c r="F595" i="29" s="1"/>
  <c r="F32" i="29"/>
  <c r="F342" i="29"/>
  <c r="N17" i="32"/>
  <c r="N49" i="32"/>
  <c r="H308" i="29"/>
  <c r="H311" i="29"/>
  <c r="F311" i="29"/>
  <c r="F308" i="29"/>
  <c r="E45" i="21"/>
  <c r="E12" i="22" s="1"/>
  <c r="E11" i="22"/>
  <c r="C10" i="17"/>
  <c r="D10" i="17" s="1"/>
  <c r="B13" i="19"/>
  <c r="D13" i="19" s="1"/>
  <c r="O112" i="29"/>
  <c r="O114" i="29"/>
  <c r="O115" i="29" s="1"/>
  <c r="B36" i="29"/>
  <c r="B336" i="29"/>
  <c r="B591" i="29" s="1"/>
  <c r="B583" i="29"/>
  <c r="B399" i="29"/>
  <c r="B596" i="29" s="1"/>
  <c r="D19" i="15"/>
  <c r="G19" i="15" s="1"/>
  <c r="F10" i="16"/>
  <c r="G56" i="32"/>
  <c r="J19" i="30"/>
  <c r="J37" i="32" s="1"/>
  <c r="K187" i="29"/>
  <c r="D46" i="34"/>
  <c r="K20" i="20"/>
  <c r="F55" i="21"/>
  <c r="F15" i="22" s="1"/>
  <c r="F14" i="22"/>
  <c r="E45" i="29" s="1"/>
  <c r="H559" i="29"/>
  <c r="H563" i="29" s="1"/>
  <c r="H18" i="15"/>
  <c r="G20" i="16" s="1"/>
  <c r="I18" i="15"/>
  <c r="E370" i="29"/>
  <c r="E595" i="29" s="1"/>
  <c r="E342" i="29"/>
  <c r="E32" i="29"/>
  <c r="F559" i="29"/>
  <c r="F563" i="29" s="1"/>
  <c r="D283" i="29"/>
  <c r="D304" i="29" s="1"/>
  <c r="D36" i="31" s="1"/>
  <c r="D7" i="31"/>
  <c r="D10" i="31" s="1"/>
  <c r="D460" i="29"/>
  <c r="D86" i="50"/>
  <c r="D100" i="50"/>
  <c r="D103" i="50" s="1"/>
  <c r="D106" i="50" s="1"/>
  <c r="D122" i="50" s="1"/>
  <c r="D127" i="50" s="1"/>
  <c r="C100" i="50"/>
  <c r="C103" i="50" s="1"/>
  <c r="C106" i="50" s="1"/>
  <c r="C122" i="50" s="1"/>
  <c r="C127" i="50" s="1"/>
  <c r="C37" i="50"/>
  <c r="C38" i="50" s="1"/>
  <c r="C87" i="50" s="1"/>
  <c r="C86" i="50"/>
  <c r="F106" i="46"/>
  <c r="G61" i="23"/>
  <c r="G63" i="23" s="1"/>
  <c r="AK11" i="23"/>
  <c r="AL11" i="23"/>
  <c r="E2" i="56" l="1"/>
  <c r="F3" i="46" s="1"/>
  <c r="F4" i="46" s="1"/>
  <c r="C600" i="29"/>
  <c r="E29" i="17"/>
  <c r="F29" i="17" s="1"/>
  <c r="G37" i="19"/>
  <c r="E38" i="19" s="1"/>
  <c r="N627" i="29"/>
  <c r="N630" i="29" s="1"/>
  <c r="F21" i="27"/>
  <c r="F14" i="27"/>
  <c r="F28" i="27" s="1"/>
  <c r="D311" i="29"/>
  <c r="D308" i="29"/>
  <c r="K350" i="29"/>
  <c r="K594" i="29" s="1"/>
  <c r="K584" i="29"/>
  <c r="B561" i="29"/>
  <c r="B563" i="29" s="1"/>
  <c r="C166" i="29"/>
  <c r="C419" i="29"/>
  <c r="C548" i="29"/>
  <c r="C551" i="29" s="1"/>
  <c r="C559" i="29" s="1"/>
  <c r="N553" i="29"/>
  <c r="N551" i="29"/>
  <c r="C54" i="32"/>
  <c r="C56" i="32" s="1"/>
  <c r="C45" i="31"/>
  <c r="C45" i="32"/>
  <c r="C43" i="32"/>
  <c r="C44" i="32"/>
  <c r="C42" i="31"/>
  <c r="C43" i="31"/>
  <c r="N298" i="29"/>
  <c r="N461" i="29" s="1"/>
  <c r="O292" i="29"/>
  <c r="N16" i="31"/>
  <c r="N17" i="31" s="1"/>
  <c r="M26" i="21"/>
  <c r="M9" i="22" s="1"/>
  <c r="M8" i="22"/>
  <c r="L39" i="29" s="1"/>
  <c r="L37" i="29" s="1"/>
  <c r="N625" i="29"/>
  <c r="N628" i="29" s="1"/>
  <c r="N557" i="29"/>
  <c r="N26" i="21"/>
  <c r="N9" i="22" s="1"/>
  <c r="N8" i="22"/>
  <c r="M39" i="29" s="1"/>
  <c r="M37" i="29" s="1"/>
  <c r="I582" i="29"/>
  <c r="I13" i="32"/>
  <c r="I9" i="32" s="1"/>
  <c r="I14" i="32" s="1"/>
  <c r="I576" i="29"/>
  <c r="I19" i="29"/>
  <c r="E557" i="29"/>
  <c r="E561" i="29" s="1"/>
  <c r="E625" i="29"/>
  <c r="E14" i="27"/>
  <c r="E28" i="27" s="1"/>
  <c r="E21" i="27"/>
  <c r="J9" i="21"/>
  <c r="I8" i="21"/>
  <c r="I11" i="21" s="1"/>
  <c r="B39" i="32"/>
  <c r="B37" i="31"/>
  <c r="H7" i="27"/>
  <c r="J26" i="21"/>
  <c r="J9" i="22" s="1"/>
  <c r="I35" i="26"/>
  <c r="F14" i="32"/>
  <c r="G14" i="32"/>
  <c r="E116" i="29"/>
  <c r="E25" i="29"/>
  <c r="E364" i="29"/>
  <c r="E589" i="29" s="1"/>
  <c r="E602" i="29" s="1"/>
  <c r="O559" i="29"/>
  <c r="O563" i="29" s="1"/>
  <c r="O561" i="29"/>
  <c r="H5" i="22"/>
  <c r="G35" i="29" s="1"/>
  <c r="H12" i="21"/>
  <c r="H6" i="22" s="1"/>
  <c r="J43" i="32"/>
  <c r="J42" i="31"/>
  <c r="J45" i="32"/>
  <c r="J40" i="32"/>
  <c r="J45" i="31"/>
  <c r="J43" i="31"/>
  <c r="J44" i="32"/>
  <c r="J55" i="32"/>
  <c r="J56" i="32" s="1"/>
  <c r="K510" i="29"/>
  <c r="E46" i="29"/>
  <c r="I619" i="29"/>
  <c r="I418" i="29"/>
  <c r="I551" i="29"/>
  <c r="I559" i="29" s="1"/>
  <c r="I563" i="29" s="1"/>
  <c r="I557" i="29"/>
  <c r="I625" i="29"/>
  <c r="K268" i="29"/>
  <c r="K23" i="26"/>
  <c r="K32" i="26" s="1"/>
  <c r="H364" i="29"/>
  <c r="H589" i="29" s="1"/>
  <c r="H602" i="29" s="1"/>
  <c r="H116" i="29"/>
  <c r="H25" i="29"/>
  <c r="H28" i="29" s="1"/>
  <c r="J17" i="29"/>
  <c r="J34" i="26"/>
  <c r="D21" i="27"/>
  <c r="D14" i="27"/>
  <c r="D28" i="27" s="1"/>
  <c r="G21" i="27"/>
  <c r="G14" i="27"/>
  <c r="G28" i="27" s="1"/>
  <c r="F116" i="29"/>
  <c r="F364" i="29"/>
  <c r="F589" i="29" s="1"/>
  <c r="F602" i="29" s="1"/>
  <c r="F25" i="29"/>
  <c r="K159" i="29"/>
  <c r="J32" i="30"/>
  <c r="J156" i="29"/>
  <c r="J414" i="29" s="1"/>
  <c r="J546" i="29"/>
  <c r="J553" i="29" s="1"/>
  <c r="J311" i="29"/>
  <c r="J308" i="29"/>
  <c r="M236" i="29"/>
  <c r="L609" i="29"/>
  <c r="L612" i="29" s="1"/>
  <c r="L372" i="29"/>
  <c r="L378" i="29" s="1"/>
  <c r="L481" i="29" s="1"/>
  <c r="L510" i="29" s="1"/>
  <c r="L234" i="29"/>
  <c r="G559" i="29"/>
  <c r="G563" i="29" s="1"/>
  <c r="D19" i="31"/>
  <c r="D42" i="32"/>
  <c r="L187" i="29"/>
  <c r="D47" i="34"/>
  <c r="L20" i="20"/>
  <c r="K19" i="30"/>
  <c r="K37" i="32" s="1"/>
  <c r="H19" i="15"/>
  <c r="G21" i="16" s="1"/>
  <c r="H557" i="29"/>
  <c r="H561" i="29" s="1"/>
  <c r="H625" i="29"/>
  <c r="N19" i="32"/>
  <c r="N22" i="32" s="1"/>
  <c r="N24" i="32"/>
  <c r="H16" i="15"/>
  <c r="G18" i="16" s="1"/>
  <c r="O19" i="32"/>
  <c r="O22" i="32" s="1"/>
  <c r="O24" i="32"/>
  <c r="C78" i="29"/>
  <c r="C80" i="29" s="1"/>
  <c r="C84" i="29" s="1"/>
  <c r="C358" i="29"/>
  <c r="C593" i="29" s="1"/>
  <c r="C586" i="29"/>
  <c r="F6" i="16"/>
  <c r="D15" i="15"/>
  <c r="G15" i="15" s="1"/>
  <c r="O11" i="15"/>
  <c r="D21" i="15" s="1"/>
  <c r="I53" i="21"/>
  <c r="H54" i="21"/>
  <c r="D14" i="32"/>
  <c r="E14" i="32"/>
  <c r="E281" i="29"/>
  <c r="F26" i="22"/>
  <c r="E50" i="29" s="1"/>
  <c r="F24" i="16"/>
  <c r="F27" i="22" s="1"/>
  <c r="E583" i="29"/>
  <c r="E336" i="29"/>
  <c r="E591" i="29" s="1"/>
  <c r="E399" i="29"/>
  <c r="E596" i="29" s="1"/>
  <c r="E36" i="29"/>
  <c r="D75" i="29"/>
  <c r="E17" i="22"/>
  <c r="B358" i="29"/>
  <c r="B593" i="29" s="1"/>
  <c r="B78" i="29"/>
  <c r="B80" i="29" s="1"/>
  <c r="B84" i="29" s="1"/>
  <c r="B586" i="29"/>
  <c r="C21" i="27"/>
  <c r="C14" i="27"/>
  <c r="G308" i="29"/>
  <c r="G311" i="29"/>
  <c r="G9" i="16"/>
  <c r="J18" i="15"/>
  <c r="M18" i="15" s="1"/>
  <c r="B599" i="29"/>
  <c r="B616" i="29"/>
  <c r="B620" i="29" s="1"/>
  <c r="B605" i="29"/>
  <c r="O113" i="29"/>
  <c r="O433" i="29"/>
  <c r="O450" i="29" s="1"/>
  <c r="O479" i="29" s="1"/>
  <c r="O489" i="29" s="1"/>
  <c r="O492" i="29" s="1"/>
  <c r="F11" i="16"/>
  <c r="D20" i="15"/>
  <c r="G20" i="15" s="1"/>
  <c r="B600" i="29"/>
  <c r="N113" i="29"/>
  <c r="N433" i="29"/>
  <c r="N450" i="29" s="1"/>
  <c r="E18" i="22"/>
  <c r="D354" i="29"/>
  <c r="D592" i="29" s="1"/>
  <c r="D585" i="29"/>
  <c r="D69" i="29"/>
  <c r="D73" i="29" s="1"/>
  <c r="D17" i="15"/>
  <c r="F8" i="16"/>
  <c r="D116" i="29"/>
  <c r="D25" i="29"/>
  <c r="D364" i="29"/>
  <c r="D589" i="29" s="1"/>
  <c r="D602" i="29" s="1"/>
  <c r="B14" i="19"/>
  <c r="D14" i="19" s="1"/>
  <c r="C11" i="17"/>
  <c r="D11" i="17" s="1"/>
  <c r="F557" i="29"/>
  <c r="F561" i="29" s="1"/>
  <c r="F625" i="29"/>
  <c r="F336" i="29"/>
  <c r="F591" i="29" s="1"/>
  <c r="F399" i="29"/>
  <c r="F596" i="29" s="1"/>
  <c r="F583" i="29"/>
  <c r="F36" i="29"/>
  <c r="G419" i="29"/>
  <c r="C599" i="29"/>
  <c r="C616" i="29"/>
  <c r="C620" i="29" s="1"/>
  <c r="C605" i="29"/>
  <c r="G55" i="21"/>
  <c r="G15" i="22" s="1"/>
  <c r="G14" i="22"/>
  <c r="F45" i="29" s="1"/>
  <c r="G69" i="23"/>
  <c r="C15" i="46" s="1"/>
  <c r="AK16" i="23"/>
  <c r="AK18" i="23"/>
  <c r="AL18" i="23"/>
  <c r="M28" i="23"/>
  <c r="AL16" i="23"/>
  <c r="AK19" i="23"/>
  <c r="AK13" i="23"/>
  <c r="AK14" i="23"/>
  <c r="AL14" i="23"/>
  <c r="AK17" i="23"/>
  <c r="N28" i="23"/>
  <c r="C91" i="46" s="1"/>
  <c r="AL13" i="23"/>
  <c r="E30" i="17" l="1"/>
  <c r="F30" i="17" s="1"/>
  <c r="G38" i="19"/>
  <c r="E39" i="19" s="1"/>
  <c r="K604" i="29"/>
  <c r="D625" i="29"/>
  <c r="D557" i="29"/>
  <c r="D561" i="29" s="1"/>
  <c r="B601" i="29"/>
  <c r="I561" i="29"/>
  <c r="J551" i="29"/>
  <c r="J559" i="29" s="1"/>
  <c r="J563" i="29" s="1"/>
  <c r="N561" i="29"/>
  <c r="N559" i="29"/>
  <c r="N563" i="29" s="1"/>
  <c r="C194" i="29"/>
  <c r="C308" i="29"/>
  <c r="C311" i="29"/>
  <c r="O16" i="31"/>
  <c r="O17" i="31" s="1"/>
  <c r="O298" i="29"/>
  <c r="O461" i="29" s="1"/>
  <c r="M350" i="29"/>
  <c r="M594" i="29" s="1"/>
  <c r="M584" i="29"/>
  <c r="L584" i="29"/>
  <c r="L350" i="29"/>
  <c r="L594" i="29" s="1"/>
  <c r="L23" i="26"/>
  <c r="L32" i="26" s="1"/>
  <c r="L268" i="29"/>
  <c r="M372" i="29"/>
  <c r="M378" i="29" s="1"/>
  <c r="M609" i="29"/>
  <c r="M612" i="29" s="1"/>
  <c r="N507" i="29"/>
  <c r="M234" i="29"/>
  <c r="J418" i="29"/>
  <c r="J619" i="29"/>
  <c r="K379" i="29"/>
  <c r="K308" i="29"/>
  <c r="K546" i="29"/>
  <c r="K311" i="29"/>
  <c r="I419" i="29"/>
  <c r="I484" i="29"/>
  <c r="I487" i="29" s="1"/>
  <c r="H21" i="27"/>
  <c r="H14" i="27"/>
  <c r="H28" i="27" s="1"/>
  <c r="K9" i="21"/>
  <c r="J8" i="21"/>
  <c r="J11" i="21" s="1"/>
  <c r="M507" i="29"/>
  <c r="M509" i="29" s="1"/>
  <c r="J557" i="29"/>
  <c r="J561" i="29" s="1"/>
  <c r="J625" i="29"/>
  <c r="F49" i="29"/>
  <c r="F43" i="29"/>
  <c r="F40" i="29"/>
  <c r="H43" i="29"/>
  <c r="H49" i="29"/>
  <c r="H40" i="29"/>
  <c r="I25" i="29"/>
  <c r="I28" i="29" s="1"/>
  <c r="I116" i="29"/>
  <c r="I364" i="29"/>
  <c r="I589" i="29" s="1"/>
  <c r="I602" i="29" s="1"/>
  <c r="K32" i="30"/>
  <c r="K35" i="30" s="1"/>
  <c r="K156" i="29"/>
  <c r="K414" i="29" s="1"/>
  <c r="L159" i="29"/>
  <c r="I7" i="27"/>
  <c r="K26" i="21"/>
  <c r="K9" i="22" s="1"/>
  <c r="J35" i="26"/>
  <c r="G370" i="29"/>
  <c r="G595" i="29" s="1"/>
  <c r="G342" i="29"/>
  <c r="G32" i="29"/>
  <c r="G28" i="29"/>
  <c r="F28" i="29"/>
  <c r="J576" i="29"/>
  <c r="J13" i="32"/>
  <c r="J9" i="32" s="1"/>
  <c r="J14" i="32" s="1"/>
  <c r="J19" i="29"/>
  <c r="J582" i="29"/>
  <c r="K17" i="29"/>
  <c r="K34" i="26"/>
  <c r="E40" i="29"/>
  <c r="E43" i="29"/>
  <c r="E49" i="29"/>
  <c r="I5" i="22"/>
  <c r="H35" i="29" s="1"/>
  <c r="I12" i="21"/>
  <c r="I6" i="22" s="1"/>
  <c r="D586" i="29"/>
  <c r="D358" i="29"/>
  <c r="D593" i="29" s="1"/>
  <c r="D78" i="29"/>
  <c r="D80" i="29" s="1"/>
  <c r="C28" i="27"/>
  <c r="D600" i="29"/>
  <c r="D607" i="29" s="1"/>
  <c r="D613" i="29" s="1"/>
  <c r="H20" i="15"/>
  <c r="G22" i="16" s="1"/>
  <c r="N18" i="15"/>
  <c r="H20" i="16" s="1"/>
  <c r="G625" i="29"/>
  <c r="G557" i="29"/>
  <c r="G561" i="29" s="1"/>
  <c r="B103" i="29"/>
  <c r="B107" i="29" s="1"/>
  <c r="B16" i="32"/>
  <c r="D76" i="29"/>
  <c r="E605" i="29"/>
  <c r="E616" i="29"/>
  <c r="E620" i="29" s="1"/>
  <c r="E599" i="29"/>
  <c r="H15" i="15"/>
  <c r="I15" i="15" s="1"/>
  <c r="C103" i="29"/>
  <c r="C107" i="29" s="1"/>
  <c r="C16" i="32"/>
  <c r="I16" i="15"/>
  <c r="I19" i="15"/>
  <c r="F46" i="29"/>
  <c r="F605" i="29"/>
  <c r="F616" i="29"/>
  <c r="F620" i="29" s="1"/>
  <c r="F599" i="29"/>
  <c r="D28" i="29"/>
  <c r="E28" i="29"/>
  <c r="B607" i="29"/>
  <c r="B613" i="29" s="1"/>
  <c r="F12" i="16"/>
  <c r="M187" i="29"/>
  <c r="M20" i="20"/>
  <c r="L19" i="30"/>
  <c r="L37" i="32" s="1"/>
  <c r="C12" i="17"/>
  <c r="D12" i="17" s="1"/>
  <c r="B15" i="19"/>
  <c r="D15" i="19" s="1"/>
  <c r="D49" i="29"/>
  <c r="D43" i="29"/>
  <c r="D40" i="29"/>
  <c r="D36" i="29"/>
  <c r="D46" i="29"/>
  <c r="F17" i="15"/>
  <c r="F21" i="15" s="1"/>
  <c r="E435" i="29"/>
  <c r="E448" i="29"/>
  <c r="E20" i="32"/>
  <c r="E52" i="29"/>
  <c r="E56" i="29" s="1"/>
  <c r="E65" i="29" s="1"/>
  <c r="H14" i="22"/>
  <c r="G45" i="29" s="1"/>
  <c r="H55" i="21"/>
  <c r="H15" i="22" s="1"/>
  <c r="C601" i="29"/>
  <c r="C607" i="29" s="1"/>
  <c r="C613" i="29" s="1"/>
  <c r="E8" i="31"/>
  <c r="J53" i="21"/>
  <c r="I54" i="21"/>
  <c r="D41" i="32"/>
  <c r="D52" i="32"/>
  <c r="D35" i="31"/>
  <c r="AK28" i="23"/>
  <c r="AJ28" i="23"/>
  <c r="AL19" i="23"/>
  <c r="AL17" i="23"/>
  <c r="D601" i="29" l="1"/>
  <c r="E31" i="17"/>
  <c r="F31" i="17" s="1"/>
  <c r="G39" i="19"/>
  <c r="E40" i="19" s="1"/>
  <c r="C557" i="29"/>
  <c r="C561" i="29" s="1"/>
  <c r="C563" i="29" s="1"/>
  <c r="C625" i="29"/>
  <c r="L604" i="29"/>
  <c r="M604" i="29"/>
  <c r="L156" i="29"/>
  <c r="L414" i="29" s="1"/>
  <c r="L32" i="30"/>
  <c r="L35" i="30" s="1"/>
  <c r="M159" i="29"/>
  <c r="I49" i="29"/>
  <c r="I40" i="29"/>
  <c r="I43" i="29"/>
  <c r="K8" i="21"/>
  <c r="K11" i="21" s="1"/>
  <c r="L9" i="21"/>
  <c r="L17" i="29"/>
  <c r="L34" i="26"/>
  <c r="I20" i="15"/>
  <c r="J25" i="29"/>
  <c r="J28" i="29" s="1"/>
  <c r="J364" i="29"/>
  <c r="J589" i="29" s="1"/>
  <c r="J602" i="29" s="1"/>
  <c r="J116" i="29"/>
  <c r="K619" i="29"/>
  <c r="K418" i="29"/>
  <c r="K484" i="29" s="1"/>
  <c r="K487" i="29" s="1"/>
  <c r="H342" i="29"/>
  <c r="H370" i="29"/>
  <c r="H595" i="29" s="1"/>
  <c r="H32" i="29"/>
  <c r="J7" i="27"/>
  <c r="K35" i="26"/>
  <c r="G399" i="29"/>
  <c r="G596" i="29" s="1"/>
  <c r="G583" i="29"/>
  <c r="G336" i="29"/>
  <c r="G591" i="29" s="1"/>
  <c r="G36" i="29"/>
  <c r="K43" i="31"/>
  <c r="K54" i="32"/>
  <c r="K56" i="32" s="1"/>
  <c r="K45" i="31"/>
  <c r="K43" i="32"/>
  <c r="K42" i="31"/>
  <c r="K44" i="32"/>
  <c r="K45" i="32"/>
  <c r="K553" i="29"/>
  <c r="K551" i="29"/>
  <c r="J419" i="29"/>
  <c r="J484" i="29"/>
  <c r="J487" i="29" s="1"/>
  <c r="M481" i="29"/>
  <c r="M510" i="29" s="1"/>
  <c r="N481" i="29"/>
  <c r="N510" i="29" s="1"/>
  <c r="O18" i="15"/>
  <c r="D28" i="15" s="1"/>
  <c r="G28" i="15" s="1"/>
  <c r="K582" i="29"/>
  <c r="K13" i="32"/>
  <c r="K9" i="32" s="1"/>
  <c r="K14" i="32" s="1"/>
  <c r="K19" i="29"/>
  <c r="K576" i="29"/>
  <c r="I21" i="27"/>
  <c r="I14" i="27"/>
  <c r="I28" i="27" s="1"/>
  <c r="J5" i="22"/>
  <c r="I35" i="29" s="1"/>
  <c r="J12" i="21"/>
  <c r="J6" i="22" s="1"/>
  <c r="K625" i="29"/>
  <c r="K557" i="29"/>
  <c r="M23" i="26"/>
  <c r="M32" i="26" s="1"/>
  <c r="M268" i="29"/>
  <c r="L379" i="29"/>
  <c r="L308" i="29"/>
  <c r="L546" i="29"/>
  <c r="L311" i="29"/>
  <c r="G6" i="16"/>
  <c r="J15" i="15"/>
  <c r="C622" i="29"/>
  <c r="C624" i="29"/>
  <c r="C614" i="29"/>
  <c r="D39" i="32"/>
  <c r="D37" i="31"/>
  <c r="E354" i="29"/>
  <c r="E592" i="29" s="1"/>
  <c r="E69" i="29"/>
  <c r="E73" i="29" s="1"/>
  <c r="E585" i="29"/>
  <c r="B16" i="19"/>
  <c r="D16" i="19" s="1"/>
  <c r="C13" i="17"/>
  <c r="D13" i="17" s="1"/>
  <c r="B614" i="29"/>
  <c r="B624" i="29"/>
  <c r="B622" i="29"/>
  <c r="I14" i="22"/>
  <c r="H45" i="29" s="1"/>
  <c r="I55" i="21"/>
  <c r="I15" i="22" s="1"/>
  <c r="G17" i="15"/>
  <c r="F33" i="21"/>
  <c r="F44" i="21" s="1"/>
  <c r="E278" i="29"/>
  <c r="G10" i="16"/>
  <c r="J19" i="15"/>
  <c r="M19" i="15" s="1"/>
  <c r="N20" i="20"/>
  <c r="N187" i="29"/>
  <c r="M19" i="30"/>
  <c r="M192" i="29"/>
  <c r="J16" i="15"/>
  <c r="M16" i="15" s="1"/>
  <c r="G7" i="16"/>
  <c r="B17" i="32"/>
  <c r="B49" i="32"/>
  <c r="G11" i="16"/>
  <c r="J20" i="15"/>
  <c r="M20" i="15" s="1"/>
  <c r="K53" i="21"/>
  <c r="J54" i="21"/>
  <c r="G17" i="16"/>
  <c r="G46" i="29"/>
  <c r="C17" i="32"/>
  <c r="C49" i="32"/>
  <c r="B112" i="29"/>
  <c r="B114" i="29"/>
  <c r="B115" i="29" s="1"/>
  <c r="C112" i="29"/>
  <c r="C114" i="29"/>
  <c r="C115" i="29" s="1"/>
  <c r="H9" i="16"/>
  <c r="D624" i="29"/>
  <c r="D614" i="29"/>
  <c r="D622" i="29"/>
  <c r="AL28" i="23"/>
  <c r="AK29" i="23" s="1"/>
  <c r="E32" i="17" l="1"/>
  <c r="F32" i="17" s="1"/>
  <c r="F33" i="17" s="1"/>
  <c r="F17" i="20" s="1"/>
  <c r="G40" i="19"/>
  <c r="J14" i="27"/>
  <c r="J28" i="27" s="1"/>
  <c r="J21" i="27"/>
  <c r="L8" i="21"/>
  <c r="L11" i="21" s="1"/>
  <c r="M9" i="21"/>
  <c r="M311" i="29"/>
  <c r="M308" i="29"/>
  <c r="M379" i="29"/>
  <c r="M546" i="29"/>
  <c r="G605" i="29"/>
  <c r="G599" i="29"/>
  <c r="G616" i="29"/>
  <c r="G620" i="29" s="1"/>
  <c r="H36" i="29"/>
  <c r="H583" i="29"/>
  <c r="H336" i="29"/>
  <c r="H591" i="29" s="1"/>
  <c r="H399" i="29"/>
  <c r="H596" i="29" s="1"/>
  <c r="K12" i="21"/>
  <c r="K6" i="22" s="1"/>
  <c r="K5" i="22"/>
  <c r="J35" i="29" s="1"/>
  <c r="M32" i="30"/>
  <c r="M35" i="30" s="1"/>
  <c r="M156" i="29"/>
  <c r="M414" i="29" s="1"/>
  <c r="L553" i="29"/>
  <c r="L551" i="29"/>
  <c r="M34" i="26"/>
  <c r="M17" i="29"/>
  <c r="I32" i="29"/>
  <c r="I342" i="29"/>
  <c r="I370" i="29"/>
  <c r="I595" i="29" s="1"/>
  <c r="K25" i="29"/>
  <c r="K28" i="29" s="1"/>
  <c r="K116" i="29"/>
  <c r="K40" i="29" s="1"/>
  <c r="K364" i="29"/>
  <c r="K589" i="29" s="1"/>
  <c r="K602" i="29" s="1"/>
  <c r="K559" i="29"/>
  <c r="K563" i="29" s="1"/>
  <c r="K561" i="29"/>
  <c r="J49" i="29"/>
  <c r="J40" i="29"/>
  <c r="J43" i="29"/>
  <c r="K7" i="27"/>
  <c r="L35" i="26"/>
  <c r="L44" i="32"/>
  <c r="L54" i="32"/>
  <c r="L56" i="32" s="1"/>
  <c r="L43" i="31"/>
  <c r="L42" i="31"/>
  <c r="L43" i="32"/>
  <c r="L45" i="31"/>
  <c r="L45" i="32"/>
  <c r="L557" i="29"/>
  <c r="L625" i="29"/>
  <c r="L582" i="29"/>
  <c r="L13" i="32"/>
  <c r="L9" i="32" s="1"/>
  <c r="L14" i="32" s="1"/>
  <c r="L19" i="29"/>
  <c r="L576" i="29"/>
  <c r="L418" i="29"/>
  <c r="L484" i="29" s="1"/>
  <c r="L487" i="29" s="1"/>
  <c r="L619" i="29"/>
  <c r="N19" i="30"/>
  <c r="N37" i="32" s="1"/>
  <c r="N35" i="32" s="1"/>
  <c r="O187" i="29"/>
  <c r="O19" i="30" s="1"/>
  <c r="O37" i="32" s="1"/>
  <c r="O35" i="32" s="1"/>
  <c r="D628" i="29"/>
  <c r="D627" i="29"/>
  <c r="D630" i="29" s="1"/>
  <c r="H28" i="15"/>
  <c r="I20" i="16" s="1"/>
  <c r="C19" i="32"/>
  <c r="C22" i="32" s="1"/>
  <c r="C24" i="32"/>
  <c r="L53" i="21"/>
  <c r="K54" i="21"/>
  <c r="B19" i="32"/>
  <c r="B22" i="32" s="1"/>
  <c r="B24" i="32"/>
  <c r="E460" i="29"/>
  <c r="E283" i="29"/>
  <c r="E304" i="29" s="1"/>
  <c r="E36" i="31" s="1"/>
  <c r="E7" i="31"/>
  <c r="E10" i="31" s="1"/>
  <c r="E600" i="29"/>
  <c r="E607" i="29" s="1"/>
  <c r="E613" i="29" s="1"/>
  <c r="C627" i="29"/>
  <c r="C628" i="29"/>
  <c r="H17" i="15"/>
  <c r="I17" i="15" s="1"/>
  <c r="G21" i="15"/>
  <c r="E358" i="29"/>
  <c r="E593" i="29" s="1"/>
  <c r="E586" i="29"/>
  <c r="N20" i="15"/>
  <c r="H22" i="16" s="1"/>
  <c r="N439" i="29"/>
  <c r="N457" i="29"/>
  <c r="N468" i="29" s="1"/>
  <c r="N479" i="29" s="1"/>
  <c r="M194" i="29"/>
  <c r="F45" i="21"/>
  <c r="F12" i="22" s="1"/>
  <c r="F18" i="22" s="1"/>
  <c r="F11" i="22"/>
  <c r="C433" i="29"/>
  <c r="C450" i="29" s="1"/>
  <c r="C208" i="29"/>
  <c r="C113" i="29"/>
  <c r="B113" i="29"/>
  <c r="B208" i="29"/>
  <c r="B202" i="29" s="1"/>
  <c r="M23" i="30"/>
  <c r="M44" i="30" s="1"/>
  <c r="M37" i="32"/>
  <c r="M35" i="32" s="1"/>
  <c r="N19" i="15"/>
  <c r="H21" i="16" s="1"/>
  <c r="H46" i="29"/>
  <c r="M15" i="15"/>
  <c r="J14" i="22"/>
  <c r="I45" i="29" s="1"/>
  <c r="J55" i="21"/>
  <c r="J15" i="22" s="1"/>
  <c r="N16" i="15"/>
  <c r="H18" i="16" s="1"/>
  <c r="B628" i="29"/>
  <c r="B627" i="29"/>
  <c r="C14" i="17"/>
  <c r="D14" i="17" s="1"/>
  <c r="B17" i="19"/>
  <c r="D17" i="19" s="1"/>
  <c r="H57" i="23"/>
  <c r="H60" i="23" s="1"/>
  <c r="G44" i="19" l="1"/>
  <c r="F31" i="20" s="1"/>
  <c r="F33" i="20" s="1"/>
  <c r="G31" i="20" s="1"/>
  <c r="G33" i="20" s="1"/>
  <c r="H31" i="20" s="1"/>
  <c r="H33" i="20" s="1"/>
  <c r="I31" i="20" s="1"/>
  <c r="I33" i="20" s="1"/>
  <c r="J31" i="20" s="1"/>
  <c r="J33" i="20" s="1"/>
  <c r="K31" i="20" s="1"/>
  <c r="K33" i="20" s="1"/>
  <c r="L31" i="20" s="1"/>
  <c r="L33" i="20" s="1"/>
  <c r="H29" i="19"/>
  <c r="H61" i="23"/>
  <c r="O16" i="15"/>
  <c r="O20" i="15"/>
  <c r="B630" i="29"/>
  <c r="L25" i="29"/>
  <c r="L28" i="29" s="1"/>
  <c r="L116" i="29"/>
  <c r="L40" i="29" s="1"/>
  <c r="L364" i="29"/>
  <c r="L589" i="29" s="1"/>
  <c r="L602" i="29" s="1"/>
  <c r="I336" i="29"/>
  <c r="I591" i="29" s="1"/>
  <c r="I36" i="29"/>
  <c r="I583" i="29"/>
  <c r="I399" i="29"/>
  <c r="I596" i="29" s="1"/>
  <c r="M553" i="29"/>
  <c r="M551" i="29"/>
  <c r="M8" i="21"/>
  <c r="M11" i="21" s="1"/>
  <c r="N9" i="21"/>
  <c r="N8" i="21" s="1"/>
  <c r="N11" i="21" s="1"/>
  <c r="K14" i="27"/>
  <c r="K28" i="27" s="1"/>
  <c r="K21" i="27"/>
  <c r="M13" i="32"/>
  <c r="M9" i="32" s="1"/>
  <c r="M582" i="29"/>
  <c r="M576" i="29"/>
  <c r="M19" i="29"/>
  <c r="M418" i="29"/>
  <c r="M619" i="29"/>
  <c r="L12" i="21"/>
  <c r="L6" i="22" s="1"/>
  <c r="L5" i="22"/>
  <c r="K35" i="29" s="1"/>
  <c r="L7" i="27"/>
  <c r="M35" i="26"/>
  <c r="M45" i="31"/>
  <c r="M43" i="32"/>
  <c r="M45" i="32"/>
  <c r="M42" i="31"/>
  <c r="M43" i="31"/>
  <c r="M44" i="32"/>
  <c r="M54" i="32"/>
  <c r="M56" i="32" s="1"/>
  <c r="M625" i="29"/>
  <c r="M557" i="29"/>
  <c r="L559" i="29"/>
  <c r="L563" i="29" s="1"/>
  <c r="L561" i="29"/>
  <c r="J370" i="29"/>
  <c r="J595" i="29" s="1"/>
  <c r="J342" i="29"/>
  <c r="J32" i="29"/>
  <c r="H599" i="29"/>
  <c r="H605" i="29"/>
  <c r="H616" i="29"/>
  <c r="H620" i="29" s="1"/>
  <c r="B18" i="19"/>
  <c r="D18" i="19" s="1"/>
  <c r="C15" i="17"/>
  <c r="D15" i="17" s="1"/>
  <c r="I46" i="29"/>
  <c r="N15" i="15"/>
  <c r="O15" i="15" s="1"/>
  <c r="O19" i="15"/>
  <c r="B11" i="30"/>
  <c r="B210" i="29"/>
  <c r="C202" i="29"/>
  <c r="C630" i="29"/>
  <c r="H7" i="16"/>
  <c r="D26" i="15"/>
  <c r="G26" i="15" s="1"/>
  <c r="E614" i="29"/>
  <c r="E624" i="29"/>
  <c r="E622" i="29"/>
  <c r="E75" i="29"/>
  <c r="F17" i="22"/>
  <c r="J17" i="15"/>
  <c r="G8" i="16"/>
  <c r="G12" i="16" s="1"/>
  <c r="I21" i="15"/>
  <c r="E42" i="32"/>
  <c r="E19" i="31"/>
  <c r="E601" i="29"/>
  <c r="G19" i="16"/>
  <c r="G23" i="16" s="1"/>
  <c r="H21" i="15"/>
  <c r="K14" i="22"/>
  <c r="J45" i="29" s="1"/>
  <c r="K55" i="21"/>
  <c r="K15" i="22" s="1"/>
  <c r="I28" i="15"/>
  <c r="H11" i="16"/>
  <c r="D30" i="15"/>
  <c r="G30" i="15" s="1"/>
  <c r="M53" i="21"/>
  <c r="L54" i="21"/>
  <c r="G21" i="17" l="1"/>
  <c r="H21" i="17" s="1"/>
  <c r="J29" i="19"/>
  <c r="H30" i="19" s="1"/>
  <c r="M31" i="20"/>
  <c r="M33" i="20" s="1"/>
  <c r="L40" i="20"/>
  <c r="K181" i="29" s="1"/>
  <c r="H63" i="23"/>
  <c r="H69" i="23" s="1"/>
  <c r="C14" i="46" s="1"/>
  <c r="N12" i="21"/>
  <c r="N6" i="22" s="1"/>
  <c r="N5" i="22"/>
  <c r="M35" i="29" s="1"/>
  <c r="L21" i="27"/>
  <c r="L14" i="27"/>
  <c r="L28" i="27" s="1"/>
  <c r="N484" i="29"/>
  <c r="N487" i="29" s="1"/>
  <c r="N489" i="29" s="1"/>
  <c r="N492" i="29" s="1"/>
  <c r="M484" i="29"/>
  <c r="M487" i="29" s="1"/>
  <c r="M14" i="32"/>
  <c r="N14" i="32"/>
  <c r="M5" i="22"/>
  <c r="L35" i="29" s="1"/>
  <c r="M12" i="21"/>
  <c r="M6" i="22" s="1"/>
  <c r="I616" i="29"/>
  <c r="I620" i="29" s="1"/>
  <c r="I605" i="29"/>
  <c r="I599" i="29"/>
  <c r="J583" i="29"/>
  <c r="J336" i="29"/>
  <c r="J591" i="29" s="1"/>
  <c r="J399" i="29"/>
  <c r="J596" i="29" s="1"/>
  <c r="J36" i="29"/>
  <c r="K32" i="29"/>
  <c r="K370" i="29"/>
  <c r="K595" i="29" s="1"/>
  <c r="K342" i="29"/>
  <c r="M25" i="29"/>
  <c r="M116" i="29"/>
  <c r="M40" i="29" s="1"/>
  <c r="M364" i="29"/>
  <c r="M589" i="29" s="1"/>
  <c r="M602" i="29" s="1"/>
  <c r="M561" i="29"/>
  <c r="M559" i="29"/>
  <c r="M563" i="29" s="1"/>
  <c r="L14" i="22"/>
  <c r="K45" i="29" s="1"/>
  <c r="L55" i="21"/>
  <c r="L15" i="22" s="1"/>
  <c r="M17" i="15"/>
  <c r="J21" i="15"/>
  <c r="D25" i="15"/>
  <c r="G25" i="15" s="1"/>
  <c r="H6" i="16"/>
  <c r="N53" i="21"/>
  <c r="N54" i="21" s="1"/>
  <c r="M54" i="21"/>
  <c r="J46" i="29"/>
  <c r="H26" i="15"/>
  <c r="I18" i="16" s="1"/>
  <c r="B27" i="32"/>
  <c r="B31" i="32" s="1"/>
  <c r="B33" i="32" s="1"/>
  <c r="B15" i="30"/>
  <c r="E76" i="29"/>
  <c r="E78" i="29"/>
  <c r="E80" i="29" s="1"/>
  <c r="H10" i="16"/>
  <c r="D29" i="15"/>
  <c r="G29" i="15" s="1"/>
  <c r="H30" i="15"/>
  <c r="I22" i="16" s="1"/>
  <c r="E628" i="29"/>
  <c r="E627" i="29"/>
  <c r="E630" i="29" s="1"/>
  <c r="D202" i="29"/>
  <c r="C11" i="30"/>
  <c r="C210" i="29"/>
  <c r="J28" i="15"/>
  <c r="M28" i="15" s="1"/>
  <c r="I9" i="16"/>
  <c r="F278" i="29"/>
  <c r="G33" i="21"/>
  <c r="G44" i="21" s="1"/>
  <c r="C467" i="29"/>
  <c r="C468" i="29" s="1"/>
  <c r="C479" i="29" s="1"/>
  <c r="C489" i="29" s="1"/>
  <c r="C492" i="29" s="1"/>
  <c r="H17" i="16"/>
  <c r="G26" i="22"/>
  <c r="F50" i="29" s="1"/>
  <c r="G24" i="16"/>
  <c r="G27" i="22" s="1"/>
  <c r="F281" i="29"/>
  <c r="E41" i="32"/>
  <c r="E52" i="32"/>
  <c r="E35" i="31"/>
  <c r="B306" i="29"/>
  <c r="B212" i="29"/>
  <c r="D22" i="19"/>
  <c r="E27" i="20" s="1"/>
  <c r="E7" i="19"/>
  <c r="G7" i="19" s="1"/>
  <c r="C16" i="17"/>
  <c r="D16" i="17" s="1"/>
  <c r="D17" i="17" s="1"/>
  <c r="E16" i="20" s="1"/>
  <c r="E21" i="20" s="1"/>
  <c r="K192" i="29" l="1"/>
  <c r="K194" i="29" s="1"/>
  <c r="K18" i="30"/>
  <c r="N31" i="20"/>
  <c r="M40" i="20"/>
  <c r="L181" i="29" s="1"/>
  <c r="G22" i="17"/>
  <c r="H22" i="17" s="1"/>
  <c r="J30" i="19"/>
  <c r="H31" i="19" s="1"/>
  <c r="H11" i="57"/>
  <c r="I11" i="57" s="1"/>
  <c r="H7" i="57"/>
  <c r="I7" i="57" s="1"/>
  <c r="H10" i="57"/>
  <c r="I10" i="57" s="1"/>
  <c r="H6" i="57"/>
  <c r="I6" i="57" s="1"/>
  <c r="H9" i="57"/>
  <c r="I9" i="57" s="1"/>
  <c r="H5" i="57"/>
  <c r="I5" i="57" s="1"/>
  <c r="H8" i="57"/>
  <c r="I8" i="57" s="1"/>
  <c r="M28" i="29"/>
  <c r="N28" i="29"/>
  <c r="I30" i="15"/>
  <c r="I11" i="16" s="1"/>
  <c r="K36" i="29"/>
  <c r="K583" i="29"/>
  <c r="K336" i="29"/>
  <c r="K591" i="29" s="1"/>
  <c r="K399" i="29"/>
  <c r="K596" i="29" s="1"/>
  <c r="J605" i="29"/>
  <c r="J599" i="29"/>
  <c r="J616" i="29"/>
  <c r="J620" i="29" s="1"/>
  <c r="M32" i="29"/>
  <c r="M342" i="29"/>
  <c r="M370" i="29"/>
  <c r="M595" i="29" s="1"/>
  <c r="L32" i="29"/>
  <c r="L370" i="29"/>
  <c r="L595" i="29" s="1"/>
  <c r="L342" i="29"/>
  <c r="E20" i="22"/>
  <c r="E22" i="20"/>
  <c r="E21" i="22" s="1"/>
  <c r="E24" i="22" s="1"/>
  <c r="E30" i="22" s="1"/>
  <c r="E39" i="32"/>
  <c r="E37" i="31"/>
  <c r="C15" i="30"/>
  <c r="C27" i="32"/>
  <c r="C31" i="32" s="1"/>
  <c r="C33" i="32" s="1"/>
  <c r="J30" i="15"/>
  <c r="M30" i="15" s="1"/>
  <c r="E8" i="19"/>
  <c r="G8" i="19" s="1"/>
  <c r="E5" i="17"/>
  <c r="F5" i="17" s="1"/>
  <c r="F20" i="32"/>
  <c r="F435" i="29"/>
  <c r="F448" i="29"/>
  <c r="F52" i="29"/>
  <c r="F56" i="29" s="1"/>
  <c r="F65" i="29" s="1"/>
  <c r="G45" i="21"/>
  <c r="G12" i="22" s="1"/>
  <c r="G18" i="22" s="1"/>
  <c r="G11" i="22"/>
  <c r="H29" i="15"/>
  <c r="I21" i="16" s="1"/>
  <c r="I29" i="15"/>
  <c r="I26" i="15"/>
  <c r="N14" i="22"/>
  <c r="M45" i="29" s="1"/>
  <c r="N55" i="21"/>
  <c r="N15" i="22" s="1"/>
  <c r="E29" i="20"/>
  <c r="E40" i="20" s="1"/>
  <c r="D181" i="29" s="1"/>
  <c r="D25" i="20"/>
  <c r="F283" i="29"/>
  <c r="F304" i="29" s="1"/>
  <c r="F36" i="31" s="1"/>
  <c r="F7" i="31"/>
  <c r="F460" i="29"/>
  <c r="N17" i="15"/>
  <c r="O17" i="15" s="1"/>
  <c r="M21" i="15"/>
  <c r="B305" i="29"/>
  <c r="B231" i="29" s="1"/>
  <c r="B38" i="30"/>
  <c r="B315" i="29"/>
  <c r="B313" i="29"/>
  <c r="F8" i="31"/>
  <c r="C306" i="29"/>
  <c r="C212" i="29"/>
  <c r="B45" i="30"/>
  <c r="B17" i="30"/>
  <c r="B47" i="30" s="1"/>
  <c r="B48" i="30" s="1"/>
  <c r="B47" i="32" s="1"/>
  <c r="B24" i="30"/>
  <c r="N28" i="15"/>
  <c r="J20" i="16" s="1"/>
  <c r="M14" i="22"/>
  <c r="L45" i="29" s="1"/>
  <c r="M55" i="21"/>
  <c r="M15" i="22" s="1"/>
  <c r="H25" i="15"/>
  <c r="I25" i="15" s="1"/>
  <c r="K46" i="29"/>
  <c r="L18" i="30" l="1"/>
  <c r="L192" i="29"/>
  <c r="J31" i="19"/>
  <c r="H32" i="19" s="1"/>
  <c r="G23" i="17"/>
  <c r="H23" i="17" s="1"/>
  <c r="K23" i="30"/>
  <c r="K44" i="30" s="1"/>
  <c r="K36" i="32"/>
  <c r="K35" i="32" s="1"/>
  <c r="H70" i="23"/>
  <c r="M336" i="29"/>
  <c r="M591" i="29" s="1"/>
  <c r="M583" i="29"/>
  <c r="M36" i="29"/>
  <c r="M399" i="29"/>
  <c r="M596" i="29" s="1"/>
  <c r="L336" i="29"/>
  <c r="L591" i="29" s="1"/>
  <c r="L399" i="29"/>
  <c r="L596" i="29" s="1"/>
  <c r="L36" i="29"/>
  <c r="L583" i="29"/>
  <c r="K616" i="29"/>
  <c r="K620" i="29" s="1"/>
  <c r="K599" i="29"/>
  <c r="K605" i="29"/>
  <c r="I17" i="16"/>
  <c r="I10" i="16"/>
  <c r="J29" i="15"/>
  <c r="M29" i="15" s="1"/>
  <c r="F585" i="29"/>
  <c r="F354" i="29"/>
  <c r="F592" i="29" s="1"/>
  <c r="F69" i="29"/>
  <c r="F73" i="29" s="1"/>
  <c r="D82" i="29"/>
  <c r="E23" i="22"/>
  <c r="O28" i="15"/>
  <c r="B51" i="32"/>
  <c r="B53" i="32" s="1"/>
  <c r="B37" i="30"/>
  <c r="C38" i="30"/>
  <c r="C305" i="29"/>
  <c r="C231" i="29" s="1"/>
  <c r="M46" i="29"/>
  <c r="N30" i="15"/>
  <c r="J22" i="16" s="1"/>
  <c r="I6" i="16"/>
  <c r="J25" i="15"/>
  <c r="D27" i="15"/>
  <c r="G27" i="15" s="1"/>
  <c r="H8" i="16"/>
  <c r="H12" i="16" s="1"/>
  <c r="O21" i="15"/>
  <c r="D31" i="15" s="1"/>
  <c r="C313" i="29"/>
  <c r="C315" i="29"/>
  <c r="F75" i="29"/>
  <c r="F76" i="29" s="1"/>
  <c r="G17" i="22"/>
  <c r="B46" i="30"/>
  <c r="B46" i="32" s="1"/>
  <c r="B51" i="30"/>
  <c r="B53" i="30" s="1"/>
  <c r="H19" i="16"/>
  <c r="H23" i="16" s="1"/>
  <c r="N21" i="15"/>
  <c r="F10" i="31"/>
  <c r="D192" i="29"/>
  <c r="D18" i="30"/>
  <c r="I7" i="16"/>
  <c r="J26" i="15"/>
  <c r="M26" i="15" s="1"/>
  <c r="E6" i="17"/>
  <c r="F6" i="17" s="1"/>
  <c r="E9" i="19"/>
  <c r="G9" i="19" s="1"/>
  <c r="C45" i="30"/>
  <c r="C17" i="30"/>
  <c r="C47" i="30" s="1"/>
  <c r="C48" i="30" s="1"/>
  <c r="C47" i="32" s="1"/>
  <c r="C24" i="30"/>
  <c r="L46" i="29"/>
  <c r="J32" i="19" l="1"/>
  <c r="H33" i="19" s="1"/>
  <c r="G24" i="17"/>
  <c r="H24" i="17" s="1"/>
  <c r="L194" i="29"/>
  <c r="M439" i="29"/>
  <c r="L457" i="29"/>
  <c r="M457" i="29"/>
  <c r="L439" i="29"/>
  <c r="L36" i="32"/>
  <c r="L35" i="32" s="1"/>
  <c r="L23" i="30"/>
  <c r="L44" i="30" s="1"/>
  <c r="O30" i="15"/>
  <c r="J11" i="16" s="1"/>
  <c r="F600" i="29"/>
  <c r="F607" i="29" s="1"/>
  <c r="F613" i="29" s="1"/>
  <c r="L605" i="29"/>
  <c r="L599" i="29"/>
  <c r="L616" i="29"/>
  <c r="L620" i="29" s="1"/>
  <c r="M599" i="29"/>
  <c r="M605" i="29"/>
  <c r="M616" i="29"/>
  <c r="M620" i="29" s="1"/>
  <c r="C51" i="30"/>
  <c r="C53" i="30" s="1"/>
  <c r="C46" i="30"/>
  <c r="C46" i="32" s="1"/>
  <c r="N26" i="15"/>
  <c r="J18" i="16" s="1"/>
  <c r="C9" i="27"/>
  <c r="E29" i="22"/>
  <c r="F614" i="29"/>
  <c r="F622" i="29"/>
  <c r="F624" i="29"/>
  <c r="E7" i="17"/>
  <c r="F7" i="17" s="1"/>
  <c r="E10" i="19"/>
  <c r="G10" i="19" s="1"/>
  <c r="H33" i="21"/>
  <c r="H44" i="21" s="1"/>
  <c r="G278" i="29"/>
  <c r="B50" i="30"/>
  <c r="B52" i="30" s="1"/>
  <c r="B54" i="30" s="1"/>
  <c r="B48" i="32" s="1"/>
  <c r="B38" i="31"/>
  <c r="B39" i="30"/>
  <c r="D23" i="32"/>
  <c r="D84" i="29"/>
  <c r="N29" i="15"/>
  <c r="J21" i="16" s="1"/>
  <c r="O29" i="15"/>
  <c r="G281" i="29"/>
  <c r="H26" i="22"/>
  <c r="G50" i="29" s="1"/>
  <c r="H24" i="16"/>
  <c r="H27" i="22" s="1"/>
  <c r="C37" i="30"/>
  <c r="C51" i="32"/>
  <c r="C53" i="32" s="1"/>
  <c r="D23" i="30"/>
  <c r="D44" i="30" s="1"/>
  <c r="D36" i="32"/>
  <c r="D35" i="32" s="1"/>
  <c r="H27" i="15"/>
  <c r="I27" i="15" s="1"/>
  <c r="G31" i="15"/>
  <c r="D40" i="15"/>
  <c r="G40" i="15" s="1"/>
  <c r="F586" i="29"/>
  <c r="F358" i="29"/>
  <c r="F593" i="29" s="1"/>
  <c r="F78" i="29"/>
  <c r="F80" i="29" s="1"/>
  <c r="D457" i="29"/>
  <c r="D439" i="29"/>
  <c r="D194" i="29"/>
  <c r="M25" i="15"/>
  <c r="D38" i="15"/>
  <c r="G38" i="15" s="1"/>
  <c r="J9" i="16"/>
  <c r="F19" i="31"/>
  <c r="F42" i="32"/>
  <c r="J33" i="19" l="1"/>
  <c r="H34" i="19" s="1"/>
  <c r="G25" i="17"/>
  <c r="H25" i="17" s="1"/>
  <c r="I8" i="16"/>
  <c r="I12" i="16" s="1"/>
  <c r="J27" i="15"/>
  <c r="I31" i="15"/>
  <c r="D16" i="32"/>
  <c r="D103" i="29"/>
  <c r="D107" i="29" s="1"/>
  <c r="H38" i="15"/>
  <c r="K20" i="16" s="1"/>
  <c r="F601" i="29"/>
  <c r="G8" i="31"/>
  <c r="G7" i="31"/>
  <c r="G460" i="29"/>
  <c r="G283" i="29"/>
  <c r="G304" i="29" s="1"/>
  <c r="G36" i="31" s="1"/>
  <c r="O26" i="15"/>
  <c r="I19" i="16"/>
  <c r="I23" i="16" s="1"/>
  <c r="H31" i="15"/>
  <c r="J10" i="16"/>
  <c r="D39" i="15"/>
  <c r="G39" i="15" s="1"/>
  <c r="H45" i="21"/>
  <c r="H12" i="22" s="1"/>
  <c r="H18" i="22" s="1"/>
  <c r="H11" i="22"/>
  <c r="C16" i="27"/>
  <c r="C11" i="27"/>
  <c r="F52" i="32"/>
  <c r="F41" i="32"/>
  <c r="F35" i="31"/>
  <c r="N25" i="15"/>
  <c r="C50" i="30"/>
  <c r="C52" i="30" s="1"/>
  <c r="C54" i="30" s="1"/>
  <c r="C48" i="32" s="1"/>
  <c r="C39" i="30"/>
  <c r="C38" i="31"/>
  <c r="H40" i="15"/>
  <c r="K22" i="16" s="1"/>
  <c r="F628" i="29"/>
  <c r="F627" i="29"/>
  <c r="F630" i="29" s="1"/>
  <c r="G435" i="29"/>
  <c r="G20" i="32"/>
  <c r="G448" i="29"/>
  <c r="G52" i="29"/>
  <c r="G56" i="29" s="1"/>
  <c r="G65" i="29" s="1"/>
  <c r="E11" i="19"/>
  <c r="G11" i="19" s="1"/>
  <c r="E8" i="17"/>
  <c r="F8" i="17" s="1"/>
  <c r="I38" i="15" l="1"/>
  <c r="J38" i="15" s="1"/>
  <c r="M38" i="15" s="1"/>
  <c r="G26" i="17"/>
  <c r="H26" i="17" s="1"/>
  <c r="J34" i="19"/>
  <c r="H35" i="19" s="1"/>
  <c r="E9" i="17"/>
  <c r="F9" i="17" s="1"/>
  <c r="E12" i="19"/>
  <c r="G12" i="19" s="1"/>
  <c r="I40" i="15"/>
  <c r="J17" i="16"/>
  <c r="H281" i="29"/>
  <c r="I26" i="22"/>
  <c r="H50" i="29" s="1"/>
  <c r="I24" i="16"/>
  <c r="I27" i="22" s="1"/>
  <c r="G69" i="29"/>
  <c r="G73" i="29" s="1"/>
  <c r="G354" i="29"/>
  <c r="G592" i="29" s="1"/>
  <c r="G585" i="29"/>
  <c r="O25" i="15"/>
  <c r="H39" i="15"/>
  <c r="K21" i="16" s="1"/>
  <c r="G10" i="31"/>
  <c r="D112" i="29"/>
  <c r="D114" i="29"/>
  <c r="D115" i="29" s="1"/>
  <c r="F39" i="32"/>
  <c r="F37" i="31"/>
  <c r="C23" i="27"/>
  <c r="C18" i="27"/>
  <c r="D36" i="15"/>
  <c r="G36" i="15" s="1"/>
  <c r="J7" i="16"/>
  <c r="D17" i="32"/>
  <c r="D49" i="32"/>
  <c r="M27" i="15"/>
  <c r="J31" i="15"/>
  <c r="G75" i="29"/>
  <c r="G76" i="29" s="1"/>
  <c r="H17" i="22"/>
  <c r="K9" i="16"/>
  <c r="I33" i="21"/>
  <c r="I44" i="21" s="1"/>
  <c r="H278" i="29"/>
  <c r="J35" i="19" l="1"/>
  <c r="H36" i="19" s="1"/>
  <c r="G27" i="17"/>
  <c r="H27" i="17" s="1"/>
  <c r="G600" i="29"/>
  <c r="G607" i="29" s="1"/>
  <c r="G613" i="29" s="1"/>
  <c r="G614" i="29" s="1"/>
  <c r="N38" i="15"/>
  <c r="L20" i="16" s="1"/>
  <c r="D24" i="32"/>
  <c r="D19" i="32"/>
  <c r="D22" i="32" s="1"/>
  <c r="C30" i="27"/>
  <c r="C32" i="27" s="1"/>
  <c r="C25" i="27"/>
  <c r="G42" i="32"/>
  <c r="G19" i="31"/>
  <c r="G624" i="29"/>
  <c r="G622" i="29"/>
  <c r="H435" i="29"/>
  <c r="H20" i="32"/>
  <c r="H52" i="29"/>
  <c r="H56" i="29" s="1"/>
  <c r="H65" i="29" s="1"/>
  <c r="H448" i="29"/>
  <c r="D208" i="29"/>
  <c r="D433" i="29"/>
  <c r="D450" i="29" s="1"/>
  <c r="D113" i="29"/>
  <c r="D467" i="29"/>
  <c r="D468" i="29" s="1"/>
  <c r="I39" i="15"/>
  <c r="H8" i="31"/>
  <c r="J40" i="15"/>
  <c r="M40" i="15" s="1"/>
  <c r="K11" i="16"/>
  <c r="H283" i="29"/>
  <c r="H304" i="29" s="1"/>
  <c r="H36" i="31" s="1"/>
  <c r="H460" i="29"/>
  <c r="H7" i="31"/>
  <c r="H10" i="31" s="1"/>
  <c r="N27" i="15"/>
  <c r="O27" i="15" s="1"/>
  <c r="O31" i="15" s="1"/>
  <c r="D41" i="15" s="1"/>
  <c r="M31" i="15"/>
  <c r="H36" i="15"/>
  <c r="K18" i="16" s="1"/>
  <c r="G358" i="29"/>
  <c r="G593" i="29" s="1"/>
  <c r="G586" i="29"/>
  <c r="G78" i="29"/>
  <c r="G80" i="29" s="1"/>
  <c r="E13" i="19"/>
  <c r="G13" i="19" s="1"/>
  <c r="E10" i="17"/>
  <c r="F10" i="17" s="1"/>
  <c r="I11" i="22"/>
  <c r="I45" i="21"/>
  <c r="I12" i="22" s="1"/>
  <c r="I18" i="22" s="1"/>
  <c r="D35" i="15"/>
  <c r="G35" i="15" s="1"/>
  <c r="J6" i="16"/>
  <c r="G28" i="17" l="1"/>
  <c r="H28" i="17" s="1"/>
  <c r="J36" i="19"/>
  <c r="H37" i="19" s="1"/>
  <c r="G601" i="29"/>
  <c r="H75" i="29"/>
  <c r="H76" i="29" s="1"/>
  <c r="I17" i="22"/>
  <c r="H19" i="31"/>
  <c r="H42" i="32"/>
  <c r="N40" i="15"/>
  <c r="L22" i="16" s="1"/>
  <c r="G52" i="32"/>
  <c r="G41" i="32"/>
  <c r="G35" i="31"/>
  <c r="H35" i="15"/>
  <c r="I35" i="15" s="1"/>
  <c r="J19" i="16"/>
  <c r="J23" i="16" s="1"/>
  <c r="N31" i="15"/>
  <c r="H69" i="29"/>
  <c r="H73" i="29" s="1"/>
  <c r="H585" i="29"/>
  <c r="H354" i="29"/>
  <c r="H592" i="29" s="1"/>
  <c r="E14" i="19"/>
  <c r="G14" i="19" s="1"/>
  <c r="E11" i="17"/>
  <c r="F11" i="17" s="1"/>
  <c r="D37" i="15"/>
  <c r="G37" i="15" s="1"/>
  <c r="G41" i="15" s="1"/>
  <c r="J8" i="16"/>
  <c r="J12" i="16" s="1"/>
  <c r="D479" i="29"/>
  <c r="D489" i="29" s="1"/>
  <c r="D492" i="29" s="1"/>
  <c r="G627" i="29"/>
  <c r="G630" i="29" s="1"/>
  <c r="G628" i="29"/>
  <c r="O38" i="15"/>
  <c r="I36" i="15"/>
  <c r="J39" i="15"/>
  <c r="M39" i="15" s="1"/>
  <c r="K10" i="16"/>
  <c r="D210" i="29"/>
  <c r="D11" i="30"/>
  <c r="E202" i="29"/>
  <c r="J37" i="19" l="1"/>
  <c r="H38" i="19" s="1"/>
  <c r="G29" i="17"/>
  <c r="H29" i="17" s="1"/>
  <c r="J33" i="21"/>
  <c r="J44" i="21" s="1"/>
  <c r="I278" i="29"/>
  <c r="J35" i="15"/>
  <c r="M35" i="15" s="1"/>
  <c r="K6" i="16"/>
  <c r="E210" i="29"/>
  <c r="E306" i="29" s="1"/>
  <c r="N39" i="15"/>
  <c r="L21" i="16" s="1"/>
  <c r="D48" i="15"/>
  <c r="G48" i="15" s="1"/>
  <c r="L9" i="16"/>
  <c r="H600" i="29"/>
  <c r="H607" i="29" s="1"/>
  <c r="H613" i="29" s="1"/>
  <c r="D15" i="30"/>
  <c r="D27" i="32"/>
  <c r="D31" i="32" s="1"/>
  <c r="D33" i="32" s="1"/>
  <c r="J36" i="15"/>
  <c r="M36" i="15" s="1"/>
  <c r="K7" i="16"/>
  <c r="H37" i="15"/>
  <c r="K19" i="16" s="1"/>
  <c r="H586" i="29"/>
  <c r="H78" i="29"/>
  <c r="H80" i="29" s="1"/>
  <c r="H358" i="29"/>
  <c r="H593" i="29" s="1"/>
  <c r="H52" i="32"/>
  <c r="H41" i="32"/>
  <c r="H35" i="31"/>
  <c r="D306" i="29"/>
  <c r="D212" i="29"/>
  <c r="K17" i="16"/>
  <c r="H41" i="15"/>
  <c r="O40" i="15"/>
  <c r="E15" i="19"/>
  <c r="G15" i="19" s="1"/>
  <c r="E12" i="17"/>
  <c r="F12" i="17" s="1"/>
  <c r="J26" i="22"/>
  <c r="I50" i="29" s="1"/>
  <c r="I281" i="29"/>
  <c r="I8" i="31" s="1"/>
  <c r="J24" i="16"/>
  <c r="J27" i="22" s="1"/>
  <c r="G39" i="32"/>
  <c r="G37" i="31"/>
  <c r="K23" i="16" l="1"/>
  <c r="I37" i="15"/>
  <c r="J38" i="19"/>
  <c r="H39" i="19" s="1"/>
  <c r="G30" i="17"/>
  <c r="H30" i="17" s="1"/>
  <c r="I20" i="32"/>
  <c r="I435" i="29"/>
  <c r="I52" i="29"/>
  <c r="I56" i="29" s="1"/>
  <c r="I65" i="29" s="1"/>
  <c r="I448" i="29"/>
  <c r="H37" i="31"/>
  <c r="H39" i="32"/>
  <c r="K8" i="16"/>
  <c r="J37" i="15"/>
  <c r="M37" i="15" s="1"/>
  <c r="H48" i="15"/>
  <c r="M20" i="16" s="1"/>
  <c r="I48" i="15"/>
  <c r="K12" i="16"/>
  <c r="E16" i="19"/>
  <c r="G16" i="19" s="1"/>
  <c r="E13" i="17"/>
  <c r="F13" i="17" s="1"/>
  <c r="J281" i="29"/>
  <c r="J8" i="31" s="1"/>
  <c r="K26" i="22"/>
  <c r="J50" i="29" s="1"/>
  <c r="K24" i="16"/>
  <c r="K27" i="22" s="1"/>
  <c r="H601" i="29"/>
  <c r="D17" i="30"/>
  <c r="D47" i="30" s="1"/>
  <c r="D48" i="30" s="1"/>
  <c r="D47" i="32" s="1"/>
  <c r="D45" i="30"/>
  <c r="D24" i="30"/>
  <c r="O39" i="15"/>
  <c r="N35" i="15"/>
  <c r="O35" i="15" s="1"/>
  <c r="M41" i="15"/>
  <c r="D50" i="15"/>
  <c r="G50" i="15" s="1"/>
  <c r="L11" i="16"/>
  <c r="D305" i="29"/>
  <c r="D231" i="29" s="1"/>
  <c r="D38" i="30"/>
  <c r="H624" i="29"/>
  <c r="H622" i="29"/>
  <c r="H614" i="29"/>
  <c r="I7" i="31"/>
  <c r="I10" i="31" s="1"/>
  <c r="I283" i="29"/>
  <c r="I304" i="29" s="1"/>
  <c r="I36" i="31" s="1"/>
  <c r="I460" i="29"/>
  <c r="D315" i="29"/>
  <c r="D313" i="29"/>
  <c r="N36" i="15"/>
  <c r="L18" i="16" s="1"/>
  <c r="I41" i="15"/>
  <c r="J11" i="22"/>
  <c r="J45" i="21"/>
  <c r="J12" i="22" s="1"/>
  <c r="J18" i="22" s="1"/>
  <c r="J39" i="19" l="1"/>
  <c r="H40" i="19" s="1"/>
  <c r="G31" i="17"/>
  <c r="H31" i="17" s="1"/>
  <c r="D45" i="15"/>
  <c r="L6" i="16"/>
  <c r="I75" i="29"/>
  <c r="I76" i="29" s="1"/>
  <c r="J17" i="22"/>
  <c r="H50" i="15"/>
  <c r="M22" i="16" s="1"/>
  <c r="D49" i="15"/>
  <c r="G49" i="15" s="1"/>
  <c r="L10" i="16"/>
  <c r="I69" i="29"/>
  <c r="I73" i="29" s="1"/>
  <c r="I354" i="29"/>
  <c r="I592" i="29" s="1"/>
  <c r="I585" i="29"/>
  <c r="I600" i="29" s="1"/>
  <c r="I607" i="29" s="1"/>
  <c r="I613" i="29" s="1"/>
  <c r="O36" i="15"/>
  <c r="H628" i="29"/>
  <c r="H627" i="29"/>
  <c r="H630" i="29" s="1"/>
  <c r="D51" i="32"/>
  <c r="D53" i="32" s="1"/>
  <c r="D37" i="30"/>
  <c r="E14" i="17"/>
  <c r="F14" i="17" s="1"/>
  <c r="E17" i="19"/>
  <c r="G17" i="19" s="1"/>
  <c r="N37" i="15"/>
  <c r="L19" i="16" s="1"/>
  <c r="D51" i="30"/>
  <c r="D53" i="30" s="1"/>
  <c r="D46" i="30"/>
  <c r="D46" i="32" s="1"/>
  <c r="J435" i="29"/>
  <c r="J20" i="32"/>
  <c r="J52" i="29"/>
  <c r="J56" i="29" s="1"/>
  <c r="J65" i="29" s="1"/>
  <c r="J448" i="29"/>
  <c r="J278" i="29"/>
  <c r="K33" i="21"/>
  <c r="K44" i="21" s="1"/>
  <c r="I42" i="32"/>
  <c r="I19" i="31"/>
  <c r="L17" i="16"/>
  <c r="J48" i="15"/>
  <c r="M48" i="15" s="1"/>
  <c r="M9" i="16"/>
  <c r="L23" i="16" l="1"/>
  <c r="L24" i="16" s="1"/>
  <c r="L27" i="22" s="1"/>
  <c r="O37" i="15"/>
  <c r="N41" i="15"/>
  <c r="G32" i="17"/>
  <c r="H32" i="17" s="1"/>
  <c r="H33" i="17" s="1"/>
  <c r="G17" i="20" s="1"/>
  <c r="J40" i="19"/>
  <c r="O41" i="15"/>
  <c r="I50" i="15"/>
  <c r="J354" i="29"/>
  <c r="J592" i="29" s="1"/>
  <c r="J585" i="29"/>
  <c r="J69" i="29"/>
  <c r="J73" i="29" s="1"/>
  <c r="L8" i="16"/>
  <c r="D47" i="15"/>
  <c r="G47" i="15" s="1"/>
  <c r="I614" i="29"/>
  <c r="I624" i="29"/>
  <c r="I622" i="29"/>
  <c r="H49" i="15"/>
  <c r="M21" i="16" s="1"/>
  <c r="K11" i="22"/>
  <c r="K45" i="21"/>
  <c r="K12" i="22" s="1"/>
  <c r="K18" i="22" s="1"/>
  <c r="E18" i="19"/>
  <c r="G18" i="19" s="1"/>
  <c r="E15" i="17"/>
  <c r="F15" i="17" s="1"/>
  <c r="N48" i="15"/>
  <c r="N20" i="16" s="1"/>
  <c r="J460" i="29"/>
  <c r="J283" i="29"/>
  <c r="J304" i="29" s="1"/>
  <c r="J36" i="31" s="1"/>
  <c r="J7" i="31"/>
  <c r="J10" i="31" s="1"/>
  <c r="I78" i="29"/>
  <c r="I80" i="29" s="1"/>
  <c r="I358" i="29"/>
  <c r="I593" i="29" s="1"/>
  <c r="I586" i="29"/>
  <c r="M11" i="16"/>
  <c r="J50" i="15"/>
  <c r="M50" i="15" s="1"/>
  <c r="K281" i="29"/>
  <c r="K8" i="31" s="1"/>
  <c r="L26" i="22"/>
  <c r="K50" i="29" s="1"/>
  <c r="I41" i="32"/>
  <c r="I52" i="32"/>
  <c r="I35" i="31"/>
  <c r="D50" i="30"/>
  <c r="D52" i="30" s="1"/>
  <c r="D54" i="30" s="1"/>
  <c r="D48" i="32" s="1"/>
  <c r="D39" i="30"/>
  <c r="D38" i="31"/>
  <c r="L7" i="16"/>
  <c r="L12" i="16" s="1"/>
  <c r="D46" i="15"/>
  <c r="G46" i="15" s="1"/>
  <c r="G45" i="15"/>
  <c r="J44" i="19" l="1"/>
  <c r="K29" i="19"/>
  <c r="I49" i="15"/>
  <c r="J600" i="29"/>
  <c r="J607" i="29" s="1"/>
  <c r="J613" i="29" s="1"/>
  <c r="J624" i="29" s="1"/>
  <c r="I601" i="29"/>
  <c r="K278" i="29"/>
  <c r="L33" i="21"/>
  <c r="L44" i="21" s="1"/>
  <c r="O48" i="15"/>
  <c r="N9" i="16" s="1"/>
  <c r="J75" i="29"/>
  <c r="J76" i="29" s="1"/>
  <c r="K17" i="22"/>
  <c r="I627" i="29"/>
  <c r="I630" i="29" s="1"/>
  <c r="I628" i="29"/>
  <c r="H46" i="15"/>
  <c r="M18" i="16" s="1"/>
  <c r="N50" i="15"/>
  <c r="N22" i="16" s="1"/>
  <c r="J78" i="29"/>
  <c r="J80" i="29" s="1"/>
  <c r="J586" i="29"/>
  <c r="J358" i="29"/>
  <c r="J593" i="29" s="1"/>
  <c r="D51" i="15"/>
  <c r="I39" i="32"/>
  <c r="I37" i="31"/>
  <c r="K20" i="32"/>
  <c r="K435" i="29"/>
  <c r="K52" i="29"/>
  <c r="K56" i="29" s="1"/>
  <c r="K65" i="29" s="1"/>
  <c r="J42" i="32"/>
  <c r="J19" i="31"/>
  <c r="G22" i="19"/>
  <c r="F27" i="20" s="1"/>
  <c r="F29" i="20" s="1"/>
  <c r="F40" i="20" s="1"/>
  <c r="E181" i="29" s="1"/>
  <c r="E16" i="17"/>
  <c r="F16" i="17" s="1"/>
  <c r="F17" i="17" s="1"/>
  <c r="F16" i="20" s="1"/>
  <c r="F21" i="20" s="1"/>
  <c r="H7" i="19"/>
  <c r="J7" i="19" s="1"/>
  <c r="M10" i="16"/>
  <c r="J49" i="15"/>
  <c r="M49" i="15" s="1"/>
  <c r="J614" i="29"/>
  <c r="H45" i="15"/>
  <c r="I45" i="15" s="1"/>
  <c r="G51" i="15"/>
  <c r="H47" i="15"/>
  <c r="M19" i="16" s="1"/>
  <c r="I47" i="15"/>
  <c r="J622" i="29" l="1"/>
  <c r="J628" i="29" s="1"/>
  <c r="M29" i="19"/>
  <c r="K30" i="19" s="1"/>
  <c r="I21" i="17"/>
  <c r="J21" i="17" s="1"/>
  <c r="J52" i="32"/>
  <c r="J41" i="32"/>
  <c r="J35" i="31"/>
  <c r="O50" i="15"/>
  <c r="N11" i="16" s="1"/>
  <c r="H8" i="19"/>
  <c r="J8" i="19" s="1"/>
  <c r="G5" i="17"/>
  <c r="H5" i="17" s="1"/>
  <c r="L11" i="22"/>
  <c r="L45" i="21"/>
  <c r="L12" i="22" s="1"/>
  <c r="L18" i="22" s="1"/>
  <c r="M8" i="16"/>
  <c r="J47" i="15"/>
  <c r="J45" i="15"/>
  <c r="M6" i="16"/>
  <c r="F20" i="22"/>
  <c r="F22" i="20"/>
  <c r="F21" i="22" s="1"/>
  <c r="F24" i="22" s="1"/>
  <c r="F30" i="22" s="1"/>
  <c r="K69" i="29"/>
  <c r="K73" i="29" s="1"/>
  <c r="K585" i="29"/>
  <c r="K354" i="29"/>
  <c r="K592" i="29" s="1"/>
  <c r="K460" i="29"/>
  <c r="K283" i="29"/>
  <c r="K304" i="29" s="1"/>
  <c r="K36" i="31" s="1"/>
  <c r="K7" i="31"/>
  <c r="K10" i="31" s="1"/>
  <c r="M17" i="16"/>
  <c r="M23" i="16" s="1"/>
  <c r="H51" i="15"/>
  <c r="N49" i="15"/>
  <c r="N21" i="16" s="1"/>
  <c r="E18" i="30"/>
  <c r="E192" i="29"/>
  <c r="J601" i="29"/>
  <c r="I46" i="15"/>
  <c r="J627" i="29" l="1"/>
  <c r="J630" i="29" s="1"/>
  <c r="I22" i="17"/>
  <c r="J22" i="17" s="1"/>
  <c r="M30" i="19"/>
  <c r="K31" i="19" s="1"/>
  <c r="K19" i="31"/>
  <c r="K42" i="32"/>
  <c r="K586" i="29"/>
  <c r="K358" i="29"/>
  <c r="K593" i="29" s="1"/>
  <c r="M45" i="15"/>
  <c r="K75" i="29"/>
  <c r="K76" i="29" s="1"/>
  <c r="L17" i="22"/>
  <c r="M7" i="16"/>
  <c r="M12" i="16" s="1"/>
  <c r="J46" i="15"/>
  <c r="O49" i="15"/>
  <c r="N10" i="16" s="1"/>
  <c r="E457" i="29"/>
  <c r="E212" i="29"/>
  <c r="E315" i="29"/>
  <c r="E439" i="29"/>
  <c r="E194" i="29"/>
  <c r="E313" i="29" s="1"/>
  <c r="E82" i="29"/>
  <c r="F23" i="22"/>
  <c r="L47" i="15"/>
  <c r="M47" i="15" s="1"/>
  <c r="J39" i="32"/>
  <c r="J37" i="31"/>
  <c r="E23" i="30"/>
  <c r="E44" i="30" s="1"/>
  <c r="E36" i="32"/>
  <c r="E35" i="32" s="1"/>
  <c r="M26" i="22"/>
  <c r="L50" i="29" s="1"/>
  <c r="L281" i="29"/>
  <c r="L8" i="31" s="1"/>
  <c r="M24" i="16"/>
  <c r="M27" i="22" s="1"/>
  <c r="K600" i="29"/>
  <c r="K607" i="29" s="1"/>
  <c r="K613" i="29" s="1"/>
  <c r="I51" i="15"/>
  <c r="H9" i="19"/>
  <c r="J9" i="19" s="1"/>
  <c r="G6" i="17"/>
  <c r="H6" i="17" s="1"/>
  <c r="M31" i="19" l="1"/>
  <c r="K32" i="19" s="1"/>
  <c r="I23" i="17"/>
  <c r="J23" i="17" s="1"/>
  <c r="G7" i="17"/>
  <c r="H7" i="17" s="1"/>
  <c r="H10" i="19"/>
  <c r="J10" i="19" s="1"/>
  <c r="L20" i="32"/>
  <c r="L435" i="29"/>
  <c r="L52" i="29"/>
  <c r="L56" i="29" s="1"/>
  <c r="L65" i="29" s="1"/>
  <c r="L51" i="15"/>
  <c r="K46" i="15"/>
  <c r="K51" i="15" s="1"/>
  <c r="D35" i="34" s="1"/>
  <c r="M33" i="21"/>
  <c r="M44" i="21" s="1"/>
  <c r="L278" i="29"/>
  <c r="K622" i="29"/>
  <c r="K624" i="29"/>
  <c r="K614" i="29"/>
  <c r="F29" i="22"/>
  <c r="D9" i="27"/>
  <c r="M46" i="15"/>
  <c r="M51" i="15" s="1"/>
  <c r="N45" i="15"/>
  <c r="O45" i="15" s="1"/>
  <c r="E23" i="32"/>
  <c r="E84" i="29"/>
  <c r="E38" i="30"/>
  <c r="E305" i="29"/>
  <c r="E231" i="29" s="1"/>
  <c r="J51" i="15"/>
  <c r="K78" i="29"/>
  <c r="K80" i="29" s="1"/>
  <c r="N47" i="15"/>
  <c r="N19" i="16" s="1"/>
  <c r="K601" i="29"/>
  <c r="K35" i="31"/>
  <c r="K41" i="32"/>
  <c r="K52" i="32"/>
  <c r="M32" i="19" l="1"/>
  <c r="K33" i="19" s="1"/>
  <c r="I24" i="17"/>
  <c r="J24" i="17" s="1"/>
  <c r="K37" i="31"/>
  <c r="K39" i="32"/>
  <c r="O47" i="15"/>
  <c r="N8" i="16" s="1"/>
  <c r="D16" i="27"/>
  <c r="D11" i="27"/>
  <c r="K628" i="29"/>
  <c r="K627" i="29"/>
  <c r="K630" i="29" s="1"/>
  <c r="N6" i="16"/>
  <c r="L283" i="29"/>
  <c r="L304" i="29" s="1"/>
  <c r="L36" i="31" s="1"/>
  <c r="L460" i="29"/>
  <c r="L468" i="29" s="1"/>
  <c r="L7" i="31"/>
  <c r="L10" i="31" s="1"/>
  <c r="L354" i="29"/>
  <c r="L592" i="29" s="1"/>
  <c r="L69" i="29"/>
  <c r="L73" i="29" s="1"/>
  <c r="L585" i="29"/>
  <c r="G8" i="17"/>
  <c r="H8" i="17" s="1"/>
  <c r="H11" i="19"/>
  <c r="J11" i="19" s="1"/>
  <c r="E16" i="32"/>
  <c r="E103" i="29"/>
  <c r="E107" i="29" s="1"/>
  <c r="N17" i="16"/>
  <c r="M11" i="22"/>
  <c r="M45" i="21"/>
  <c r="M12" i="22" s="1"/>
  <c r="M18" i="22" s="1"/>
  <c r="N46" i="15"/>
  <c r="N18" i="16" s="1"/>
  <c r="M33" i="19" l="1"/>
  <c r="K34" i="19" s="1"/>
  <c r="I25" i="17"/>
  <c r="J25" i="17" s="1"/>
  <c r="L600" i="29"/>
  <c r="L607" i="29" s="1"/>
  <c r="L613" i="29" s="1"/>
  <c r="O46" i="15"/>
  <c r="N7" i="16" s="1"/>
  <c r="N12" i="16" s="1"/>
  <c r="L75" i="29"/>
  <c r="L76" i="29" s="1"/>
  <c r="M17" i="22"/>
  <c r="E49" i="32"/>
  <c r="E17" i="32"/>
  <c r="L78" i="29"/>
  <c r="L80" i="29" s="1"/>
  <c r="L358" i="29"/>
  <c r="L593" i="29" s="1"/>
  <c r="L586" i="29"/>
  <c r="N51" i="15"/>
  <c r="H12" i="19"/>
  <c r="J12" i="19" s="1"/>
  <c r="G9" i="17"/>
  <c r="H9" i="17" s="1"/>
  <c r="N23" i="16"/>
  <c r="L19" i="31"/>
  <c r="L42" i="32"/>
  <c r="D23" i="27"/>
  <c r="D18" i="27"/>
  <c r="E112" i="29"/>
  <c r="E114" i="29"/>
  <c r="E115" i="29" s="1"/>
  <c r="L624" i="29"/>
  <c r="L622" i="29"/>
  <c r="L614" i="29"/>
  <c r="I26" i="17" l="1"/>
  <c r="J26" i="17" s="1"/>
  <c r="M34" i="19"/>
  <c r="K35" i="19" s="1"/>
  <c r="O51" i="15"/>
  <c r="L601" i="29"/>
  <c r="L628" i="29"/>
  <c r="L627" i="29"/>
  <c r="L630" i="29" s="1"/>
  <c r="E24" i="32"/>
  <c r="E19" i="32"/>
  <c r="E22" i="32" s="1"/>
  <c r="L52" i="32"/>
  <c r="L41" i="32"/>
  <c r="L35" i="31"/>
  <c r="G10" i="17"/>
  <c r="H10" i="17" s="1"/>
  <c r="H13" i="19"/>
  <c r="J13" i="19" s="1"/>
  <c r="D30" i="27"/>
  <c r="D32" i="27" s="1"/>
  <c r="D25" i="27"/>
  <c r="N26" i="22"/>
  <c r="M50" i="29" s="1"/>
  <c r="M281" i="29"/>
  <c r="N24" i="16"/>
  <c r="N27" i="22" s="1"/>
  <c r="E208" i="29"/>
  <c r="E433" i="29"/>
  <c r="E450" i="29" s="1"/>
  <c r="E113" i="29"/>
  <c r="E467" i="29"/>
  <c r="E468" i="29" s="1"/>
  <c r="N33" i="21"/>
  <c r="N44" i="21" s="1"/>
  <c r="M278" i="29"/>
  <c r="M35" i="19" l="1"/>
  <c r="K36" i="19" s="1"/>
  <c r="I27" i="17"/>
  <c r="J27" i="17" s="1"/>
  <c r="M7" i="31"/>
  <c r="M283" i="29"/>
  <c r="M304" i="29" s="1"/>
  <c r="M36" i="31" s="1"/>
  <c r="N278" i="29"/>
  <c r="M460" i="29"/>
  <c r="M468" i="29" s="1"/>
  <c r="E479" i="29"/>
  <c r="E489" i="29" s="1"/>
  <c r="E492" i="29" s="1"/>
  <c r="M8" i="31"/>
  <c r="N281" i="29"/>
  <c r="H14" i="19"/>
  <c r="J14" i="19" s="1"/>
  <c r="G11" i="17"/>
  <c r="H11" i="17" s="1"/>
  <c r="N11" i="22"/>
  <c r="N45" i="21"/>
  <c r="N12" i="22" s="1"/>
  <c r="N18" i="22" s="1"/>
  <c r="E11" i="30"/>
  <c r="F202" i="29"/>
  <c r="M435" i="29"/>
  <c r="M20" i="32"/>
  <c r="M52" i="29"/>
  <c r="M56" i="29" s="1"/>
  <c r="M65" i="29" s="1"/>
  <c r="L39" i="32"/>
  <c r="L37" i="31"/>
  <c r="M36" i="19" l="1"/>
  <c r="K37" i="19" s="1"/>
  <c r="I28" i="17"/>
  <c r="J28" i="17" s="1"/>
  <c r="M75" i="29"/>
  <c r="M76" i="29" s="1"/>
  <c r="N17" i="22"/>
  <c r="M69" i="29"/>
  <c r="M73" i="29" s="1"/>
  <c r="M354" i="29"/>
  <c r="M592" i="29" s="1"/>
  <c r="M585" i="29"/>
  <c r="F210" i="29"/>
  <c r="F306" i="29" s="1"/>
  <c r="M10" i="31"/>
  <c r="E15" i="30"/>
  <c r="E27" i="32"/>
  <c r="E31" i="32" s="1"/>
  <c r="E33" i="32" s="1"/>
  <c r="H15" i="19"/>
  <c r="J15" i="19" s="1"/>
  <c r="G12" i="17"/>
  <c r="H12" i="17" s="1"/>
  <c r="O281" i="29"/>
  <c r="O8" i="31" s="1"/>
  <c r="N8" i="31"/>
  <c r="N460" i="29"/>
  <c r="N283" i="29"/>
  <c r="N304" i="29" s="1"/>
  <c r="N36" i="31" s="1"/>
  <c r="N7" i="31"/>
  <c r="O278" i="29"/>
  <c r="N10" i="31" l="1"/>
  <c r="N19" i="31" s="1"/>
  <c r="I29" i="17"/>
  <c r="J29" i="17" s="1"/>
  <c r="M37" i="19"/>
  <c r="K38" i="19" s="1"/>
  <c r="M600" i="29"/>
  <c r="M607" i="29" s="1"/>
  <c r="M613" i="29" s="1"/>
  <c r="M622" i="29" s="1"/>
  <c r="O7" i="31"/>
  <c r="O10" i="31" s="1"/>
  <c r="O283" i="29"/>
  <c r="O304" i="29" s="1"/>
  <c r="O36" i="31" s="1"/>
  <c r="O460" i="29"/>
  <c r="E45" i="30"/>
  <c r="E17" i="30"/>
  <c r="E47" i="30" s="1"/>
  <c r="E48" i="30" s="1"/>
  <c r="E47" i="32" s="1"/>
  <c r="E24" i="30"/>
  <c r="M358" i="29"/>
  <c r="M593" i="29" s="1"/>
  <c r="M586" i="29"/>
  <c r="M78" i="29"/>
  <c r="M80" i="29" s="1"/>
  <c r="N42" i="32"/>
  <c r="M19" i="31"/>
  <c r="M42" i="32"/>
  <c r="G13" i="17"/>
  <c r="H13" i="17" s="1"/>
  <c r="H16" i="19"/>
  <c r="J16" i="19" s="1"/>
  <c r="M614" i="29" l="1"/>
  <c r="M624" i="29"/>
  <c r="M627" i="29" s="1"/>
  <c r="M630" i="29" s="1"/>
  <c r="I30" i="17"/>
  <c r="J30" i="17" s="1"/>
  <c r="M38" i="19"/>
  <c r="K39" i="19" s="1"/>
  <c r="M601" i="29"/>
  <c r="N52" i="32"/>
  <c r="N35" i="31"/>
  <c r="N41" i="32"/>
  <c r="E51" i="32"/>
  <c r="E53" i="32" s="1"/>
  <c r="E37" i="30"/>
  <c r="M628" i="29"/>
  <c r="G14" i="17"/>
  <c r="H14" i="17" s="1"/>
  <c r="H17" i="19"/>
  <c r="J17" i="19" s="1"/>
  <c r="M52" i="32"/>
  <c r="M35" i="31"/>
  <c r="M41" i="32"/>
  <c r="E51" i="30"/>
  <c r="E53" i="30" s="1"/>
  <c r="E46" i="30"/>
  <c r="E46" i="32" s="1"/>
  <c r="O42" i="32"/>
  <c r="O19" i="31"/>
  <c r="M39" i="19" l="1"/>
  <c r="K40" i="19" s="1"/>
  <c r="I31" i="17"/>
  <c r="J31" i="17" s="1"/>
  <c r="M37" i="31"/>
  <c r="M39" i="32"/>
  <c r="O52" i="32"/>
  <c r="O41" i="32"/>
  <c r="O35" i="31"/>
  <c r="G15" i="17"/>
  <c r="H15" i="17" s="1"/>
  <c r="H18" i="19"/>
  <c r="J18" i="19" s="1"/>
  <c r="N37" i="31"/>
  <c r="N39" i="32"/>
  <c r="E50" i="30"/>
  <c r="E52" i="30" s="1"/>
  <c r="E54" i="30" s="1"/>
  <c r="E48" i="32" s="1"/>
  <c r="E39" i="30"/>
  <c r="E38" i="31"/>
  <c r="I32" i="17" l="1"/>
  <c r="J32" i="17" s="1"/>
  <c r="J33" i="17" s="1"/>
  <c r="H17" i="20" s="1"/>
  <c r="M40" i="19"/>
  <c r="O37" i="31"/>
  <c r="O39" i="32"/>
  <c r="J22" i="19"/>
  <c r="G27" i="20" s="1"/>
  <c r="G29" i="20" s="1"/>
  <c r="G40" i="20" s="1"/>
  <c r="F181" i="29" s="1"/>
  <c r="G16" i="17"/>
  <c r="H16" i="17" s="1"/>
  <c r="H17" i="17" s="1"/>
  <c r="G16" i="20" s="1"/>
  <c r="G21" i="20" s="1"/>
  <c r="K7" i="19"/>
  <c r="M7" i="19" s="1"/>
  <c r="N29" i="19" l="1"/>
  <c r="M44" i="19"/>
  <c r="F18" i="30"/>
  <c r="F192" i="29"/>
  <c r="K8" i="19"/>
  <c r="M8" i="19" s="1"/>
  <c r="I5" i="17"/>
  <c r="J5" i="17" s="1"/>
  <c r="G20" i="22"/>
  <c r="G22" i="20"/>
  <c r="G21" i="22" s="1"/>
  <c r="G24" i="22" s="1"/>
  <c r="G30" i="22" s="1"/>
  <c r="K21" i="17" l="1"/>
  <c r="L21" i="17" s="1"/>
  <c r="P29" i="19"/>
  <c r="N30" i="19" s="1"/>
  <c r="F82" i="29"/>
  <c r="G23" i="22"/>
  <c r="F315" i="29"/>
  <c r="F212" i="29"/>
  <c r="F439" i="29"/>
  <c r="F457" i="29"/>
  <c r="F194" i="29"/>
  <c r="F313" i="29" s="1"/>
  <c r="K9" i="19"/>
  <c r="M9" i="19" s="1"/>
  <c r="I6" i="17"/>
  <c r="J6" i="17" s="1"/>
  <c r="F23" i="30"/>
  <c r="F44" i="30" s="1"/>
  <c r="F36" i="32"/>
  <c r="F35" i="32" s="1"/>
  <c r="K22" i="17" l="1"/>
  <c r="L22" i="17" s="1"/>
  <c r="P30" i="19"/>
  <c r="N31" i="19" s="1"/>
  <c r="I7" i="17"/>
  <c r="J7" i="17" s="1"/>
  <c r="K10" i="19"/>
  <c r="M10" i="19" s="1"/>
  <c r="F305" i="29"/>
  <c r="F231" i="29" s="1"/>
  <c r="F38" i="30"/>
  <c r="E9" i="27"/>
  <c r="G29" i="22"/>
  <c r="F23" i="32"/>
  <c r="F84" i="29"/>
  <c r="P31" i="19" l="1"/>
  <c r="N32" i="19" s="1"/>
  <c r="K23" i="17"/>
  <c r="L23" i="17" s="1"/>
  <c r="E16" i="27"/>
  <c r="E11" i="27"/>
  <c r="K11" i="19"/>
  <c r="M11" i="19" s="1"/>
  <c r="I8" i="17"/>
  <c r="J8" i="17" s="1"/>
  <c r="F16" i="32"/>
  <c r="F103" i="29"/>
  <c r="F107" i="29" s="1"/>
  <c r="P32" i="19" l="1"/>
  <c r="N33" i="19" s="1"/>
  <c r="K24" i="17"/>
  <c r="L24" i="17" s="1"/>
  <c r="K12" i="19"/>
  <c r="M12" i="19" s="1"/>
  <c r="I9" i="17"/>
  <c r="J9" i="17" s="1"/>
  <c r="F112" i="29"/>
  <c r="F114" i="29"/>
  <c r="F115" i="29" s="1"/>
  <c r="F49" i="32"/>
  <c r="F17" i="32"/>
  <c r="E23" i="27"/>
  <c r="E18" i="27"/>
  <c r="P33" i="19" l="1"/>
  <c r="N34" i="19" s="1"/>
  <c r="K25" i="17"/>
  <c r="L25" i="17" s="1"/>
  <c r="F24" i="32"/>
  <c r="F19" i="32"/>
  <c r="F22" i="32" s="1"/>
  <c r="K13" i="19"/>
  <c r="M13" i="19" s="1"/>
  <c r="I10" i="17"/>
  <c r="J10" i="17" s="1"/>
  <c r="E30" i="27"/>
  <c r="E32" i="27" s="1"/>
  <c r="E25" i="27"/>
  <c r="F113" i="29"/>
  <c r="F208" i="29"/>
  <c r="F433" i="29"/>
  <c r="F450" i="29" s="1"/>
  <c r="F467" i="29"/>
  <c r="F468" i="29" s="1"/>
  <c r="P34" i="19" l="1"/>
  <c r="N35" i="19" s="1"/>
  <c r="K26" i="17"/>
  <c r="L26" i="17" s="1"/>
  <c r="F479" i="29"/>
  <c r="F489" i="29" s="1"/>
  <c r="F492" i="29" s="1"/>
  <c r="F11" i="30"/>
  <c r="G202" i="29"/>
  <c r="K14" i="19"/>
  <c r="M14" i="19" s="1"/>
  <c r="I11" i="17"/>
  <c r="J11" i="17" s="1"/>
  <c r="P35" i="19" l="1"/>
  <c r="N36" i="19" s="1"/>
  <c r="K27" i="17"/>
  <c r="L27" i="17" s="1"/>
  <c r="G210" i="29"/>
  <c r="G306" i="29" s="1"/>
  <c r="I12" i="17"/>
  <c r="J12" i="17" s="1"/>
  <c r="K15" i="19"/>
  <c r="M15" i="19" s="1"/>
  <c r="F27" i="32"/>
  <c r="F31" i="32" s="1"/>
  <c r="F33" i="32" s="1"/>
  <c r="F15" i="30"/>
  <c r="P36" i="19" l="1"/>
  <c r="N37" i="19" s="1"/>
  <c r="K28" i="17"/>
  <c r="L28" i="17" s="1"/>
  <c r="K16" i="19"/>
  <c r="M16" i="19" s="1"/>
  <c r="I13" i="17"/>
  <c r="J13" i="17" s="1"/>
  <c r="F17" i="30"/>
  <c r="F47" i="30" s="1"/>
  <c r="F48" i="30" s="1"/>
  <c r="F47" i="32" s="1"/>
  <c r="F45" i="30"/>
  <c r="F24" i="30"/>
  <c r="P37" i="19" l="1"/>
  <c r="N38" i="19" s="1"/>
  <c r="K29" i="17"/>
  <c r="L29" i="17" s="1"/>
  <c r="F51" i="30"/>
  <c r="F53" i="30" s="1"/>
  <c r="F46" i="30"/>
  <c r="F46" i="32" s="1"/>
  <c r="F51" i="32"/>
  <c r="F53" i="32" s="1"/>
  <c r="F37" i="30"/>
  <c r="I14" i="17"/>
  <c r="J14" i="17" s="1"/>
  <c r="K17" i="19"/>
  <c r="M17" i="19" s="1"/>
  <c r="K30" i="17" l="1"/>
  <c r="L30" i="17" s="1"/>
  <c r="P38" i="19"/>
  <c r="N39" i="19" s="1"/>
  <c r="F50" i="30"/>
  <c r="F52" i="30" s="1"/>
  <c r="F54" i="30" s="1"/>
  <c r="F48" i="32" s="1"/>
  <c r="F39" i="30"/>
  <c r="F38" i="31"/>
  <c r="K18" i="19"/>
  <c r="M18" i="19" s="1"/>
  <c r="I15" i="17"/>
  <c r="J15" i="17" s="1"/>
  <c r="P39" i="19" l="1"/>
  <c r="N40" i="19" s="1"/>
  <c r="K31" i="17"/>
  <c r="L31" i="17" s="1"/>
  <c r="I16" i="17"/>
  <c r="J16" i="17" s="1"/>
  <c r="J17" i="17" s="1"/>
  <c r="H16" i="20" s="1"/>
  <c r="H21" i="20" s="1"/>
  <c r="M22" i="19"/>
  <c r="H27" i="20" s="1"/>
  <c r="H29" i="20" s="1"/>
  <c r="H40" i="20" s="1"/>
  <c r="G181" i="29" s="1"/>
  <c r="N7" i="19"/>
  <c r="P7" i="19" s="1"/>
  <c r="P40" i="19" l="1"/>
  <c r="K32" i="17"/>
  <c r="L32" i="17" s="1"/>
  <c r="L33" i="17" s="1"/>
  <c r="I17" i="20" s="1"/>
  <c r="N8" i="19"/>
  <c r="P8" i="19" s="1"/>
  <c r="K5" i="17"/>
  <c r="L5" i="17" s="1"/>
  <c r="G192" i="29"/>
  <c r="G18" i="30"/>
  <c r="H22" i="20"/>
  <c r="H21" i="22" s="1"/>
  <c r="H24" i="22" s="1"/>
  <c r="H30" i="22" s="1"/>
  <c r="H20" i="22"/>
  <c r="P44" i="19" l="1"/>
  <c r="Q29" i="19"/>
  <c r="K6" i="17"/>
  <c r="L6" i="17" s="1"/>
  <c r="N9" i="19"/>
  <c r="P9" i="19" s="1"/>
  <c r="G36" i="32"/>
  <c r="G35" i="32" s="1"/>
  <c r="G23" i="30"/>
  <c r="G44" i="30" s="1"/>
  <c r="G457" i="29"/>
  <c r="G315" i="29"/>
  <c r="G212" i="29"/>
  <c r="G439" i="29"/>
  <c r="G194" i="29"/>
  <c r="G313" i="29" s="1"/>
  <c r="G82" i="29"/>
  <c r="H23" i="22"/>
  <c r="M21" i="17" l="1"/>
  <c r="N21" i="17" s="1"/>
  <c r="S29" i="19"/>
  <c r="Q30" i="19" s="1"/>
  <c r="G305" i="29"/>
  <c r="G231" i="29" s="1"/>
  <c r="G38" i="30"/>
  <c r="N10" i="19"/>
  <c r="P10" i="19" s="1"/>
  <c r="K7" i="17"/>
  <c r="L7" i="17" s="1"/>
  <c r="F9" i="27"/>
  <c r="H29" i="22"/>
  <c r="G23" i="32"/>
  <c r="G84" i="29"/>
  <c r="S30" i="19" l="1"/>
  <c r="Q31" i="19" s="1"/>
  <c r="M22" i="17"/>
  <c r="N22" i="17" s="1"/>
  <c r="G16" i="32"/>
  <c r="G103" i="29"/>
  <c r="G107" i="29" s="1"/>
  <c r="F16" i="27"/>
  <c r="F11" i="27"/>
  <c r="K8" i="17"/>
  <c r="L8" i="17" s="1"/>
  <c r="N11" i="19"/>
  <c r="P11" i="19" s="1"/>
  <c r="M23" i="17" l="1"/>
  <c r="N23" i="17" s="1"/>
  <c r="S31" i="19"/>
  <c r="Q32" i="19" s="1"/>
  <c r="F23" i="27"/>
  <c r="F18" i="27"/>
  <c r="G112" i="29"/>
  <c r="G114" i="29"/>
  <c r="G115" i="29" s="1"/>
  <c r="N12" i="19"/>
  <c r="P12" i="19" s="1"/>
  <c r="K9" i="17"/>
  <c r="L9" i="17" s="1"/>
  <c r="G17" i="32"/>
  <c r="G49" i="32"/>
  <c r="S32" i="19" l="1"/>
  <c r="Q33" i="19" s="1"/>
  <c r="M24" i="17"/>
  <c r="N24" i="17" s="1"/>
  <c r="G433" i="29"/>
  <c r="G450" i="29" s="1"/>
  <c r="G113" i="29"/>
  <c r="G208" i="29"/>
  <c r="G467" i="29"/>
  <c r="G468" i="29" s="1"/>
  <c r="G19" i="32"/>
  <c r="G22" i="32" s="1"/>
  <c r="G24" i="32"/>
  <c r="K10" i="17"/>
  <c r="L10" i="17" s="1"/>
  <c r="N13" i="19"/>
  <c r="P13" i="19" s="1"/>
  <c r="F30" i="27"/>
  <c r="F32" i="27" s="1"/>
  <c r="F25" i="27"/>
  <c r="S33" i="19" l="1"/>
  <c r="Q34" i="19" s="1"/>
  <c r="M25" i="17"/>
  <c r="N25" i="17" s="1"/>
  <c r="G479" i="29"/>
  <c r="G489" i="29" s="1"/>
  <c r="G492" i="29" s="1"/>
  <c r="K11" i="17"/>
  <c r="L11" i="17" s="1"/>
  <c r="N14" i="19"/>
  <c r="P14" i="19" s="1"/>
  <c r="G11" i="30"/>
  <c r="H202" i="29"/>
  <c r="M26" i="17" l="1"/>
  <c r="N26" i="17" s="1"/>
  <c r="S34" i="19"/>
  <c r="Q35" i="19" s="1"/>
  <c r="G27" i="32"/>
  <c r="G31" i="32" s="1"/>
  <c r="G33" i="32" s="1"/>
  <c r="G15" i="30"/>
  <c r="H210" i="29"/>
  <c r="H306" i="29" s="1"/>
  <c r="N15" i="19"/>
  <c r="P15" i="19" s="1"/>
  <c r="K12" i="17"/>
  <c r="L12" i="17" s="1"/>
  <c r="S35" i="19" l="1"/>
  <c r="Q36" i="19" s="1"/>
  <c r="M27" i="17"/>
  <c r="N27" i="17" s="1"/>
  <c r="G17" i="30"/>
  <c r="G47" i="30" s="1"/>
  <c r="G48" i="30" s="1"/>
  <c r="G47" i="32" s="1"/>
  <c r="G45" i="30"/>
  <c r="G24" i="30"/>
  <c r="N16" i="19"/>
  <c r="P16" i="19" s="1"/>
  <c r="K13" i="17"/>
  <c r="L13" i="17" s="1"/>
  <c r="S36" i="19" l="1"/>
  <c r="Q37" i="19" s="1"/>
  <c r="M28" i="17"/>
  <c r="N28" i="17" s="1"/>
  <c r="N17" i="19"/>
  <c r="P17" i="19" s="1"/>
  <c r="K14" i="17"/>
  <c r="L14" i="17" s="1"/>
  <c r="G51" i="32"/>
  <c r="G53" i="32" s="1"/>
  <c r="G37" i="30"/>
  <c r="G51" i="30"/>
  <c r="G53" i="30" s="1"/>
  <c r="G46" i="30"/>
  <c r="G46" i="32" s="1"/>
  <c r="M29" i="17" l="1"/>
  <c r="N29" i="17" s="1"/>
  <c r="S37" i="19"/>
  <c r="Q38" i="19" s="1"/>
  <c r="G50" i="30"/>
  <c r="G52" i="30" s="1"/>
  <c r="G54" i="30" s="1"/>
  <c r="G48" i="32" s="1"/>
  <c r="G39" i="30"/>
  <c r="G38" i="31"/>
  <c r="K15" i="17"/>
  <c r="L15" i="17" s="1"/>
  <c r="N18" i="19"/>
  <c r="P18" i="19" s="1"/>
  <c r="S38" i="19" l="1"/>
  <c r="Q39" i="19" s="1"/>
  <c r="M30" i="17"/>
  <c r="N30" i="17" s="1"/>
  <c r="K16" i="17"/>
  <c r="L16" i="17" s="1"/>
  <c r="L17" i="17" s="1"/>
  <c r="I16" i="20" s="1"/>
  <c r="I21" i="20" s="1"/>
  <c r="Q7" i="19"/>
  <c r="S7" i="19" s="1"/>
  <c r="P22" i="19"/>
  <c r="I27" i="20" s="1"/>
  <c r="I29" i="20" s="1"/>
  <c r="I40" i="20" s="1"/>
  <c r="H181" i="29" s="1"/>
  <c r="M31" i="17" l="1"/>
  <c r="N31" i="17" s="1"/>
  <c r="S39" i="19"/>
  <c r="Q40" i="19" s="1"/>
  <c r="H192" i="29"/>
  <c r="H18" i="30"/>
  <c r="Q8" i="19"/>
  <c r="S8" i="19" s="1"/>
  <c r="M5" i="17"/>
  <c r="N5" i="17" s="1"/>
  <c r="I20" i="22"/>
  <c r="I22" i="20"/>
  <c r="I21" i="22" s="1"/>
  <c r="I24" i="22" s="1"/>
  <c r="I30" i="22" s="1"/>
  <c r="M32" i="17" l="1"/>
  <c r="N32" i="17" s="1"/>
  <c r="N33" i="17" s="1"/>
  <c r="J17" i="20" s="1"/>
  <c r="S40" i="19"/>
  <c r="H36" i="32"/>
  <c r="H35" i="32" s="1"/>
  <c r="H23" i="30"/>
  <c r="H44" i="30" s="1"/>
  <c r="H457" i="29"/>
  <c r="H439" i="29"/>
  <c r="H212" i="29"/>
  <c r="H315" i="29"/>
  <c r="H194" i="29"/>
  <c r="H313" i="29" s="1"/>
  <c r="H82" i="29"/>
  <c r="I23" i="22"/>
  <c r="Q9" i="19"/>
  <c r="S9" i="19" s="1"/>
  <c r="M6" i="17"/>
  <c r="N6" i="17" s="1"/>
  <c r="T29" i="19" l="1"/>
  <c r="S44" i="19"/>
  <c r="H23" i="32"/>
  <c r="H84" i="29"/>
  <c r="M7" i="17"/>
  <c r="N7" i="17" s="1"/>
  <c r="Q10" i="19"/>
  <c r="S10" i="19" s="1"/>
  <c r="G9" i="27"/>
  <c r="I29" i="22"/>
  <c r="H38" i="30"/>
  <c r="H305" i="29"/>
  <c r="H231" i="29" s="1"/>
  <c r="O21" i="17" l="1"/>
  <c r="P21" i="17" s="1"/>
  <c r="V29" i="19"/>
  <c r="T30" i="19" s="1"/>
  <c r="G16" i="27"/>
  <c r="G11" i="27"/>
  <c r="H16" i="32"/>
  <c r="H103" i="29"/>
  <c r="H107" i="29" s="1"/>
  <c r="Q11" i="19"/>
  <c r="S11" i="19" s="1"/>
  <c r="M8" i="17"/>
  <c r="N8" i="17" s="1"/>
  <c r="O22" i="17" l="1"/>
  <c r="P22" i="17" s="1"/>
  <c r="V30" i="19"/>
  <c r="T31" i="19" s="1"/>
  <c r="G23" i="27"/>
  <c r="G18" i="27"/>
  <c r="H112" i="29"/>
  <c r="H114" i="29"/>
  <c r="H115" i="29" s="1"/>
  <c r="M9" i="17"/>
  <c r="N9" i="17" s="1"/>
  <c r="Q12" i="19"/>
  <c r="S12" i="19" s="1"/>
  <c r="H49" i="32"/>
  <c r="H17" i="32"/>
  <c r="V31" i="19" l="1"/>
  <c r="T32" i="19" s="1"/>
  <c r="O23" i="17"/>
  <c r="P23" i="17" s="1"/>
  <c r="G30" i="27"/>
  <c r="G32" i="27" s="1"/>
  <c r="G25" i="27"/>
  <c r="H19" i="32"/>
  <c r="H22" i="32" s="1"/>
  <c r="H24" i="32"/>
  <c r="H433" i="29"/>
  <c r="H450" i="29" s="1"/>
  <c r="H208" i="29"/>
  <c r="H113" i="29"/>
  <c r="H467" i="29"/>
  <c r="H468" i="29" s="1"/>
  <c r="M10" i="17"/>
  <c r="N10" i="17" s="1"/>
  <c r="Q13" i="19"/>
  <c r="S13" i="19" s="1"/>
  <c r="V32" i="19" l="1"/>
  <c r="T33" i="19" s="1"/>
  <c r="O24" i="17"/>
  <c r="P24" i="17" s="1"/>
  <c r="M11" i="17"/>
  <c r="N11" i="17" s="1"/>
  <c r="Q14" i="19"/>
  <c r="S14" i="19" s="1"/>
  <c r="I202" i="29"/>
  <c r="H11" i="30"/>
  <c r="H479" i="29"/>
  <c r="H489" i="29" s="1"/>
  <c r="H492" i="29" s="1"/>
  <c r="O25" i="17" l="1"/>
  <c r="P25" i="17" s="1"/>
  <c r="V33" i="19"/>
  <c r="T34" i="19" s="1"/>
  <c r="M12" i="17"/>
  <c r="N12" i="17" s="1"/>
  <c r="Q15" i="19"/>
  <c r="S15" i="19" s="1"/>
  <c r="H27" i="32"/>
  <c r="H31" i="32" s="1"/>
  <c r="H33" i="32" s="1"/>
  <c r="H15" i="30"/>
  <c r="I210" i="29"/>
  <c r="I306" i="29" s="1"/>
  <c r="V34" i="19" l="1"/>
  <c r="T35" i="19" s="1"/>
  <c r="O26" i="17"/>
  <c r="P26" i="17" s="1"/>
  <c r="H24" i="30"/>
  <c r="H45" i="30"/>
  <c r="H17" i="30"/>
  <c r="H47" i="30" s="1"/>
  <c r="H48" i="30" s="1"/>
  <c r="H47" i="32" s="1"/>
  <c r="M13" i="17"/>
  <c r="N13" i="17" s="1"/>
  <c r="Q16" i="19"/>
  <c r="S16" i="19" s="1"/>
  <c r="O27" i="17" l="1"/>
  <c r="P27" i="17" s="1"/>
  <c r="V35" i="19"/>
  <c r="T36" i="19" s="1"/>
  <c r="M14" i="17"/>
  <c r="N14" i="17" s="1"/>
  <c r="Q17" i="19"/>
  <c r="S17" i="19" s="1"/>
  <c r="H37" i="30"/>
  <c r="H51" i="32"/>
  <c r="H53" i="32" s="1"/>
  <c r="H51" i="30"/>
  <c r="H53" i="30" s="1"/>
  <c r="H46" i="30"/>
  <c r="H46" i="32" s="1"/>
  <c r="O28" i="17" l="1"/>
  <c r="P28" i="17" s="1"/>
  <c r="V36" i="19"/>
  <c r="T37" i="19" s="1"/>
  <c r="H39" i="30"/>
  <c r="H50" i="30"/>
  <c r="H52" i="30" s="1"/>
  <c r="H54" i="30" s="1"/>
  <c r="H48" i="32" s="1"/>
  <c r="H38" i="31"/>
  <c r="M15" i="17"/>
  <c r="N15" i="17" s="1"/>
  <c r="Q18" i="19"/>
  <c r="S18" i="19" s="1"/>
  <c r="O29" i="17" l="1"/>
  <c r="P29" i="17" s="1"/>
  <c r="V37" i="19"/>
  <c r="T38" i="19" s="1"/>
  <c r="T7" i="19"/>
  <c r="V7" i="19" s="1"/>
  <c r="M16" i="17"/>
  <c r="N16" i="17" s="1"/>
  <c r="N17" i="17" s="1"/>
  <c r="J16" i="20" s="1"/>
  <c r="J21" i="20" s="1"/>
  <c r="S22" i="19"/>
  <c r="J27" i="20" s="1"/>
  <c r="J29" i="20" s="1"/>
  <c r="J40" i="20" s="1"/>
  <c r="I181" i="29" s="1"/>
  <c r="V38" i="19" l="1"/>
  <c r="T39" i="19" s="1"/>
  <c r="O30" i="17"/>
  <c r="P30" i="17" s="1"/>
  <c r="J22" i="20"/>
  <c r="J21" i="22" s="1"/>
  <c r="J24" i="22" s="1"/>
  <c r="J30" i="22" s="1"/>
  <c r="J20" i="22"/>
  <c r="I192" i="29"/>
  <c r="I18" i="30"/>
  <c r="T8" i="19"/>
  <c r="V8" i="19" s="1"/>
  <c r="O5" i="17"/>
  <c r="P5" i="17" s="1"/>
  <c r="O31" i="17" l="1"/>
  <c r="P31" i="17" s="1"/>
  <c r="V39" i="19"/>
  <c r="T40" i="19" s="1"/>
  <c r="I439" i="29"/>
  <c r="I457" i="29"/>
  <c r="I212" i="29"/>
  <c r="I315" i="29"/>
  <c r="I194" i="29"/>
  <c r="I313" i="29" s="1"/>
  <c r="I23" i="30"/>
  <c r="I44" i="30" s="1"/>
  <c r="I36" i="32"/>
  <c r="I35" i="32" s="1"/>
  <c r="T9" i="19"/>
  <c r="V9" i="19" s="1"/>
  <c r="O6" i="17"/>
  <c r="P6" i="17" s="1"/>
  <c r="I82" i="29"/>
  <c r="J23" i="22"/>
  <c r="O32" i="17" l="1"/>
  <c r="P32" i="17" s="1"/>
  <c r="P33" i="17" s="1"/>
  <c r="K17" i="20" s="1"/>
  <c r="V40" i="19"/>
  <c r="H9" i="27"/>
  <c r="J29" i="22"/>
  <c r="T10" i="19"/>
  <c r="V10" i="19" s="1"/>
  <c r="O7" i="17"/>
  <c r="P7" i="17" s="1"/>
  <c r="I305" i="29"/>
  <c r="I231" i="29" s="1"/>
  <c r="I38" i="30"/>
  <c r="I23" i="32"/>
  <c r="I84" i="29"/>
  <c r="W29" i="19" l="1"/>
  <c r="V44" i="19"/>
  <c r="O8" i="17"/>
  <c r="P8" i="17" s="1"/>
  <c r="T11" i="19"/>
  <c r="V11" i="19" s="1"/>
  <c r="H16" i="27"/>
  <c r="H11" i="27"/>
  <c r="I16" i="32"/>
  <c r="I103" i="29"/>
  <c r="I107" i="29" s="1"/>
  <c r="Y29" i="19" l="1"/>
  <c r="W30" i="19" s="1"/>
  <c r="Q21" i="17"/>
  <c r="R21" i="17" s="1"/>
  <c r="I17" i="32"/>
  <c r="I49" i="32"/>
  <c r="O9" i="17"/>
  <c r="P9" i="17" s="1"/>
  <c r="T12" i="19"/>
  <c r="V12" i="19" s="1"/>
  <c r="H23" i="27"/>
  <c r="H18" i="27"/>
  <c r="I112" i="29"/>
  <c r="I114" i="29"/>
  <c r="I115" i="29" s="1"/>
  <c r="Q22" i="17" l="1"/>
  <c r="R22" i="17" s="1"/>
  <c r="Y30" i="19"/>
  <c r="W31" i="19" s="1"/>
  <c r="I113" i="29"/>
  <c r="I433" i="29"/>
  <c r="I450" i="29" s="1"/>
  <c r="I208" i="29"/>
  <c r="I467" i="29"/>
  <c r="I468" i="29" s="1"/>
  <c r="H30" i="27"/>
  <c r="H32" i="27" s="1"/>
  <c r="H25" i="27"/>
  <c r="I24" i="32"/>
  <c r="I19" i="32"/>
  <c r="I22" i="32" s="1"/>
  <c r="T13" i="19"/>
  <c r="V13" i="19" s="1"/>
  <c r="O10" i="17"/>
  <c r="P10" i="17" s="1"/>
  <c r="Y31" i="19" l="1"/>
  <c r="W32" i="19" s="1"/>
  <c r="Q23" i="17"/>
  <c r="R23" i="17" s="1"/>
  <c r="J202" i="29"/>
  <c r="I11" i="30"/>
  <c r="I479" i="29"/>
  <c r="I489" i="29" s="1"/>
  <c r="I492" i="29" s="1"/>
  <c r="T14" i="19"/>
  <c r="V14" i="19" s="1"/>
  <c r="O11" i="17"/>
  <c r="P11" i="17" s="1"/>
  <c r="Q24" i="17" l="1"/>
  <c r="R24" i="17" s="1"/>
  <c r="Y32" i="19"/>
  <c r="W33" i="19" s="1"/>
  <c r="T15" i="19"/>
  <c r="V15" i="19" s="1"/>
  <c r="O12" i="17"/>
  <c r="P12" i="17" s="1"/>
  <c r="I15" i="30"/>
  <c r="I27" i="32"/>
  <c r="I31" i="32" s="1"/>
  <c r="I33" i="32" s="1"/>
  <c r="J210" i="29"/>
  <c r="J306" i="29" s="1"/>
  <c r="Y33" i="19" l="1"/>
  <c r="W34" i="19" s="1"/>
  <c r="Q25" i="17"/>
  <c r="R25" i="17" s="1"/>
  <c r="I45" i="30"/>
  <c r="I17" i="30"/>
  <c r="I47" i="30" s="1"/>
  <c r="I48" i="30" s="1"/>
  <c r="I47" i="32" s="1"/>
  <c r="I24" i="30"/>
  <c r="T16" i="19"/>
  <c r="V16" i="19" s="1"/>
  <c r="O13" i="17"/>
  <c r="P13" i="17" s="1"/>
  <c r="Y34" i="19" l="1"/>
  <c r="W35" i="19" s="1"/>
  <c r="Q26" i="17"/>
  <c r="R26" i="17" s="1"/>
  <c r="I37" i="30"/>
  <c r="I51" i="32"/>
  <c r="I53" i="32" s="1"/>
  <c r="T17" i="19"/>
  <c r="V17" i="19" s="1"/>
  <c r="O14" i="17"/>
  <c r="P14" i="17" s="1"/>
  <c r="I51" i="30"/>
  <c r="I53" i="30" s="1"/>
  <c r="I46" i="30"/>
  <c r="I46" i="32" s="1"/>
  <c r="Q27" i="17" l="1"/>
  <c r="R27" i="17" s="1"/>
  <c r="Y35" i="19"/>
  <c r="W36" i="19" s="1"/>
  <c r="I50" i="30"/>
  <c r="I52" i="30" s="1"/>
  <c r="I54" i="30" s="1"/>
  <c r="I48" i="32" s="1"/>
  <c r="I39" i="30"/>
  <c r="I38" i="31"/>
  <c r="O15" i="17"/>
  <c r="P15" i="17" s="1"/>
  <c r="T18" i="19"/>
  <c r="V18" i="19" s="1"/>
  <c r="Y36" i="19" l="1"/>
  <c r="W37" i="19" s="1"/>
  <c r="Q28" i="17"/>
  <c r="R28" i="17" s="1"/>
  <c r="O16" i="17"/>
  <c r="P16" i="17" s="1"/>
  <c r="P17" i="17" s="1"/>
  <c r="K16" i="20" s="1"/>
  <c r="K21" i="20" s="1"/>
  <c r="V22" i="19"/>
  <c r="K27" i="20" s="1"/>
  <c r="K29" i="20" s="1"/>
  <c r="K40" i="20" s="1"/>
  <c r="J181" i="29" s="1"/>
  <c r="Y37" i="19" l="1"/>
  <c r="W38" i="19" s="1"/>
  <c r="Q29" i="17"/>
  <c r="R29" i="17" s="1"/>
  <c r="J192" i="29"/>
  <c r="J18" i="30"/>
  <c r="K22" i="20"/>
  <c r="K21" i="22" s="1"/>
  <c r="K24" i="22" s="1"/>
  <c r="K30" i="22" s="1"/>
  <c r="K20" i="22"/>
  <c r="Y38" i="19" l="1"/>
  <c r="W39" i="19" s="1"/>
  <c r="Q30" i="17"/>
  <c r="R30" i="17" s="1"/>
  <c r="J82" i="29"/>
  <c r="K23" i="22"/>
  <c r="J36" i="32"/>
  <c r="J35" i="32" s="1"/>
  <c r="J23" i="30"/>
  <c r="J44" i="30" s="1"/>
  <c r="J457" i="29"/>
  <c r="J439" i="29"/>
  <c r="J212" i="29"/>
  <c r="J315" i="29"/>
  <c r="J194" i="29"/>
  <c r="J313" i="29" s="1"/>
  <c r="K439" i="29"/>
  <c r="K457" i="29"/>
  <c r="K468" i="29" s="1"/>
  <c r="Y39" i="19" l="1"/>
  <c r="W40" i="19" s="1"/>
  <c r="Q31" i="17"/>
  <c r="R31" i="17" s="1"/>
  <c r="J38" i="30"/>
  <c r="J305" i="29"/>
  <c r="J231" i="29" s="1"/>
  <c r="I9" i="27"/>
  <c r="K29" i="22"/>
  <c r="J23" i="32"/>
  <c r="J84" i="29"/>
  <c r="Y40" i="19" l="1"/>
  <c r="Q32" i="17"/>
  <c r="R32" i="17" s="1"/>
  <c r="R33" i="17" s="1"/>
  <c r="L17" i="20" s="1"/>
  <c r="L21" i="20" s="1"/>
  <c r="J16" i="32"/>
  <c r="J103" i="29"/>
  <c r="J107" i="29" s="1"/>
  <c r="I16" i="27"/>
  <c r="I11" i="27"/>
  <c r="L20" i="22" l="1"/>
  <c r="L22" i="20"/>
  <c r="L21" i="22" s="1"/>
  <c r="L24" i="22" s="1"/>
  <c r="L30" i="22" s="1"/>
  <c r="Y44" i="19"/>
  <c r="Z29" i="19"/>
  <c r="J17" i="32"/>
  <c r="J49" i="32"/>
  <c r="I23" i="27"/>
  <c r="I18" i="27"/>
  <c r="J112" i="29"/>
  <c r="J114" i="29"/>
  <c r="J115" i="29" s="1"/>
  <c r="AB29" i="19" l="1"/>
  <c r="Z30" i="19" s="1"/>
  <c r="S21" i="17"/>
  <c r="T21" i="17" s="1"/>
  <c r="K82" i="29"/>
  <c r="L23" i="22"/>
  <c r="I30" i="27"/>
  <c r="I32" i="27" s="1"/>
  <c r="I25" i="27"/>
  <c r="J208" i="29"/>
  <c r="J11" i="30" s="1"/>
  <c r="J113" i="29"/>
  <c r="J433" i="29"/>
  <c r="J450" i="29" s="1"/>
  <c r="J467" i="29"/>
  <c r="J468" i="29" s="1"/>
  <c r="J19" i="32"/>
  <c r="J22" i="32" s="1"/>
  <c r="J24" i="32"/>
  <c r="L29" i="22" l="1"/>
  <c r="J9" i="27"/>
  <c r="K23" i="32"/>
  <c r="K84" i="29"/>
  <c r="AB30" i="19"/>
  <c r="Z31" i="19" s="1"/>
  <c r="S22" i="17"/>
  <c r="T22" i="17" s="1"/>
  <c r="J479" i="29"/>
  <c r="J489" i="29" s="1"/>
  <c r="J492" i="29" s="1"/>
  <c r="J27" i="32"/>
  <c r="J31" i="32" s="1"/>
  <c r="J33" i="32" s="1"/>
  <c r="J15" i="30"/>
  <c r="K16" i="32" l="1"/>
  <c r="K103" i="29"/>
  <c r="K107" i="29" s="1"/>
  <c r="J16" i="27"/>
  <c r="J11" i="27"/>
  <c r="AB31" i="19"/>
  <c r="Z32" i="19" s="1"/>
  <c r="S23" i="17"/>
  <c r="T23" i="17" s="1"/>
  <c r="J17" i="30"/>
  <c r="J47" i="30" s="1"/>
  <c r="J48" i="30" s="1"/>
  <c r="J47" i="32" s="1"/>
  <c r="J24" i="30"/>
  <c r="J45" i="30"/>
  <c r="K112" i="29" l="1"/>
  <c r="K114" i="29"/>
  <c r="K115" i="29" s="1"/>
  <c r="J23" i="27"/>
  <c r="J18" i="27"/>
  <c r="AB32" i="19"/>
  <c r="Z33" i="19" s="1"/>
  <c r="S24" i="17"/>
  <c r="T24" i="17" s="1"/>
  <c r="K17" i="32"/>
  <c r="K49" i="32"/>
  <c r="J51" i="30"/>
  <c r="J53" i="30" s="1"/>
  <c r="J46" i="30"/>
  <c r="J46" i="32" s="1"/>
  <c r="J51" i="32"/>
  <c r="J53" i="32" s="1"/>
  <c r="J37" i="30"/>
  <c r="K24" i="32" l="1"/>
  <c r="K19" i="32"/>
  <c r="K22" i="32" s="1"/>
  <c r="J25" i="27"/>
  <c r="J30" i="27"/>
  <c r="J32" i="27" s="1"/>
  <c r="S25" i="17"/>
  <c r="T25" i="17" s="1"/>
  <c r="AB33" i="19"/>
  <c r="Z34" i="19" s="1"/>
  <c r="K202" i="29"/>
  <c r="K113" i="29"/>
  <c r="K208" i="29"/>
  <c r="K433" i="29"/>
  <c r="K450" i="29" s="1"/>
  <c r="K479" i="29" s="1"/>
  <c r="K489" i="29" s="1"/>
  <c r="K492" i="29" s="1"/>
  <c r="J50" i="30"/>
  <c r="J52" i="30" s="1"/>
  <c r="J54" i="30" s="1"/>
  <c r="J48" i="32" s="1"/>
  <c r="J39" i="30"/>
  <c r="J38" i="31"/>
  <c r="S26" i="17" l="1"/>
  <c r="T26" i="17" s="1"/>
  <c r="AB34" i="19"/>
  <c r="Z35" i="19" s="1"/>
  <c r="K11" i="30"/>
  <c r="K210" i="29"/>
  <c r="K306" i="29" l="1"/>
  <c r="K212" i="29"/>
  <c r="AB35" i="19"/>
  <c r="Z36" i="19" s="1"/>
  <c r="S27" i="17"/>
  <c r="T27" i="17" s="1"/>
  <c r="K15" i="30"/>
  <c r="K27" i="32"/>
  <c r="K31" i="32" s="1"/>
  <c r="K33" i="32" s="1"/>
  <c r="K305" i="29" l="1"/>
  <c r="K231" i="29" s="1"/>
  <c r="K38" i="30"/>
  <c r="S28" i="17"/>
  <c r="T28" i="17" s="1"/>
  <c r="AB36" i="19"/>
  <c r="Z37" i="19" s="1"/>
  <c r="K45" i="30"/>
  <c r="K17" i="30"/>
  <c r="K47" i="30" s="1"/>
  <c r="K48" i="30" s="1"/>
  <c r="K47" i="32" s="1"/>
  <c r="K24" i="30"/>
  <c r="K315" i="29"/>
  <c r="K313" i="29"/>
  <c r="K37" i="30" l="1"/>
  <c r="K51" i="32"/>
  <c r="K53" i="32" s="1"/>
  <c r="AB37" i="19"/>
  <c r="Z38" i="19" s="1"/>
  <c r="S29" i="17"/>
  <c r="T29" i="17" s="1"/>
  <c r="K51" i="30"/>
  <c r="K53" i="30" s="1"/>
  <c r="K46" i="30"/>
  <c r="K46" i="32" s="1"/>
  <c r="AB38" i="19" l="1"/>
  <c r="Z39" i="19" s="1"/>
  <c r="S30" i="17"/>
  <c r="T30" i="17" s="1"/>
  <c r="K38" i="31"/>
  <c r="K50" i="30"/>
  <c r="K52" i="30" s="1"/>
  <c r="K54" i="30" s="1"/>
  <c r="K48" i="32" s="1"/>
  <c r="K39" i="30"/>
  <c r="S31" i="17" l="1"/>
  <c r="T31" i="17" s="1"/>
  <c r="AB39" i="19"/>
  <c r="Z40" i="19" s="1"/>
  <c r="AB40" i="19" l="1"/>
  <c r="S32" i="17"/>
  <c r="T32" i="17" s="1"/>
  <c r="T33" i="17" s="1"/>
  <c r="M17" i="20" s="1"/>
  <c r="M21" i="20" s="1"/>
  <c r="M22" i="20" l="1"/>
  <c r="M21" i="22" s="1"/>
  <c r="M24" i="22" s="1"/>
  <c r="M30" i="22" s="1"/>
  <c r="M20" i="22"/>
  <c r="AB44" i="19"/>
  <c r="AC29" i="19"/>
  <c r="AE29" i="19" l="1"/>
  <c r="AC30" i="19" s="1"/>
  <c r="U21" i="17"/>
  <c r="V21" i="17" s="1"/>
  <c r="L82" i="29"/>
  <c r="M23" i="22"/>
  <c r="M29" i="22" l="1"/>
  <c r="K9" i="27"/>
  <c r="L84" i="29"/>
  <c r="L23" i="32"/>
  <c r="AE30" i="19"/>
  <c r="AC31" i="19" s="1"/>
  <c r="U22" i="17"/>
  <c r="V22" i="17" s="1"/>
  <c r="K11" i="27" l="1"/>
  <c r="K16" i="27"/>
  <c r="L16" i="32"/>
  <c r="L103" i="29"/>
  <c r="L107" i="29" s="1"/>
  <c r="U23" i="17"/>
  <c r="V23" i="17" s="1"/>
  <c r="AE31" i="19"/>
  <c r="AC32" i="19" s="1"/>
  <c r="L114" i="29" l="1"/>
  <c r="L115" i="29" s="1"/>
  <c r="L112" i="29"/>
  <c r="U24" i="17"/>
  <c r="V24" i="17" s="1"/>
  <c r="AE32" i="19"/>
  <c r="AC33" i="19" s="1"/>
  <c r="K23" i="27"/>
  <c r="K18" i="27"/>
  <c r="L49" i="32"/>
  <c r="L17" i="32"/>
  <c r="L19" i="32" l="1"/>
  <c r="L22" i="32" s="1"/>
  <c r="L24" i="32"/>
  <c r="AE33" i="19"/>
  <c r="AC34" i="19" s="1"/>
  <c r="U25" i="17"/>
  <c r="V25" i="17" s="1"/>
  <c r="L208" i="29"/>
  <c r="L202" i="29"/>
  <c r="L113" i="29"/>
  <c r="L433" i="29"/>
  <c r="L450" i="29" s="1"/>
  <c r="L479" i="29" s="1"/>
  <c r="L489" i="29" s="1"/>
  <c r="L492" i="29" s="1"/>
  <c r="K30" i="27"/>
  <c r="K32" i="27" s="1"/>
  <c r="K25" i="27"/>
  <c r="L11" i="30" l="1"/>
  <c r="L210" i="29"/>
  <c r="U26" i="17"/>
  <c r="V26" i="17" s="1"/>
  <c r="AE34" i="19"/>
  <c r="AC35" i="19" s="1"/>
  <c r="U27" i="17" l="1"/>
  <c r="V27" i="17" s="1"/>
  <c r="AE35" i="19"/>
  <c r="AC36" i="19" s="1"/>
  <c r="L306" i="29"/>
  <c r="L212" i="29"/>
  <c r="L27" i="32"/>
  <c r="L31" i="32" s="1"/>
  <c r="L33" i="32" s="1"/>
  <c r="L15" i="30"/>
  <c r="L315" i="29" l="1"/>
  <c r="L313" i="29"/>
  <c r="L38" i="30"/>
  <c r="L305" i="29"/>
  <c r="L231" i="29" s="1"/>
  <c r="L24" i="30"/>
  <c r="L45" i="30"/>
  <c r="L17" i="30"/>
  <c r="L47" i="30" s="1"/>
  <c r="L48" i="30" s="1"/>
  <c r="L47" i="32" s="1"/>
  <c r="U28" i="17"/>
  <c r="V28" i="17" s="1"/>
  <c r="AE36" i="19"/>
  <c r="AC37" i="19" s="1"/>
  <c r="L51" i="30" l="1"/>
  <c r="L53" i="30" s="1"/>
  <c r="L46" i="30"/>
  <c r="L46" i="32" s="1"/>
  <c r="AE37" i="19"/>
  <c r="AC38" i="19" s="1"/>
  <c r="U29" i="17"/>
  <c r="V29" i="17" s="1"/>
  <c r="L37" i="30"/>
  <c r="L51" i="32"/>
  <c r="L53" i="32" s="1"/>
  <c r="U30" i="17" l="1"/>
  <c r="V30" i="17" s="1"/>
  <c r="AE38" i="19"/>
  <c r="AC39" i="19" s="1"/>
  <c r="L39" i="30"/>
  <c r="L50" i="30"/>
  <c r="L52" i="30" s="1"/>
  <c r="L54" i="30" s="1"/>
  <c r="L48" i="32" s="1"/>
  <c r="L38" i="31"/>
  <c r="AE39" i="19" l="1"/>
  <c r="AC40" i="19" s="1"/>
  <c r="U31" i="17"/>
  <c r="V31" i="17" s="1"/>
  <c r="AE40" i="19" l="1"/>
  <c r="AE44" i="19" s="1"/>
  <c r="U32" i="17"/>
  <c r="V32" i="17" s="1"/>
  <c r="V33" i="17" s="1"/>
  <c r="N17" i="20" s="1"/>
  <c r="N21" i="20" s="1"/>
  <c r="N22" i="20" l="1"/>
  <c r="N21" i="22" s="1"/>
  <c r="N24" i="22" s="1"/>
  <c r="N30" i="22" s="1"/>
  <c r="N20" i="22"/>
  <c r="M82" i="29" l="1"/>
  <c r="N23" i="22"/>
  <c r="N29" i="22" l="1"/>
  <c r="L9" i="27"/>
  <c r="M84" i="29"/>
  <c r="M23" i="32"/>
  <c r="M103" i="29" l="1"/>
  <c r="M107" i="29" s="1"/>
  <c r="M16" i="32"/>
  <c r="L11" i="27"/>
  <c r="L16" i="27"/>
  <c r="L23" i="27" l="1"/>
  <c r="L18" i="27"/>
  <c r="M17" i="32"/>
  <c r="M49" i="32"/>
  <c r="M112" i="29"/>
  <c r="M114" i="29"/>
  <c r="M115" i="29" s="1"/>
  <c r="M24" i="32" l="1"/>
  <c r="M19" i="32"/>
  <c r="M22" i="32" s="1"/>
  <c r="M113" i="29"/>
  <c r="M433" i="29"/>
  <c r="M450" i="29" s="1"/>
  <c r="M479" i="29" s="1"/>
  <c r="M489" i="29" s="1"/>
  <c r="M492" i="29" s="1"/>
  <c r="M202" i="29"/>
  <c r="M208" i="29"/>
  <c r="L30" i="27"/>
  <c r="L32" i="27" s="1"/>
  <c r="L25" i="27"/>
  <c r="N202" i="29" l="1"/>
  <c r="M210" i="29"/>
  <c r="M11" i="30"/>
  <c r="M306" i="29" l="1"/>
  <c r="M212" i="29"/>
  <c r="M27" i="32"/>
  <c r="M31" i="32" s="1"/>
  <c r="M33" i="32" s="1"/>
  <c r="M15" i="30"/>
  <c r="O202" i="29"/>
  <c r="N210" i="29"/>
  <c r="N11" i="30"/>
  <c r="M45" i="30" l="1"/>
  <c r="M24" i="30"/>
  <c r="M17" i="30"/>
  <c r="M47" i="30" s="1"/>
  <c r="M48" i="30" s="1"/>
  <c r="M47" i="32" s="1"/>
  <c r="N212" i="29"/>
  <c r="N306" i="29"/>
  <c r="M305" i="29"/>
  <c r="M231" i="29" s="1"/>
  <c r="M38" i="30"/>
  <c r="N15" i="30"/>
  <c r="N27" i="32"/>
  <c r="N31" i="32" s="1"/>
  <c r="N33" i="32" s="1"/>
  <c r="O210" i="29"/>
  <c r="O11" i="30"/>
  <c r="M313" i="29"/>
  <c r="M315" i="29"/>
  <c r="N45" i="30" l="1"/>
  <c r="N46" i="30" s="1"/>
  <c r="N46" i="32" s="1"/>
  <c r="N17" i="30"/>
  <c r="N51" i="30"/>
  <c r="N24" i="30"/>
  <c r="N38" i="30"/>
  <c r="N305" i="29"/>
  <c r="O15" i="30"/>
  <c r="O27" i="32"/>
  <c r="O31" i="32" s="1"/>
  <c r="O33" i="32" s="1"/>
  <c r="O306" i="29"/>
  <c r="O212" i="29"/>
  <c r="M51" i="32"/>
  <c r="M53" i="32" s="1"/>
  <c r="M37" i="30"/>
  <c r="N315" i="29"/>
  <c r="N313" i="29"/>
  <c r="M46" i="30"/>
  <c r="M46" i="32" s="1"/>
  <c r="M51" i="30"/>
  <c r="M53" i="30" s="1"/>
  <c r="M50" i="30" l="1"/>
  <c r="M52" i="30" s="1"/>
  <c r="M54" i="30" s="1"/>
  <c r="M48" i="32" s="1"/>
  <c r="M38" i="31"/>
  <c r="M39" i="30"/>
  <c r="N51" i="32"/>
  <c r="N53" i="32" s="1"/>
  <c r="N37" i="30"/>
  <c r="O305" i="29"/>
  <c r="O38" i="30"/>
  <c r="N53" i="30"/>
  <c r="N47" i="30"/>
  <c r="N48" i="30" s="1"/>
  <c r="N47" i="32" s="1"/>
  <c r="O24" i="30"/>
  <c r="O17" i="30"/>
  <c r="O45" i="30"/>
  <c r="O46" i="30" s="1"/>
  <c r="O46" i="32" s="1"/>
  <c r="O51" i="30"/>
  <c r="O315" i="29"/>
  <c r="O313" i="29"/>
  <c r="O51" i="32" l="1"/>
  <c r="O53" i="32" s="1"/>
  <c r="O37" i="30"/>
  <c r="O47" i="30"/>
  <c r="O48" i="30" s="1"/>
  <c r="O47" i="32" s="1"/>
  <c r="O53" i="30"/>
  <c r="N50" i="30"/>
  <c r="N52" i="30" s="1"/>
  <c r="N54" i="30" s="1"/>
  <c r="N48" i="32" s="1"/>
  <c r="N39" i="30"/>
  <c r="N38" i="31"/>
  <c r="O39" i="30" l="1"/>
  <c r="O50" i="30"/>
  <c r="O52" i="30" s="1"/>
  <c r="O54" i="30" s="1"/>
  <c r="O48" i="32" s="1"/>
  <c r="O38" i="31"/>
</calcChain>
</file>

<file path=xl/sharedStrings.xml><?xml version="1.0" encoding="utf-8"?>
<sst xmlns="http://schemas.openxmlformats.org/spreadsheetml/2006/main" count="2501" uniqueCount="1349">
  <si>
    <t>Particulars</t>
  </si>
  <si>
    <t>Projected</t>
  </si>
  <si>
    <t>Sales</t>
  </si>
  <si>
    <t>Total</t>
  </si>
  <si>
    <t>Depreciation</t>
  </si>
  <si>
    <t>Current Liabilities</t>
  </si>
  <si>
    <t>Interest</t>
  </si>
  <si>
    <t>Net Working Capital</t>
  </si>
  <si>
    <t>TOL / TNW</t>
  </si>
  <si>
    <t>Sr. No.</t>
  </si>
  <si>
    <t>Current Ratio</t>
  </si>
  <si>
    <t>Long Term Sources</t>
  </si>
  <si>
    <t>Surplus/Deficit</t>
  </si>
  <si>
    <t>Pattern of TCA Funding</t>
  </si>
  <si>
    <t>Sundry Creditors</t>
  </si>
  <si>
    <t>Other Current Liabilities</t>
  </si>
  <si>
    <t>Total (A)</t>
  </si>
  <si>
    <t>Difference</t>
  </si>
  <si>
    <t>Total Expenses</t>
  </si>
  <si>
    <t>PAT</t>
  </si>
  <si>
    <t>TNW</t>
  </si>
  <si>
    <t>Year Ending March 31st,</t>
  </si>
  <si>
    <t>Actuals</t>
  </si>
  <si>
    <t>Estimates</t>
  </si>
  <si>
    <t>Net sales</t>
  </si>
  <si>
    <t>PBILDT</t>
  </si>
  <si>
    <t>Profit before tax</t>
  </si>
  <si>
    <t>Profit after tax (PAT)</t>
  </si>
  <si>
    <t>Net cash accruals</t>
  </si>
  <si>
    <t>PBILDT / Sales  (%)</t>
  </si>
  <si>
    <t>PBILDT/Net Sales (%)</t>
  </si>
  <si>
    <t>PAT / Sales (%)</t>
  </si>
  <si>
    <t>PAT/Net Sales (%)</t>
  </si>
  <si>
    <t>Dividend / PAT (%)</t>
  </si>
  <si>
    <t>Gross block</t>
  </si>
  <si>
    <t>Net block</t>
  </si>
  <si>
    <t>Paid-up Capital</t>
  </si>
  <si>
    <t>Group Investments</t>
  </si>
  <si>
    <t>Adjusted TNW</t>
  </si>
  <si>
    <t>LTD / TNW</t>
  </si>
  <si>
    <t>DFS / TNW</t>
  </si>
  <si>
    <t>Current Assets</t>
  </si>
  <si>
    <t>Abridged Fund Flow Statement</t>
  </si>
  <si>
    <t>Long Term Uses</t>
  </si>
  <si>
    <t>Surplus/Incremental buildup of Current Assets</t>
  </si>
  <si>
    <t>Bank Borrowing</t>
  </si>
  <si>
    <t>Depreciation Check</t>
  </si>
  <si>
    <t>Dep as per P&amp; L</t>
  </si>
  <si>
    <t>Dep as per B/S</t>
  </si>
  <si>
    <t>Reserves Check</t>
  </si>
  <si>
    <t>Retained Profits</t>
  </si>
  <si>
    <t>Increase in Reserves</t>
  </si>
  <si>
    <t>Vehicles</t>
  </si>
  <si>
    <t>Plant &amp; Machinery</t>
  </si>
  <si>
    <t>Furniture &amp; Fixtures</t>
  </si>
  <si>
    <t>CWIP</t>
  </si>
  <si>
    <t>Building</t>
  </si>
  <si>
    <t>Land</t>
  </si>
  <si>
    <t>2021-22</t>
  </si>
  <si>
    <t>Rate of Depreciation</t>
  </si>
  <si>
    <t>S.No.</t>
  </si>
  <si>
    <t>2020-21</t>
  </si>
  <si>
    <t>2019-20</t>
  </si>
  <si>
    <t>2018-19</t>
  </si>
  <si>
    <t>2017-18</t>
  </si>
  <si>
    <t>2016-17</t>
  </si>
  <si>
    <t>2015-16</t>
  </si>
  <si>
    <t>CWDV</t>
  </si>
  <si>
    <t>Dep.</t>
  </si>
  <si>
    <t>Closing</t>
  </si>
  <si>
    <t>Deletion</t>
  </si>
  <si>
    <t>Addition</t>
  </si>
  <si>
    <t>OWDV</t>
  </si>
  <si>
    <t>2014-15</t>
  </si>
  <si>
    <t>2013-14</t>
  </si>
  <si>
    <t>% to Revenue Collection</t>
  </si>
  <si>
    <t>S.No</t>
  </si>
  <si>
    <t>Yearly Depreciation</t>
  </si>
  <si>
    <t>Closing WDV at Year End</t>
  </si>
  <si>
    <t>MARCH</t>
  </si>
  <si>
    <t>FEB</t>
  </si>
  <si>
    <t>JAN.</t>
  </si>
  <si>
    <t>DEC.</t>
  </si>
  <si>
    <t>NOV.</t>
  </si>
  <si>
    <t>OCT.</t>
  </si>
  <si>
    <t>SEP.</t>
  </si>
  <si>
    <t>AUGUST</t>
  </si>
  <si>
    <t>JULY</t>
  </si>
  <si>
    <t>JUNE</t>
  </si>
  <si>
    <t>MAY</t>
  </si>
  <si>
    <t>APRIL</t>
  </si>
  <si>
    <t>O/s</t>
  </si>
  <si>
    <t>ROI</t>
  </si>
  <si>
    <t>Total Installments Yearly</t>
  </si>
  <si>
    <t>Years Outstanding</t>
  </si>
  <si>
    <t>CLOSING BAL.</t>
  </si>
  <si>
    <t xml:space="preserve">REPAYMENT </t>
  </si>
  <si>
    <t>OPEG. BAL.</t>
  </si>
  <si>
    <t xml:space="preserve"> 2019-20</t>
  </si>
  <si>
    <t xml:space="preserve"> 2018-19</t>
  </si>
  <si>
    <t xml:space="preserve"> 2017-18</t>
  </si>
  <si>
    <t xml:space="preserve"> 2014-15</t>
  </si>
  <si>
    <t xml:space="preserve"> 2013-14</t>
  </si>
  <si>
    <t xml:space="preserve"> 2015-16</t>
  </si>
  <si>
    <t xml:space="preserve"> 2016-17</t>
  </si>
  <si>
    <t xml:space="preserve"> -Repayble after 12 Months</t>
  </si>
  <si>
    <t xml:space="preserve"> -Repayble in next 12 Months</t>
  </si>
  <si>
    <t>Vehicle &amp; Other Loan</t>
  </si>
  <si>
    <t>Term Loan - Outstanding</t>
  </si>
  <si>
    <t>Other Information- Loans</t>
  </si>
  <si>
    <t>C</t>
  </si>
  <si>
    <t>Total Interest</t>
  </si>
  <si>
    <t>B</t>
  </si>
  <si>
    <t>Total Repayment</t>
  </si>
  <si>
    <t>Principal Repayment</t>
  </si>
  <si>
    <t>A</t>
  </si>
  <si>
    <t>Running &amp; Maintenance - Vehicles</t>
  </si>
  <si>
    <t>Repair &amp; Maintenance - Other Assets</t>
  </si>
  <si>
    <t>Repair &amp; Maintenance - Building</t>
  </si>
  <si>
    <t>Office Maintenance</t>
  </si>
  <si>
    <t>D</t>
  </si>
  <si>
    <t>Misc Expenses</t>
  </si>
  <si>
    <t>Travelling Expenses</t>
  </si>
  <si>
    <t>Security Charges</t>
  </si>
  <si>
    <t>Telephone Expenses</t>
  </si>
  <si>
    <t>Medical Expenses</t>
  </si>
  <si>
    <t>Legal &amp; Professional Charges</t>
  </si>
  <si>
    <t>Insurance</t>
  </si>
  <si>
    <t>Function Expenses</t>
  </si>
  <si>
    <t>Electricity &amp; Water Expenses</t>
  </si>
  <si>
    <t>Affiliation to DPS Society</t>
  </si>
  <si>
    <t>Advertisement Expenses</t>
  </si>
  <si>
    <t>OTHER EXPENSES</t>
  </si>
  <si>
    <t>Teachers Training Expenses</t>
  </si>
  <si>
    <t>Sports &amp; Activities</t>
  </si>
  <si>
    <t>News Paper, Books &amp; Periodicals</t>
  </si>
  <si>
    <t>Educational Expenses</t>
  </si>
  <si>
    <t>EDUCATIONAL EXPENDITURE</t>
  </si>
  <si>
    <t>Staff Welfare</t>
  </si>
  <si>
    <t>Salary to Staffs</t>
  </si>
  <si>
    <t>PF Employer</t>
  </si>
  <si>
    <t>Liveries to Class IV</t>
  </si>
  <si>
    <t xml:space="preserve"> ESTABLISHMENT EXPENSES</t>
  </si>
  <si>
    <t>% of Collection</t>
  </si>
  <si>
    <t>Cash Expenses</t>
  </si>
  <si>
    <t>Finance Cost</t>
  </si>
  <si>
    <t>Total Operating Expenses</t>
  </si>
  <si>
    <t xml:space="preserve">Repair &amp; Maintenance </t>
  </si>
  <si>
    <t>Other Expenses</t>
  </si>
  <si>
    <t>Establishment Expenses</t>
  </si>
  <si>
    <t>XI</t>
  </si>
  <si>
    <t>X</t>
  </si>
  <si>
    <t>Nursery</t>
  </si>
  <si>
    <t>Annual</t>
  </si>
  <si>
    <t>Admn Fee</t>
  </si>
  <si>
    <t>XII</t>
  </si>
  <si>
    <t>Existing</t>
  </si>
  <si>
    <t>Class</t>
  </si>
  <si>
    <t>Tution Fees</t>
  </si>
  <si>
    <t>Transport</t>
  </si>
  <si>
    <t>Fees Collection</t>
  </si>
  <si>
    <t>Total Collection</t>
  </si>
  <si>
    <t>Installments</t>
  </si>
  <si>
    <t>Cash Expenses (105%)</t>
  </si>
  <si>
    <t>Income (95%)</t>
  </si>
  <si>
    <t>Collection Reduced By 5% and Expenses Up By 5%</t>
  </si>
  <si>
    <t>Total Collection  (100%)</t>
  </si>
  <si>
    <t>Only Expenses Up By 5%</t>
  </si>
  <si>
    <t>Cash Expenses (100%)</t>
  </si>
  <si>
    <t>Total Collection (95%)</t>
  </si>
  <si>
    <t xml:space="preserve">Only Collection Reduced by 5% </t>
  </si>
  <si>
    <t>Net Inflow</t>
  </si>
  <si>
    <t>Actual Projection</t>
  </si>
  <si>
    <t>Fees Summary</t>
  </si>
  <si>
    <t>2011-12</t>
  </si>
  <si>
    <t>2012-13</t>
  </si>
  <si>
    <t>Art &amp; Craft Expenses</t>
  </si>
  <si>
    <t>Bank Charges</t>
  </si>
  <si>
    <t>Repair &amp; Maintenance - Computer</t>
  </si>
  <si>
    <t>Printing &amp; Stationery/ Consumables</t>
  </si>
  <si>
    <t>Examination Expenses</t>
  </si>
  <si>
    <t>Interest- USL</t>
  </si>
  <si>
    <t>I Card Expenses</t>
  </si>
  <si>
    <t>Preoperative</t>
  </si>
  <si>
    <t>Rent</t>
  </si>
  <si>
    <t>School Bag Expenses</t>
  </si>
  <si>
    <t>Samrt Class Content Charges</t>
  </si>
  <si>
    <t>Lab Expenses</t>
  </si>
  <si>
    <t>Gardening Expense</t>
  </si>
  <si>
    <t>REPAIR &amp; MAINTENANCE</t>
  </si>
  <si>
    <t>Rates &amp; Taxes</t>
  </si>
  <si>
    <t>CBSE Fees</t>
  </si>
  <si>
    <t>Registration Fees</t>
  </si>
  <si>
    <t>Donation</t>
  </si>
  <si>
    <t>Teacher Application Form Sale</t>
  </si>
  <si>
    <t>Prospectus Sale</t>
  </si>
  <si>
    <t>Misc Income</t>
  </si>
  <si>
    <t>Late Fees &amp; Fines</t>
  </si>
  <si>
    <t>Interest from Bank</t>
  </si>
  <si>
    <t>Interest on FDR</t>
  </si>
  <si>
    <t>Picnic Fees</t>
  </si>
  <si>
    <t>Participate Fees</t>
  </si>
  <si>
    <t>Income From Extra Curricular Activites</t>
  </si>
  <si>
    <t>Other Income</t>
  </si>
  <si>
    <t>Total (B)</t>
  </si>
  <si>
    <t>Grand Total (A+B)</t>
  </si>
  <si>
    <t>Sale of bags</t>
  </si>
  <si>
    <t>Sale of Diary</t>
  </si>
  <si>
    <t>Sale of group photos</t>
  </si>
  <si>
    <t>Sale of School Magzine</t>
  </si>
  <si>
    <t>Swmming Pool Collections</t>
  </si>
  <si>
    <t>Short &amp; Excess</t>
  </si>
  <si>
    <t>Strength</t>
  </si>
  <si>
    <t>Rs. 10000 after every two year</t>
  </si>
  <si>
    <t>5% increase on YOY From FY 14-15</t>
  </si>
  <si>
    <t>15% increase on YOY From FY 14-15</t>
  </si>
  <si>
    <t>25% increase on YOY From FY 14-15</t>
  </si>
  <si>
    <t xml:space="preserve">3% 0f Total Salary Cost </t>
  </si>
  <si>
    <t>10% increase on YOY From FY 14-15</t>
  </si>
  <si>
    <t>Student Strength * Rs. 40 per student * 1.05</t>
  </si>
  <si>
    <t>Assumed that Profit will be 25% on total sale value</t>
  </si>
  <si>
    <t>30% increase on YOY From FY 14-15</t>
  </si>
  <si>
    <t>Rs. 2000 increase on YOY From FY 14-15</t>
  </si>
  <si>
    <t>Rs. 100000 increase on YOY From FY 14-15</t>
  </si>
  <si>
    <t>Rs. 25000 increase on YOY From FY 14-15</t>
  </si>
  <si>
    <t>Rs. 5000 increase on YOY From FY 14-15</t>
  </si>
  <si>
    <t>20% increase on YOY From FY 14-15</t>
  </si>
  <si>
    <t>PNB</t>
  </si>
  <si>
    <t xml:space="preserve">TERM LOAN </t>
  </si>
  <si>
    <t>Vehicle Loan</t>
  </si>
  <si>
    <t>Tax</t>
  </si>
  <si>
    <t>Consumable Stores</t>
  </si>
  <si>
    <t>DER</t>
  </si>
  <si>
    <t>Total Assets</t>
  </si>
  <si>
    <t>Total Current Assets</t>
  </si>
  <si>
    <t>Cash &amp; Bank Balances</t>
  </si>
  <si>
    <t>Non-Current Assets</t>
  </si>
  <si>
    <t>Net Block</t>
  </si>
  <si>
    <t>Gross Block</t>
  </si>
  <si>
    <t>Total Liabilities</t>
  </si>
  <si>
    <t>Total Current Liabilities</t>
  </si>
  <si>
    <t>Total Long Term Funds</t>
  </si>
  <si>
    <t>Total Long Term Loans</t>
  </si>
  <si>
    <t>Unsecured Loans</t>
  </si>
  <si>
    <t>Tangible Net Worth</t>
  </si>
  <si>
    <t>Raw Material Consumption</t>
  </si>
  <si>
    <t>MPBF</t>
  </si>
  <si>
    <t>PBF II</t>
  </si>
  <si>
    <t>PBF I</t>
  </si>
  <si>
    <t>NWC - Projected</t>
  </si>
  <si>
    <t>NWC - Minimum</t>
  </si>
  <si>
    <t>WCG</t>
  </si>
  <si>
    <t>Total Other Current Liabilities</t>
  </si>
  <si>
    <t>Misc. Current Liabilities</t>
  </si>
  <si>
    <t>Statutory Liabilities</t>
  </si>
  <si>
    <t>Provision for Taxes</t>
  </si>
  <si>
    <t>Misc. Current Assets</t>
  </si>
  <si>
    <t>Advance Tax</t>
  </si>
  <si>
    <t>Other Current Assets</t>
  </si>
  <si>
    <t>Duty Draw Back</t>
  </si>
  <si>
    <t>Advances to Suppliers</t>
  </si>
  <si>
    <t>Export Receivables</t>
  </si>
  <si>
    <t>Domestic Receivables</t>
  </si>
  <si>
    <t>Finished Goods</t>
  </si>
  <si>
    <t>Stock in Process</t>
  </si>
  <si>
    <t>Raw Material</t>
  </si>
  <si>
    <t>Chargeable Current Assets</t>
  </si>
  <si>
    <t>Creditors</t>
  </si>
  <si>
    <t>Consumable Stores &amp; Fuel</t>
  </si>
  <si>
    <t>Norms (In Months)</t>
  </si>
  <si>
    <t>Cost of Sales</t>
  </si>
  <si>
    <t>Cost of Production</t>
  </si>
  <si>
    <t>Consumeable Stores &amp; Fuel</t>
  </si>
  <si>
    <t>- Electricity &amp; Steam</t>
  </si>
  <si>
    <t>- Export Sales</t>
  </si>
  <si>
    <t>- Domestic Sales</t>
  </si>
  <si>
    <t>Basic Data (Per Month)</t>
  </si>
  <si>
    <t>Prov.</t>
  </si>
  <si>
    <t>31.03.12</t>
  </si>
  <si>
    <t>PBF Note</t>
  </si>
  <si>
    <t xml:space="preserve">  </t>
  </si>
  <si>
    <t>long shortfall in Net Working Capital</t>
  </si>
  <si>
    <t>8. Maximum permissible bank long shortfall</t>
  </si>
  <si>
    <t>7. Item 3 minus item 5</t>
  </si>
  <si>
    <t>6. Item 3 minus item 4</t>
  </si>
  <si>
    <t>5.Actual / Projected Net Working Capital</t>
  </si>
  <si>
    <t>export receivables)</t>
  </si>
  <si>
    <t>(25% If total current assets excluding</t>
  </si>
  <si>
    <t>4 Minimum Stipulated Net Working Capital</t>
  </si>
  <si>
    <t>3. Working Capital gap</t>
  </si>
  <si>
    <t>(other than bank borrowing)</t>
  </si>
  <si>
    <t>2. Other Current Liabilities</t>
  </si>
  <si>
    <t>1. Total Current Assets</t>
  </si>
  <si>
    <t>SECOND METHOD OF LENDING :</t>
  </si>
  <si>
    <t xml:space="preserve"> borrowing representing shortfall in NWC</t>
  </si>
  <si>
    <t>8. Maximum permissible bank  excess</t>
  </si>
  <si>
    <t>5.Actual/projected Net Working Capital</t>
  </si>
  <si>
    <t>( 25% of WCG excluding export Receivable)</t>
  </si>
  <si>
    <t>2.Other Current Liabilities</t>
  </si>
  <si>
    <t>FIRST METHOD OF LENDING :</t>
  </si>
  <si>
    <t>PARTICULARS</t>
  </si>
  <si>
    <t>COMPUTATION OF MAXIMUM PERMISSIBLE BANK FINANCE FOR WORKING CAPITAL</t>
  </si>
  <si>
    <t>FORM V</t>
  </si>
  <si>
    <t>TOTAL INC / DEC IN CURRENT ASSETS</t>
  </si>
  <si>
    <t>f) Increase /Decrease in other Cur. Assets</t>
  </si>
  <si>
    <t>e) Increase /Decrease in Stores &amp; Spares</t>
  </si>
  <si>
    <t>d) Increase /Decrease in Receivables</t>
  </si>
  <si>
    <t>c) Increase /Decrease in Finished Goods</t>
  </si>
  <si>
    <t>b) Increase /Decrease in Stock in Process</t>
  </si>
  <si>
    <t>a) Increase /Decrease in Raw Materials</t>
  </si>
  <si>
    <t>BREAK UP OF (4)</t>
  </si>
  <si>
    <t>INCREASE /DECREASE IN  NET SALES</t>
  </si>
  <si>
    <t>8. Increase/Decrease in bank borrowings</t>
  </si>
  <si>
    <t>7.Net Surplus(+) / deficit(-) ( 3 - 6 )</t>
  </si>
  <si>
    <t>6. Increase/decrease in Working capital gap</t>
  </si>
  <si>
    <t xml:space="preserve">   other than bank borrowings</t>
  </si>
  <si>
    <t>5. Increase / Decrease in current liabilities</t>
  </si>
  <si>
    <t>( as per  details given below )</t>
  </si>
  <si>
    <t>4.Increase/ decrease in current assets</t>
  </si>
  <si>
    <t>3. Long term Surplus / Deficit</t>
  </si>
  <si>
    <t xml:space="preserve"> </t>
  </si>
  <si>
    <t>FUNDS FLOW STATEMENT (CONTD…)</t>
  </si>
  <si>
    <t>TOTAL</t>
  </si>
  <si>
    <t>g) Reserve Used</t>
  </si>
  <si>
    <t>f)  Deferred Tax</t>
  </si>
  <si>
    <t xml:space="preserve">e) Others (Dep. Written Back) </t>
  </si>
  <si>
    <t>d) Dividend Payment</t>
  </si>
  <si>
    <t>ii) Other non-current asset</t>
  </si>
  <si>
    <t>i)  Fixed assets</t>
  </si>
  <si>
    <t>c) increase in :</t>
  </si>
  <si>
    <t xml:space="preserve">                                     Security Deposits</t>
  </si>
  <si>
    <t>including public deposit : Term Loan</t>
  </si>
  <si>
    <t>b) Decrease in term liabilities</t>
  </si>
  <si>
    <t>a) Net Loss</t>
  </si>
  <si>
    <t>2.  USES :</t>
  </si>
  <si>
    <t>f)  others</t>
  </si>
  <si>
    <t>ii) other non-current asset</t>
  </si>
  <si>
    <t>i) Fixed assets</t>
  </si>
  <si>
    <t>e) Decrease in  :</t>
  </si>
  <si>
    <t>(including public deposit / Security Deposits)</t>
  </si>
  <si>
    <t>d) Increase in terms liabilities,TL</t>
  </si>
  <si>
    <t xml:space="preserve">    Increase in Share Premium</t>
  </si>
  <si>
    <t>c) Increase in Share Capital</t>
  </si>
  <si>
    <t>b) Depreciation</t>
  </si>
  <si>
    <t>a) Net profit (after tax)</t>
  </si>
  <si>
    <t>1.  SOURCES :</t>
  </si>
  <si>
    <t>FUNDS FLOW STATEMENT</t>
  </si>
  <si>
    <t>FORM VI</t>
  </si>
  <si>
    <t>TOTAL CURRENT LIABILITIES</t>
  </si>
  <si>
    <t>(including provisions for expenses)</t>
  </si>
  <si>
    <t>d) Other Current Liabilities &amp; Provisions</t>
  </si>
  <si>
    <t>c) Installments of TL,DPG &amp; Public Deposits</t>
  </si>
  <si>
    <t>b) Dividend Payable</t>
  </si>
  <si>
    <t>a) Short Term Borrowing / others</t>
  </si>
  <si>
    <t>(specify major items )</t>
  </si>
  <si>
    <t>OTHER CURRENT LIABILITIES</t>
  </si>
  <si>
    <t>STATUTORY LIABILITIES</t>
  </si>
  <si>
    <t>ADVANCES FROM CUSTOMERS</t>
  </si>
  <si>
    <t>Sundry Creditors (Others)</t>
  </si>
  <si>
    <t>Month's Purchase</t>
  </si>
  <si>
    <t>Amount</t>
  </si>
  <si>
    <t>(of Raw Material , Store &amp; Cons. Spares)</t>
  </si>
  <si>
    <t>CREDITORS</t>
  </si>
  <si>
    <t>(Other than bank borrowings for WC)</t>
  </si>
  <si>
    <t>CURRENT LIABILITIES</t>
  </si>
  <si>
    <t>(As per balance sheet as at)</t>
  </si>
  <si>
    <t>COMPARATIVE STATEMENT OF CURRENT ASSETS &amp; CURRENT LIABILITIES</t>
  </si>
  <si>
    <t>FORM  IV</t>
  </si>
  <si>
    <t>TOTAL CURRENT ASSETS</t>
  </si>
  <si>
    <t>of Taxes and other items )</t>
  </si>
  <si>
    <t>suppliers of Raw Materials, advance payment</t>
  </si>
  <si>
    <t>receivable due within one year ), advance to</t>
  </si>
  <si>
    <t>(Including cash &amp; bank balance &amp; deferred</t>
  </si>
  <si>
    <t>OTHER CURRENT ASSETS</t>
  </si>
  <si>
    <t>(of materials,stores,spares &amp; consumables)</t>
  </si>
  <si>
    <t>ADVANCE TO SUPPLIERS</t>
  </si>
  <si>
    <t>(incld. Bills purchased &amp; discounted by bank)</t>
  </si>
  <si>
    <t>EXPORT RECEIVABLES</t>
  </si>
  <si>
    <t>Month's domestic sales</t>
  </si>
  <si>
    <t>including bills purchased &amp; dis.by bank )</t>
  </si>
  <si>
    <t>( other than export &amp; deferred receivable</t>
  </si>
  <si>
    <t xml:space="preserve">RECEIVABLES </t>
  </si>
  <si>
    <t>Month's Cost of Sales</t>
  </si>
  <si>
    <t>FINISHED GOODS</t>
  </si>
  <si>
    <t>Month's Cost of Production</t>
  </si>
  <si>
    <t>STOCK IN PROCESS</t>
  </si>
  <si>
    <t>Month's consumption</t>
  </si>
  <si>
    <t>b) Indigenous ( amount )</t>
  </si>
  <si>
    <t>(a) Imported ( amount )</t>
  </si>
  <si>
    <t>( excluding those included in above )</t>
  </si>
  <si>
    <t>OTHER CONSUMABLE SPARES</t>
  </si>
  <si>
    <t>Month's Raw Material consumption</t>
  </si>
  <si>
    <t>b) Indigenous  (amount)</t>
  </si>
  <si>
    <t>a) Imported  (amount)</t>
  </si>
  <si>
    <t>process of manufacturing )</t>
  </si>
  <si>
    <t>(including stores &amp; other items used in the</t>
  </si>
  <si>
    <t>RAW MATERIAL</t>
  </si>
  <si>
    <t>A. CURRENT ASSETS</t>
  </si>
  <si>
    <t>( As per balance sheet as at… )</t>
  </si>
  <si>
    <t>FORM IV</t>
  </si>
  <si>
    <t>(v)  Other Liabilities not Provided for</t>
  </si>
  <si>
    <t>(iv)  Disputed Excise / Custom Tax</t>
  </si>
  <si>
    <t>(iii) Gratuity Liability</t>
  </si>
  <si>
    <t>ii)   Contingent Liabilities</t>
  </si>
  <si>
    <t>I)    Arrears of Depreciation</t>
  </si>
  <si>
    <t>ADDITIONAL INFORMATION</t>
  </si>
  <si>
    <t>(48) Total Term Liab./ Tangible N.worth</t>
  </si>
  <si>
    <t>(47) Total Outside Liab./Tangible N.worth</t>
  </si>
  <si>
    <t>(46) CURRENT RATIO</t>
  </si>
  <si>
    <t xml:space="preserve">        ((17+24)-(37+41+42))</t>
  </si>
  <si>
    <t>(45) NET WORKING CAPITAL</t>
  </si>
  <si>
    <t>(44) TANGIBLE NET WORTH ( 24 - 42 )</t>
  </si>
  <si>
    <t>(43) TOTAL ASSETS ( 34 + 37 + 41 + 42 )</t>
  </si>
  <si>
    <t>for, Misc. Exp to the extent not written-off )</t>
  </si>
  <si>
    <t xml:space="preserve">Prel.Exp. Bad &amp; Doubtful exp not provided </t>
  </si>
  <si>
    <r>
      <t>(42)</t>
    </r>
    <r>
      <rPr>
        <sz val="10"/>
        <rFont val="Arial"/>
        <family val="2"/>
      </rPr>
      <t xml:space="preserve">  Intangible assets ( Patents Goodwill,</t>
    </r>
  </si>
  <si>
    <r>
      <t>(41)</t>
    </r>
    <r>
      <rPr>
        <sz val="10"/>
        <rFont val="Arial"/>
        <family val="2"/>
      </rPr>
      <t xml:space="preserve">  Total other Non -Cur. Asset</t>
    </r>
  </si>
  <si>
    <t>dues from Directors</t>
  </si>
  <si>
    <r>
      <t>(40)</t>
    </r>
    <r>
      <rPr>
        <sz val="10"/>
        <rFont val="Arial"/>
        <family val="2"/>
      </rPr>
      <t xml:space="preserve"> Other non current assets  including</t>
    </r>
  </si>
  <si>
    <r>
      <t>(39)</t>
    </r>
    <r>
      <rPr>
        <sz val="10"/>
        <rFont val="Arial"/>
        <family val="2"/>
      </rPr>
      <t xml:space="preserve"> Non-consumable Stores &amp; Spares</t>
    </r>
  </si>
  <si>
    <t>(v) Margin for Non-Fund Based Limits</t>
  </si>
  <si>
    <t>(iv) Other Security Deposits</t>
  </si>
  <si>
    <t>iii) Deferred receivables (exceeding 1 year )</t>
  </si>
  <si>
    <t>ii ) Advances to suppliers of capital goods</t>
  </si>
  <si>
    <t xml:space="preserve">     b) Others</t>
  </si>
  <si>
    <t>i)   a) Investments in Subsidiary Co.affiliate</t>
  </si>
  <si>
    <t xml:space="preserve">   Deposits which are not Current Assets )</t>
  </si>
  <si>
    <r>
      <t>(38)</t>
    </r>
    <r>
      <rPr>
        <sz val="10"/>
        <rFont val="Arial"/>
        <family val="2"/>
      </rPr>
      <t xml:space="preserve"> Investments / Book Debts / Advances /</t>
    </r>
  </si>
  <si>
    <r>
      <t>(37)</t>
    </r>
    <r>
      <rPr>
        <sz val="10"/>
        <rFont val="Arial"/>
        <family val="2"/>
      </rPr>
      <t xml:space="preserve"> Net Block (35 - 36)</t>
    </r>
  </si>
  <si>
    <t>.</t>
  </si>
  <si>
    <r>
      <t>(36)</t>
    </r>
    <r>
      <rPr>
        <sz val="10"/>
        <rFont val="Arial"/>
        <family val="2"/>
      </rPr>
      <t xml:space="preserve"> Depreciation uptodate</t>
    </r>
  </si>
  <si>
    <t>(Land, Building, P &amp; M, WIP and other )</t>
  </si>
  <si>
    <r>
      <t>(35)</t>
    </r>
    <r>
      <rPr>
        <sz val="10"/>
        <rFont val="Arial"/>
        <family val="2"/>
      </rPr>
      <t xml:space="preserve"> Gross block</t>
    </r>
  </si>
  <si>
    <t>FIXED ASSETS</t>
  </si>
  <si>
    <t>(34) TOTAL CURRENT ASSETS ( 26 to 33 )</t>
  </si>
  <si>
    <r>
      <t>(33)</t>
    </r>
    <r>
      <rPr>
        <sz val="10"/>
        <rFont val="Arial"/>
        <family val="2"/>
      </rPr>
      <t xml:space="preserve">  Other current assets</t>
    </r>
  </si>
  <si>
    <r>
      <t>(32)</t>
    </r>
    <r>
      <rPr>
        <sz val="10"/>
        <rFont val="Arial"/>
        <family val="2"/>
      </rPr>
      <t xml:space="preserve">  Advance payment of taxes</t>
    </r>
  </si>
  <si>
    <t>Stocks</t>
  </si>
  <si>
    <t xml:space="preserve">       and Stores / Spares</t>
  </si>
  <si>
    <r>
      <t>(31)</t>
    </r>
    <r>
      <rPr>
        <sz val="10"/>
        <rFont val="Arial"/>
        <family val="2"/>
      </rPr>
      <t xml:space="preserve">  Advances to suppliers of Raw Materials</t>
    </r>
  </si>
  <si>
    <t>b) Indigenous</t>
  </si>
  <si>
    <t>a) Imported</t>
  </si>
  <si>
    <t>iv) Other Consumable Spares</t>
  </si>
  <si>
    <t>iii) Finished Goods</t>
  </si>
  <si>
    <t>II)  Stock in Process</t>
  </si>
  <si>
    <t>items used in process of manufacturing )</t>
  </si>
  <si>
    <t>I) Raw Materials (including Stores &amp; other</t>
  </si>
  <si>
    <r>
      <t>(30)</t>
    </r>
    <r>
      <rPr>
        <sz val="10"/>
        <rFont val="Arial"/>
        <family val="2"/>
      </rPr>
      <t xml:space="preserve"> Inventory  :</t>
    </r>
  </si>
  <si>
    <t>(due with in one year)</t>
  </si>
  <si>
    <r>
      <t>(29)</t>
    </r>
    <r>
      <rPr>
        <sz val="10"/>
        <rFont val="Arial"/>
        <family val="2"/>
      </rPr>
      <t xml:space="preserve">  Installments of deferred receivables</t>
    </r>
  </si>
  <si>
    <t>sed &amp; discounted by banks )</t>
  </si>
  <si>
    <t>ii) Export Receivable (including bills purcha-</t>
  </si>
  <si>
    <t xml:space="preserve">Bills purchased &amp; discounted by banks) </t>
  </si>
  <si>
    <t>I) other than deferred and exports (including</t>
  </si>
  <si>
    <r>
      <t>(28)</t>
    </r>
    <r>
      <rPr>
        <sz val="10"/>
        <rFont val="Arial"/>
        <family val="2"/>
      </rPr>
      <t xml:space="preserve">  Receivables :</t>
    </r>
  </si>
  <si>
    <t>ii) Fixed Deposits with Banks</t>
  </si>
  <si>
    <t>I) Government &amp; other trustee securities</t>
  </si>
  <si>
    <r>
      <t>(27)</t>
    </r>
    <r>
      <rPr>
        <sz val="10"/>
        <rFont val="Arial"/>
        <family val="2"/>
      </rPr>
      <t xml:space="preserve"> Investments (other than long term) :-</t>
    </r>
  </si>
  <si>
    <r>
      <t>(26)</t>
    </r>
    <r>
      <rPr>
        <sz val="10"/>
        <rFont val="Arial"/>
        <family val="2"/>
      </rPr>
      <t xml:space="preserve"> Cash and bank balances</t>
    </r>
  </si>
  <si>
    <t xml:space="preserve"> CURRENT ASSETS</t>
  </si>
  <si>
    <t xml:space="preserve">ASSETS </t>
  </si>
  <si>
    <t>( As per balance sheet as at ……)</t>
  </si>
  <si>
    <t>ANALYSIS OF BALANCE SHEET</t>
  </si>
  <si>
    <t>FORM III</t>
  </si>
  <si>
    <t>(25) TOTAL LIABILITIES ( 10+17+24 )</t>
  </si>
  <si>
    <t>(24)  NET WORTH (19 to 23 )</t>
  </si>
  <si>
    <r>
      <t xml:space="preserve">(23)  </t>
    </r>
    <r>
      <rPr>
        <sz val="10"/>
        <rFont val="Arial"/>
        <family val="2"/>
      </rPr>
      <t>Surplus(+) or Deficit (-) in P &amp; L A/c</t>
    </r>
  </si>
  <si>
    <r>
      <t xml:space="preserve">       </t>
    </r>
    <r>
      <rPr>
        <sz val="10"/>
        <rFont val="Arial"/>
        <family val="2"/>
      </rPr>
      <t xml:space="preserve">b. </t>
    </r>
    <r>
      <rPr>
        <sz val="10"/>
        <rFont val="Arial"/>
        <family val="2"/>
      </rPr>
      <t>Deferred Tax</t>
    </r>
  </si>
  <si>
    <r>
      <t>(22)</t>
    </r>
    <r>
      <rPr>
        <sz val="10"/>
        <rFont val="Arial"/>
        <family val="2"/>
      </rPr>
      <t xml:space="preserve"> a. Revaluation Reserve </t>
    </r>
  </si>
  <si>
    <r>
      <t>(20)</t>
    </r>
    <r>
      <rPr>
        <sz val="10"/>
        <rFont val="Arial"/>
        <family val="2"/>
      </rPr>
      <t xml:space="preserve"> Share Premium Account</t>
    </r>
  </si>
  <si>
    <r>
      <t xml:space="preserve">(19) </t>
    </r>
    <r>
      <rPr>
        <sz val="10"/>
        <rFont val="Arial"/>
        <family val="2"/>
      </rPr>
      <t>Ordinary Share Capital</t>
    </r>
  </si>
  <si>
    <t>NET WORTH</t>
  </si>
  <si>
    <r>
      <t>(18)</t>
    </r>
    <r>
      <rPr>
        <sz val="10"/>
        <rFont val="Arial"/>
        <family val="2"/>
      </rPr>
      <t xml:space="preserve"> Total Outside Liabilities ( 10 + 17 )</t>
    </r>
  </si>
  <si>
    <t>(17) Total Term Liabilities</t>
  </si>
  <si>
    <r>
      <t xml:space="preserve">(16) </t>
    </r>
    <r>
      <rPr>
        <sz val="10"/>
        <rFont val="Arial"/>
        <family val="2"/>
      </rPr>
      <t>Other Term Liabilities</t>
    </r>
  </si>
  <si>
    <r>
      <t>(15)</t>
    </r>
    <r>
      <rPr>
        <sz val="10"/>
        <rFont val="Arial"/>
        <family val="2"/>
      </rPr>
      <t xml:space="preserve"> Term deposits (Unsecured loans )</t>
    </r>
  </si>
  <si>
    <t>installment due within one year )</t>
  </si>
  <si>
    <r>
      <t>(14)</t>
    </r>
    <r>
      <rPr>
        <sz val="10"/>
        <rFont val="Arial"/>
        <family val="2"/>
      </rPr>
      <t xml:space="preserve"> Deferred  Payments credits (excluding</t>
    </r>
  </si>
  <si>
    <t>one year</t>
  </si>
  <si>
    <r>
      <t>(13)</t>
    </r>
    <r>
      <rPr>
        <sz val="10"/>
        <rFont val="Arial"/>
        <family val="2"/>
      </rPr>
      <t xml:space="preserve">  Term loans (excluding installment within</t>
    </r>
  </si>
  <si>
    <r>
      <t>(12)</t>
    </r>
    <r>
      <rPr>
        <sz val="10"/>
        <rFont val="Arial"/>
        <family val="2"/>
      </rPr>
      <t xml:space="preserve">  Preference shares (Reed.after 1 year )</t>
    </r>
  </si>
  <si>
    <r>
      <t>(11)</t>
    </r>
    <r>
      <rPr>
        <sz val="10"/>
        <rFont val="Arial"/>
        <family val="2"/>
      </rPr>
      <t xml:space="preserve">  Debentures shares within one year</t>
    </r>
  </si>
  <si>
    <t>TERM LIABILITIES</t>
  </si>
  <si>
    <t>analysis of balance sheet contd…..</t>
  </si>
  <si>
    <t>(10) TOTAL CURRENT LIABILITIES</t>
  </si>
  <si>
    <t>SUB TOTAL (B)</t>
  </si>
  <si>
    <t>directors/group co.</t>
  </si>
  <si>
    <t>Short Term Loans from promoters/</t>
  </si>
  <si>
    <t>Exps. Payable</t>
  </si>
  <si>
    <t>within 1 year) including provision for exp.</t>
  </si>
  <si>
    <r>
      <t xml:space="preserve">(9) </t>
    </r>
    <r>
      <rPr>
        <sz val="10"/>
        <rFont val="Arial"/>
        <family val="2"/>
      </rPr>
      <t xml:space="preserve"> Other current liabilities &amp; provision (due</t>
    </r>
  </si>
  <si>
    <t>OPGS / Debenture etc (due within 1 year)</t>
  </si>
  <si>
    <r>
      <t>(8)</t>
    </r>
    <r>
      <rPr>
        <sz val="10"/>
        <rFont val="Arial"/>
        <family val="2"/>
      </rPr>
      <t xml:space="preserve">  Deposits /installments of Term Loans /</t>
    </r>
  </si>
  <si>
    <r>
      <t>(7)</t>
    </r>
    <r>
      <rPr>
        <sz val="10"/>
        <rFont val="Arial"/>
        <family val="2"/>
      </rPr>
      <t xml:space="preserve">  Other Stat..Liabilities (due within 1 year)</t>
    </r>
  </si>
  <si>
    <r>
      <t>(6)</t>
    </r>
    <r>
      <rPr>
        <sz val="10"/>
        <rFont val="Arial"/>
        <family val="2"/>
      </rPr>
      <t xml:space="preserve">  Dividend payable</t>
    </r>
  </si>
  <si>
    <r>
      <t>(5)</t>
    </r>
    <r>
      <rPr>
        <sz val="10"/>
        <rFont val="Arial"/>
        <family val="2"/>
      </rPr>
      <t xml:space="preserve">  Provision for taxation</t>
    </r>
  </si>
  <si>
    <r>
      <t xml:space="preserve">(3)  </t>
    </r>
    <r>
      <rPr>
        <sz val="10"/>
        <rFont val="Arial"/>
        <family val="2"/>
      </rPr>
      <t>Sundry creditors ( Trade )</t>
    </r>
  </si>
  <si>
    <r>
      <t>(2)</t>
    </r>
    <r>
      <rPr>
        <sz val="10"/>
        <rFont val="Arial"/>
        <family val="2"/>
      </rPr>
      <t xml:space="preserve">  Short Term Borrowings from others </t>
    </r>
  </si>
  <si>
    <t>SUB TOTAL (A)</t>
  </si>
  <si>
    <t>(iii) of which BP &amp; BD)</t>
  </si>
  <si>
    <t xml:space="preserve">ii)   From other Banks </t>
  </si>
  <si>
    <t>(I)   From Applicant Bank</t>
  </si>
  <si>
    <t>borrowing placed on repayment basis )</t>
  </si>
  <si>
    <t xml:space="preserve">Bills purchased discounted &amp; excess </t>
  </si>
  <si>
    <r>
      <t xml:space="preserve">(1) </t>
    </r>
    <r>
      <rPr>
        <sz val="10"/>
        <rFont val="Arial"/>
        <family val="2"/>
      </rPr>
      <t>Short term borrowing from banks (inclu.</t>
    </r>
  </si>
  <si>
    <t>LIABILITIES</t>
  </si>
  <si>
    <t>( As Per Balance Sheet as at…..)</t>
  </si>
  <si>
    <t>FORM - III</t>
  </si>
  <si>
    <t>Sales Value</t>
  </si>
  <si>
    <t>Cash Accruals</t>
  </si>
  <si>
    <t>Retained Profit / Net Profit ( % age )</t>
  </si>
  <si>
    <t>15) RETAINED PROFIT (14-15)</t>
  </si>
  <si>
    <t>b)  Dividend Rate</t>
  </si>
  <si>
    <t>a)  Equality Dividend paid amount</t>
  </si>
  <si>
    <t>(14) NET PROFIT / LOSS (12-13)</t>
  </si>
  <si>
    <t>(13) Provision for Income Tax</t>
  </si>
  <si>
    <t>12) PROFIT BEFORE TAX / LOSS (10+11)</t>
  </si>
  <si>
    <t>11) Net of other non-operating Income / Exp.</t>
  </si>
  <si>
    <t>Sub Total</t>
  </si>
  <si>
    <t>(e)  Other</t>
  </si>
  <si>
    <t>(d)   Income Tax of earliar years</t>
  </si>
  <si>
    <t>(c)   Previous Yr. Adjustment</t>
  </si>
  <si>
    <t>(b)   Public Issue Expenses</t>
  </si>
  <si>
    <t>(a)   Deffered Tax Assets</t>
  </si>
  <si>
    <t>(ii) Deduct other non operating Expenses :</t>
  </si>
  <si>
    <t xml:space="preserve">(c) Other Income </t>
  </si>
  <si>
    <t>(b) Deferred Tax</t>
  </si>
  <si>
    <t>(a) Insurance</t>
  </si>
  <si>
    <t>(i) Add other non operating Income :</t>
  </si>
  <si>
    <t>(10) Operating Profit after Interest ( 8 - 9 )</t>
  </si>
  <si>
    <t>(9) Interest (on working capital and term loan)</t>
  </si>
  <si>
    <t>(8) Operating Profit before interest ( 3 - 7 )</t>
  </si>
  <si>
    <t>(7) Sub-Total (5+6)</t>
  </si>
  <si>
    <t>(6) Selling, General &amp; Administrative Exp.</t>
  </si>
  <si>
    <t>(5)  Cost of Sales</t>
  </si>
  <si>
    <t>(xii) Deduct Closing Stock of Finished Goods</t>
  </si>
  <si>
    <t>(xi) Add: Opening Stock of Finished Goods</t>
  </si>
  <si>
    <t>(x)  Cost of Production</t>
  </si>
  <si>
    <t>(ix)  Deduct :Closing stock in Process</t>
  </si>
  <si>
    <t>Sub-Total</t>
  </si>
  <si>
    <t>(viii ) Add: Opening Stock in Process</t>
  </si>
  <si>
    <t>(vii) Sub-Total (I to vi)</t>
  </si>
  <si>
    <t>(vi)  Depreciation</t>
  </si>
  <si>
    <t>(v)   Other Mfg. Expenses</t>
  </si>
  <si>
    <t>(b) Indigenous</t>
  </si>
  <si>
    <t>(a) Imported</t>
  </si>
  <si>
    <t>(4) Cost Of Sales</t>
  </si>
  <si>
    <t>compared to Previous Year (Annualized)</t>
  </si>
  <si>
    <t>%age rise (+) or fall (-) in Net Sale as</t>
  </si>
  <si>
    <t>(3) Net Sales (item 1-item 2)</t>
  </si>
  <si>
    <t>Deduct Other Items</t>
  </si>
  <si>
    <t>(2)  Less excise duty</t>
  </si>
  <si>
    <t>(iii)  Other Revenue Income</t>
  </si>
  <si>
    <t>Total Sales &amp; Incentives</t>
  </si>
  <si>
    <t>(iic)   Export Sales &amp; Incentives</t>
  </si>
  <si>
    <t>(iib)   Export Incentives</t>
  </si>
  <si>
    <t xml:space="preserve">(iia)   Export Sales   </t>
  </si>
  <si>
    <t>(I)    Domestic Sales</t>
  </si>
  <si>
    <t>(1)   Gross Sales</t>
  </si>
  <si>
    <t>Proj.</t>
  </si>
  <si>
    <t>AUDITED</t>
  </si>
  <si>
    <t>31.03.21</t>
  </si>
  <si>
    <t>31.03.20</t>
  </si>
  <si>
    <t>31.03.19</t>
  </si>
  <si>
    <t>31.03.18</t>
  </si>
  <si>
    <t>31.03.17</t>
  </si>
  <si>
    <t>31.03.16</t>
  </si>
  <si>
    <t>31.03.15</t>
  </si>
  <si>
    <t>31.03.14</t>
  </si>
  <si>
    <t>31.03.13</t>
  </si>
  <si>
    <t>AMT.IN LACS</t>
  </si>
  <si>
    <t>FORM II - OPERATING STATEMENT</t>
  </si>
  <si>
    <t>ASSESSMENT OF WORKING CAPITAL REQUIREMENTS</t>
  </si>
  <si>
    <t>TOL/ Adjsuted TNW</t>
  </si>
  <si>
    <t>TOL</t>
  </si>
  <si>
    <t>Term Liability/ Adjusted TNW</t>
  </si>
  <si>
    <t>Expenses Payable</t>
  </si>
  <si>
    <t>Taxes Payable/ Statutory Dues/ Provision for Taxes</t>
  </si>
  <si>
    <t xml:space="preserve">Sundry Creditors (Trade) </t>
  </si>
  <si>
    <t>Bank Borrowings - Short Term</t>
  </si>
  <si>
    <t>Creditors - Long Term/ Deferred</t>
  </si>
  <si>
    <t>Share Application Money</t>
  </si>
  <si>
    <t>Security Deposits - Long Term</t>
  </si>
  <si>
    <t>Secured Loans</t>
  </si>
  <si>
    <t>Net Owned Funds/ Adjusted TNW</t>
  </si>
  <si>
    <t xml:space="preserve">Investment in Allied Concerns &amp; Amount of Cross Holdings </t>
  </si>
  <si>
    <t>Deferred Tax Liability (+)/ Asset (-)</t>
  </si>
  <si>
    <t xml:space="preserve">Accumulated Losses </t>
  </si>
  <si>
    <t>Misc. Expenditure not Written Off</t>
  </si>
  <si>
    <t>Reserves &amp; Surplus (Excluding Revaluation Reserves)</t>
  </si>
  <si>
    <t>Paid Up Capital</t>
  </si>
  <si>
    <t>(Rs. in lakh)</t>
  </si>
  <si>
    <t>Current Ratio (excl. Export Receivables)</t>
  </si>
  <si>
    <t>Excise Duty Recoverable</t>
  </si>
  <si>
    <t>Loans &amp; Advances</t>
  </si>
  <si>
    <t>&gt; 6 Months Old</t>
  </si>
  <si>
    <t>&lt;= 6 Months Old</t>
  </si>
  <si>
    <t>Sundry Debtors</t>
  </si>
  <si>
    <t>Total Long Term Uses</t>
  </si>
  <si>
    <t>Total Non Current Assets</t>
  </si>
  <si>
    <t>FDRs</t>
  </si>
  <si>
    <t>Adavnces - Long Term/ Deferred</t>
  </si>
  <si>
    <t>Investments</t>
  </si>
  <si>
    <t>Security Deposits</t>
  </si>
  <si>
    <t>NON CURRENT ASSETS</t>
  </si>
  <si>
    <t>Capital Work in Progress</t>
  </si>
  <si>
    <t>ASSETS</t>
  </si>
  <si>
    <t>Surplus/ Deficit (-)</t>
  </si>
  <si>
    <t>Short Term Uses</t>
  </si>
  <si>
    <t>Short Term Sources</t>
  </si>
  <si>
    <t>Fund Flow:</t>
  </si>
  <si>
    <t>Operating profit/ Sales(%age)</t>
  </si>
  <si>
    <t>TOL/ Adjusted TNW</t>
  </si>
  <si>
    <t>Debt Equity Ratio</t>
  </si>
  <si>
    <t>Current Ratio (Excluding Export Receivables)</t>
  </si>
  <si>
    <t xml:space="preserve">Out of which Net Fixed Assets </t>
  </si>
  <si>
    <t xml:space="preserve">Total Assets </t>
  </si>
  <si>
    <t>Unsecured</t>
  </si>
  <si>
    <t>Secured</t>
  </si>
  <si>
    <t>Total Borrowings</t>
  </si>
  <si>
    <t>Tangible Net worth</t>
  </si>
  <si>
    <t>Accumulated Losses</t>
  </si>
  <si>
    <t>Misc. Exp. Not W/off</t>
  </si>
  <si>
    <t>Reserves &amp; Surpluses (Excl. Reval. Reserves)</t>
  </si>
  <si>
    <t>EBIDTA</t>
  </si>
  <si>
    <t>Interest Paid</t>
  </si>
  <si>
    <t>Cash Profit</t>
  </si>
  <si>
    <t>Misc. Exp. Written Off</t>
  </si>
  <si>
    <t>Profit After Tax</t>
  </si>
  <si>
    <t>Profit Before Tax</t>
  </si>
  <si>
    <t>Operating Profit</t>
  </si>
  <si>
    <t xml:space="preserve">Growth </t>
  </si>
  <si>
    <t>- Sub-Total</t>
  </si>
  <si>
    <t>- Exports</t>
  </si>
  <si>
    <t>- Domestic</t>
  </si>
  <si>
    <t>Sale Turnover/ Receipts</t>
  </si>
  <si>
    <t>KEY FINANCIAL FIGURES:-</t>
  </si>
  <si>
    <t>(i) Personel Expenses</t>
  </si>
  <si>
    <t>(ii)  Educational Expenses</t>
  </si>
  <si>
    <t>(iii)   Other Expenses</t>
  </si>
  <si>
    <t>(iv)  Repair &amp; Maintenance</t>
  </si>
  <si>
    <t>M/s SANSKAR BHARTI FOUNDATION</t>
  </si>
  <si>
    <t>15/04/2013</t>
  </si>
  <si>
    <t>CVR012600683939</t>
  </si>
  <si>
    <t>AXIS BANK</t>
  </si>
  <si>
    <t>CVR012600683940</t>
  </si>
  <si>
    <t>CVR012600683938</t>
  </si>
  <si>
    <t>CVR012600485104</t>
  </si>
  <si>
    <t>CVR012600475768</t>
  </si>
  <si>
    <t>20/04/2012</t>
  </si>
  <si>
    <t>CVR012600463828</t>
  </si>
  <si>
    <t>CVR012600463834</t>
  </si>
  <si>
    <t>22/05/2011</t>
  </si>
  <si>
    <t>LVAMB00023856704</t>
  </si>
  <si>
    <t>ICICI Bank</t>
  </si>
  <si>
    <t>LVAMB00023856706</t>
  </si>
  <si>
    <t>LVAMB00023867037</t>
  </si>
  <si>
    <t>LVAMB00023867031</t>
  </si>
  <si>
    <t>LVAMB00023867030</t>
  </si>
  <si>
    <t>LVAMB00023867029</t>
  </si>
  <si>
    <t>22/04/2012</t>
  </si>
  <si>
    <t>UVAMB00026371897</t>
  </si>
  <si>
    <t>UVAMB00026371896</t>
  </si>
  <si>
    <t>UVAMB00026371894</t>
  </si>
  <si>
    <t>UVAMB00026371893</t>
  </si>
  <si>
    <t>UVAMB00026371888</t>
  </si>
  <si>
    <t>UVAMB00026371889</t>
  </si>
  <si>
    <t>Up to2012-13</t>
  </si>
  <si>
    <t>31/03/2017</t>
  </si>
  <si>
    <t>31/03/2016</t>
  </si>
  <si>
    <t>31/03/2015</t>
  </si>
  <si>
    <t>31/03/2014</t>
  </si>
  <si>
    <t>31/03/2013</t>
  </si>
  <si>
    <t xml:space="preserve"> Interest Expenses</t>
  </si>
  <si>
    <t>Principal O/s</t>
  </si>
  <si>
    <t xml:space="preserve"> Principal Paid</t>
  </si>
  <si>
    <t>EMI Start Date</t>
  </si>
  <si>
    <t>EMI Amount</t>
  </si>
  <si>
    <t>Balance Instal</t>
  </si>
  <si>
    <t>Paid Instal. AS ON 31/03/2013</t>
  </si>
  <si>
    <t>Tenure</t>
  </si>
  <si>
    <t>Loan Account No.</t>
  </si>
  <si>
    <t>Bank Name</t>
  </si>
  <si>
    <t>Loan Amt.</t>
  </si>
  <si>
    <t>Vehicle and Other Loan</t>
  </si>
  <si>
    <t>Note</t>
  </si>
  <si>
    <t>It is assumed that no repayment will be made on oaccount of USL.</t>
  </si>
  <si>
    <t>Total Installment (next 12 months)</t>
  </si>
  <si>
    <t>Total Installment (After 12 months)</t>
  </si>
  <si>
    <t>Security Deposits &amp; Caution Money</t>
  </si>
  <si>
    <r>
      <t>(21)</t>
    </r>
    <r>
      <rPr>
        <sz val="10"/>
        <rFont val="Arial"/>
        <family val="2"/>
      </rPr>
      <t xml:space="preserve"> General Reserve  (Dr. Balance)</t>
    </r>
  </si>
  <si>
    <r>
      <t>(4)</t>
    </r>
    <r>
      <rPr>
        <sz val="10"/>
        <rFont val="Arial"/>
        <family val="2"/>
      </rPr>
      <t xml:space="preserve">  Frees received in advance</t>
    </r>
  </si>
  <si>
    <t>Assumption</t>
  </si>
  <si>
    <t>There will be 10% fees hike on YOY</t>
  </si>
  <si>
    <t>Anuual Fees will be increased by 10% on YOY basis from FY 2014-15</t>
  </si>
  <si>
    <t>Admission fee will be increase by 5 % on YOY basis from FY 2014-15</t>
  </si>
  <si>
    <t>As school campus is far away from city so it is assumed that 90% of the total student strength will avail the transport facility</t>
  </si>
  <si>
    <t>In Fy 2013-14,average Rs. 1150/- p.m. per student is being charged from the student as transport fees and it is assumed that it will be increased by 15% on YOY basis</t>
  </si>
  <si>
    <t>It is assumed that Rs. 500/- will be charged from each new student as registration fees and will be increased by 15% on YOY basis.</t>
  </si>
  <si>
    <t>It is assumed that Rs. 300/- will be charged for each prospectus that will be sold and will be increased by 15% on YOY basis.</t>
  </si>
  <si>
    <t>It is assumed that every year 400 prospectus will be sold.</t>
  </si>
  <si>
    <t>It is assumed that 50% of the total student strength will purchase school bag @ Rs. 350 each. And, Price of school bag will be increased by 10% on YOY basis</t>
  </si>
  <si>
    <t>It is assumed that each student will pay Rs. 150/- for the school diary. And price of the diary will be increased by 10% on YOY basis</t>
  </si>
  <si>
    <t>It is assumed that 60% of the total student strength will purchase school magzine @ Rs. 300 each. And, Price of school magzine will be increased by 15% on YOY basis</t>
  </si>
  <si>
    <t>It is assumed that 95% of the total student strength will purchase group photo @ Rs. 150 each. And, Price of group photo will be increased by 10% on YOY basis</t>
  </si>
  <si>
    <t>It is assumed that the Liveries to class IV expense will be increased by Rs. 10000/- after every one year from 2013-14</t>
  </si>
  <si>
    <t>Cost of PF to employer is assumed to be 3 % of total salary cost  Fy 2013-14</t>
  </si>
  <si>
    <t>Salary cost is assumed to be increased by 25% on YOY basis from FY 2013-14.</t>
  </si>
  <si>
    <t>It is assumed that Repair Maintenance cost of transport will be increased by 25% on YOY basis</t>
  </si>
  <si>
    <t>Interest on vehicle loan is charged as per repayment schedule</t>
  </si>
  <si>
    <t>It is assumed that Interest on term loan from Nov 2013 will be charged on 13.0% p.a. basis</t>
  </si>
  <si>
    <t>It is assumed that amount will be invested in the fixed asset for the expansion and growth of institution.</t>
  </si>
  <si>
    <t>FY</t>
  </si>
  <si>
    <t>It is assumed that Unsecured loan will be reduced from Fy 2014-15 onwards by internal accurals</t>
  </si>
  <si>
    <t>It is assumed that Fees received in advance will be 10% of Revenue (Fees) of every year</t>
  </si>
  <si>
    <t>It include capiatlisation of CWIP of last year</t>
  </si>
  <si>
    <t>Fees Received in Advance</t>
  </si>
  <si>
    <t>Installments Payable in One Year</t>
  </si>
  <si>
    <t>- Other Income</t>
  </si>
  <si>
    <t>Sum (Intangible Asset)</t>
  </si>
  <si>
    <t>Fresh Loan-3</t>
  </si>
  <si>
    <t>Existing Loan-2</t>
  </si>
  <si>
    <t xml:space="preserve"> 2020-21</t>
  </si>
  <si>
    <t xml:space="preserve"> 2021-22</t>
  </si>
  <si>
    <t xml:space="preserve"> 2022-23</t>
  </si>
  <si>
    <t>2022-23</t>
  </si>
  <si>
    <t>Term Loan - Existing</t>
  </si>
  <si>
    <t>Term Loan - Fresh</t>
  </si>
  <si>
    <t>It is assumed that interest @ 6.50% p.a. (average) will be paid to the USL amount O/S as on 31/03/2013.</t>
  </si>
  <si>
    <t>Term Loan -Existing</t>
  </si>
  <si>
    <t>Term Loan -Fresh</t>
  </si>
  <si>
    <t>31.03.22</t>
  </si>
  <si>
    <t>31.03.23</t>
  </si>
  <si>
    <t>Increase in USL</t>
  </si>
  <si>
    <t>0.50 % of Every Year WDV</t>
  </si>
  <si>
    <t>It is assumed that Average 6.5% rate of interest is being paid on Unsecured Loan.</t>
  </si>
  <si>
    <t>New project</t>
  </si>
  <si>
    <t>%</t>
  </si>
  <si>
    <t>Loan Fund</t>
  </si>
  <si>
    <t>Promoter Contribution</t>
  </si>
  <si>
    <t>It is assumed that there will be net intake of  more than 150 student on YOY Basis</t>
  </si>
  <si>
    <t>It is assumed that the caution money will be increased by 5% on YOY basis</t>
  </si>
  <si>
    <t>Assumptions</t>
  </si>
  <si>
    <t>Chairman</t>
  </si>
  <si>
    <t>General Body</t>
  </si>
  <si>
    <t>Vice-Chairman</t>
  </si>
  <si>
    <t>Jr. Vice-Chariman</t>
  </si>
  <si>
    <t>Finance Secy.</t>
  </si>
  <si>
    <t>Secy. General</t>
  </si>
  <si>
    <t>Member</t>
  </si>
  <si>
    <t>Name</t>
  </si>
  <si>
    <t>Designation</t>
  </si>
  <si>
    <t>Governing Body</t>
  </si>
  <si>
    <t>Jr. Vice-Chairman</t>
  </si>
  <si>
    <t>Secy General</t>
  </si>
  <si>
    <t>Pass percentage</t>
  </si>
  <si>
    <t>Nos. of Students appeared</t>
  </si>
  <si>
    <t>Nos. of students passed</t>
  </si>
  <si>
    <t>Nos. of teacy</t>
  </si>
  <si>
    <t>Nos. of teaching staff</t>
  </si>
  <si>
    <t>Nos. of non-teaching staff</t>
  </si>
  <si>
    <t>Students Strength</t>
  </si>
  <si>
    <t>Net Addition</t>
  </si>
  <si>
    <t>Monthly Tuition Fees</t>
  </si>
  <si>
    <t>Annual + Admission Fees from New Students</t>
  </si>
  <si>
    <t>Annual + Admission Fees from Existing Students</t>
  </si>
  <si>
    <t>DSCR</t>
  </si>
  <si>
    <t xml:space="preserve">RTE Student Details </t>
  </si>
  <si>
    <t xml:space="preserve">Class </t>
  </si>
  <si>
    <t xml:space="preserve">No. of Student </t>
  </si>
  <si>
    <t xml:space="preserve">Amount </t>
  </si>
  <si>
    <t>KG 1</t>
  </si>
  <si>
    <t>KG 2</t>
  </si>
  <si>
    <t>I</t>
  </si>
  <si>
    <t>II</t>
  </si>
  <si>
    <t>III</t>
  </si>
  <si>
    <t>Tenor (Months)</t>
  </si>
  <si>
    <t>Rate Of Interest</t>
  </si>
  <si>
    <t xml:space="preserve">Fee Income </t>
  </si>
  <si>
    <t>PD DONE BY</t>
  </si>
  <si>
    <t xml:space="preserve">SECTION # 1 </t>
  </si>
  <si>
    <t>Name of the School</t>
  </si>
  <si>
    <t>Entity Structure ~ Trust / Society / Pvt Ltd Company (Sec 25)</t>
  </si>
  <si>
    <t xml:space="preserve">Location </t>
  </si>
  <si>
    <t xml:space="preserve">Is it a part of a chain for schools ? </t>
  </si>
  <si>
    <t>Yes</t>
  </si>
  <si>
    <t xml:space="preserve">If yes, please elaborate </t>
  </si>
  <si>
    <t>Nearest Clix Branch Name</t>
  </si>
  <si>
    <t>Distance from Branch (in Km)</t>
  </si>
  <si>
    <t>If others, please elaborate</t>
  </si>
  <si>
    <t xml:space="preserve">Max class upto ? </t>
  </si>
  <si>
    <t>Actual classes being run</t>
  </si>
  <si>
    <t>Medium of instruction</t>
  </si>
  <si>
    <t>No. of Students (previous academic year)</t>
  </si>
  <si>
    <t>No. of Students (current academic year)</t>
  </si>
  <si>
    <t>% growth</t>
  </si>
  <si>
    <t>No.of Class rooms</t>
  </si>
  <si>
    <t>No. of shifts, if any</t>
  </si>
  <si>
    <t>No. of Teachers (previous academic year)</t>
  </si>
  <si>
    <t>No. of Teachers (current academic year)</t>
  </si>
  <si>
    <t>Teachers Monthly Salary Range (in Rs)</t>
  </si>
  <si>
    <t>Does the school offer transportation facility ?</t>
  </si>
  <si>
    <t>No</t>
  </si>
  <si>
    <t>Pass Percentage (for the highest class) - last academic year</t>
  </si>
  <si>
    <t>Are the trustee (s) directly related to Politicians ? (Politically Exposed Person)</t>
  </si>
  <si>
    <t xml:space="preserve">Comment on the upcoming development in and around the school </t>
  </si>
  <si>
    <t>Infrastructure</t>
  </si>
  <si>
    <t>Extra curricular activities of School</t>
  </si>
  <si>
    <t>RTE Compliant</t>
  </si>
  <si>
    <r>
      <t xml:space="preserve">If NO remarks </t>
    </r>
    <r>
      <rPr>
        <i/>
        <sz val="11"/>
        <color indexed="8"/>
        <rFont val="Calibri"/>
        <family val="2"/>
      </rPr>
      <t>(give ref to Notice related details)</t>
    </r>
  </si>
  <si>
    <t>SECTION # 2</t>
  </si>
  <si>
    <t>Name  (List of Trust / Society Members )</t>
  </si>
  <si>
    <t>Relationship with Main Trustee</t>
  </si>
  <si>
    <t>Current involvement
(Comment)</t>
  </si>
  <si>
    <t xml:space="preserve">Are they educationalists ? </t>
  </si>
  <si>
    <t xml:space="preserve">If No, then why do we believe this school will be successful ? </t>
  </si>
  <si>
    <t>Bureau Score (V2)</t>
  </si>
  <si>
    <t>Age
(in yrs)</t>
  </si>
  <si>
    <t xml:space="preserve">What other business are they involved in ? </t>
  </si>
  <si>
    <t>Total Networth 
(in Cr)</t>
  </si>
  <si>
    <t>Total Networth ~  unencumbered
(in Cr)</t>
  </si>
  <si>
    <t>On the loan structure - Yes/No</t>
  </si>
  <si>
    <t>SECTION # 3</t>
  </si>
  <si>
    <t xml:space="preserve">Tuition Fee </t>
  </si>
  <si>
    <t>Book Fee</t>
  </si>
  <si>
    <t>Uniform Fee</t>
  </si>
  <si>
    <t>Transportation fee</t>
  </si>
  <si>
    <t>SECTION # 4</t>
  </si>
  <si>
    <t>Documents Verification</t>
  </si>
  <si>
    <t>Status</t>
  </si>
  <si>
    <t>Result of Cross checking</t>
  </si>
  <si>
    <t>Comment</t>
  </si>
  <si>
    <t>Variation</t>
  </si>
  <si>
    <t>Attendance Register</t>
  </si>
  <si>
    <t>Nos of students :</t>
  </si>
  <si>
    <t>Staff attendance register</t>
  </si>
  <si>
    <t>Teacher strength :</t>
  </si>
  <si>
    <t>Fee Ledger</t>
  </si>
  <si>
    <t>Fee Receipts</t>
  </si>
  <si>
    <t>Total Fee :</t>
  </si>
  <si>
    <t>Staff Salary Ledger</t>
  </si>
  <si>
    <t>RTE List</t>
  </si>
  <si>
    <t>Ownership Proof</t>
  </si>
  <si>
    <t>SECTION # 5</t>
  </si>
  <si>
    <t xml:space="preserve">Google Check </t>
  </si>
  <si>
    <t>RBI Defaulter</t>
  </si>
  <si>
    <t>School rating as per Indiatoday/Education World/Outlook ?</t>
  </si>
  <si>
    <t>myneta.info</t>
  </si>
  <si>
    <t>SECTION # 7</t>
  </si>
  <si>
    <t>Loan Type</t>
  </si>
  <si>
    <t>END USE</t>
  </si>
  <si>
    <t>Type of End Use</t>
  </si>
  <si>
    <t>Estimation of the project</t>
  </si>
  <si>
    <t>Proof of End Use</t>
  </si>
  <si>
    <t>Deviation Code</t>
  </si>
  <si>
    <t>Nature of Deviation</t>
  </si>
  <si>
    <t>Justification / Mitigate</t>
  </si>
  <si>
    <t>ADDITIONAL CONDITIONS</t>
  </si>
  <si>
    <r>
      <rPr>
        <b/>
        <sz val="11"/>
        <color indexed="9"/>
        <rFont val="Calibri"/>
        <family val="2"/>
        <charset val="134"/>
      </rPr>
      <t>BANKING SYNOPSIS, (</t>
    </r>
    <r>
      <rPr>
        <b/>
        <i/>
        <sz val="11"/>
        <color indexed="9"/>
        <rFont val="Calibri"/>
        <family val="2"/>
        <charset val="134"/>
      </rPr>
      <t>PS:- Data entry to be made from Row No. 15</t>
    </r>
    <r>
      <rPr>
        <b/>
        <sz val="11"/>
        <color indexed="9"/>
        <rFont val="Calibri"/>
        <family val="2"/>
        <charset val="134"/>
      </rPr>
      <t>)</t>
    </r>
  </si>
  <si>
    <t xml:space="preserve">Account Holder Name </t>
  </si>
  <si>
    <t>Account No.</t>
  </si>
  <si>
    <t>Account Type</t>
  </si>
  <si>
    <t>Sanctioned Limit</t>
  </si>
  <si>
    <t>Peak Utilisation</t>
  </si>
  <si>
    <t>Average Monthly Credits (in lacs)</t>
  </si>
  <si>
    <t>Average Nos. of Monthly Credit entries</t>
  </si>
  <si>
    <t>Inward Bounce</t>
  </si>
  <si>
    <t>Outward Bounce</t>
  </si>
  <si>
    <t>Lowest ABB of last 6 M</t>
  </si>
  <si>
    <t>Highest ABB of last 6 M</t>
  </si>
  <si>
    <t>Is it a business account</t>
  </si>
  <si>
    <t>Capture amount in lacs</t>
  </si>
  <si>
    <t>BANK 1</t>
  </si>
  <si>
    <t>Account Holder Name</t>
  </si>
  <si>
    <t>Y</t>
  </si>
  <si>
    <t>Type of Account</t>
  </si>
  <si>
    <t>CC/OD Account</t>
  </si>
  <si>
    <t>Sanctioned Limit (in lacs)</t>
  </si>
  <si>
    <t>Month</t>
  </si>
  <si>
    <t>Credits</t>
  </si>
  <si>
    <t>Peak Utilisation Level</t>
  </si>
  <si>
    <t>Utilisation Percentage</t>
  </si>
  <si>
    <t>Nos. of Credit</t>
  </si>
  <si>
    <t>Nos. of Debit</t>
  </si>
  <si>
    <t>Balance on 10th</t>
  </si>
  <si>
    <t>Balance on 20th</t>
  </si>
  <si>
    <t>Balance on 30th/31st</t>
  </si>
  <si>
    <t>Average</t>
  </si>
  <si>
    <t xml:space="preserve">Current Account </t>
  </si>
  <si>
    <t>Saving Account</t>
  </si>
  <si>
    <t>N</t>
  </si>
  <si>
    <t>BANK 2</t>
  </si>
  <si>
    <t>BANK 3</t>
  </si>
  <si>
    <t>No. of CIBIL Enquieris in Last 3 Months</t>
  </si>
  <si>
    <t xml:space="preserve">No. of Cash out loans taken in last 3 months </t>
  </si>
  <si>
    <t>S. No.</t>
  </si>
  <si>
    <t>Bank/FI Name</t>
  </si>
  <si>
    <t>Loan Category</t>
  </si>
  <si>
    <t>Loan Status (Live /Closed / Will be closed / Not to be obligated)</t>
  </si>
  <si>
    <t>Loan Amount (in lacs)</t>
  </si>
  <si>
    <t>EMI / Interest / Instalment  (Rs. Not in lacs)</t>
  </si>
  <si>
    <t>ROI (mandatory for OD/CC)</t>
  </si>
  <si>
    <t>Tenor (in months)</t>
  </si>
  <si>
    <t>Loan Start Date</t>
  </si>
  <si>
    <t>Loan End Date</t>
  </si>
  <si>
    <t>MOB Vintage Months</t>
  </si>
  <si>
    <t>Bank A/c from where EMI validated thru bank statement</t>
  </si>
  <si>
    <t>Others</t>
  </si>
  <si>
    <t>Annual + Admission Fees from Old Students</t>
  </si>
  <si>
    <t>Total Fee</t>
  </si>
  <si>
    <t>Annual Charges + Admission Fees from New Students</t>
  </si>
  <si>
    <t>Gross Receipt</t>
  </si>
  <si>
    <t>Net Receipt</t>
  </si>
  <si>
    <t xml:space="preserve">Loan Amt Requested </t>
  </si>
  <si>
    <t>Tenor (months)</t>
  </si>
  <si>
    <t>Rate</t>
  </si>
  <si>
    <t>Monthly Installment</t>
  </si>
  <si>
    <t>Current Monthly Obligation</t>
  </si>
  <si>
    <t>Input required</t>
  </si>
  <si>
    <t>Formula driven</t>
  </si>
  <si>
    <t>1. Eligibility Based on Assessment</t>
  </si>
  <si>
    <t>Growth in fee %</t>
  </si>
  <si>
    <t>Total Monthly Obligations</t>
  </si>
  <si>
    <t>2. Eligibility Based on Audited financials</t>
  </si>
  <si>
    <t>Value of Cash out loans taken in last 3 months  (INR Lacs)</t>
  </si>
  <si>
    <t>Balance Tenor
(Months)</t>
  </si>
  <si>
    <t>EMI to be considered for obligation</t>
  </si>
  <si>
    <t xml:space="preserve">Evident from ? </t>
  </si>
  <si>
    <t>NA</t>
  </si>
  <si>
    <t>Operational Vintage of the School (in years)</t>
  </si>
  <si>
    <t>Mode of payment (breakup between Cash/Chq/Transfer)</t>
  </si>
  <si>
    <t>Admission fee (incl Annual charges)</t>
  </si>
  <si>
    <t>Re-admission fee (incl Annual charges)</t>
  </si>
  <si>
    <t>Hostel Fee (Annual)</t>
  </si>
  <si>
    <t>Any other Fee (Annual)</t>
  </si>
  <si>
    <t>Total Students in the Current Year</t>
  </si>
  <si>
    <t>Frequency Fee/Charge Collections</t>
  </si>
  <si>
    <t>Chq</t>
  </si>
  <si>
    <t>Transfer</t>
  </si>
  <si>
    <t>Cash to School</t>
  </si>
  <si>
    <t>Count/Rs Value for Fee</t>
  </si>
  <si>
    <t xml:space="preserve">Comment on variance : </t>
  </si>
  <si>
    <t>SECTION # 8</t>
  </si>
  <si>
    <t>SECTION # 9</t>
  </si>
  <si>
    <t>REFERENCE CHECK</t>
  </si>
  <si>
    <t xml:space="preserve">Comments made </t>
  </si>
  <si>
    <t>2. Reference check of Parent(s)</t>
  </si>
  <si>
    <t>SECTION # 10</t>
  </si>
  <si>
    <t xml:space="preserve">School affiliated to ? </t>
  </si>
  <si>
    <t>Management Strength</t>
  </si>
  <si>
    <t>Audited</t>
  </si>
  <si>
    <t>PROFIT AND LOSS ACCOUNT</t>
  </si>
  <si>
    <t>Sales/Receipts</t>
  </si>
  <si>
    <t>Other Income (Business Related)</t>
  </si>
  <si>
    <t>Other Income (Non Business Related)</t>
  </si>
  <si>
    <t>TOTAL INCOME</t>
  </si>
  <si>
    <t>COST OF SALES</t>
  </si>
  <si>
    <t>Opening Stock</t>
  </si>
  <si>
    <t>Purchases</t>
  </si>
  <si>
    <t>Closing Stock</t>
  </si>
  <si>
    <t>Manufacturing Expenses</t>
  </si>
  <si>
    <t>Wages</t>
  </si>
  <si>
    <t>Gross Profit (as per books)</t>
  </si>
  <si>
    <t>Gross Profit (Excl Non Business Income)</t>
  </si>
  <si>
    <t>Administrative Expenses</t>
  </si>
  <si>
    <t>Selling and Distribution Expenses</t>
  </si>
  <si>
    <t>Bank and Finance Charges</t>
  </si>
  <si>
    <t>Salary to partners/directors NOT coming on loan</t>
  </si>
  <si>
    <t>Interest to partners/directors NOT coming on loan</t>
  </si>
  <si>
    <t>EBIDTA (Incl Int on OD/CC)</t>
  </si>
  <si>
    <t>Interest on OD/CC A/c</t>
  </si>
  <si>
    <t>EBIDTA (Excl Int on OD/CC)</t>
  </si>
  <si>
    <t>Interest to FI/Banks (Other than OD/CC A/c)</t>
  </si>
  <si>
    <t>Interest to Pvt/Outside Parties</t>
  </si>
  <si>
    <t>Bad Debts Written Off</t>
  </si>
  <si>
    <t>Other Non Cash Expenditure (Prelim Exp/Def Rev Exp)</t>
  </si>
  <si>
    <t>Salary / Rent paid to Borrowers coming on loan</t>
  </si>
  <si>
    <t>Interest paid to Borrowers coming on loan</t>
  </si>
  <si>
    <t>PBT (as per books)</t>
  </si>
  <si>
    <t>PBT (Excl Non Business Income)</t>
  </si>
  <si>
    <t xml:space="preserve">Tax </t>
  </si>
  <si>
    <t>PAT (as per books)</t>
  </si>
  <si>
    <t>PAT (Excl Non Business Income)</t>
  </si>
  <si>
    <t>Cash Profits (Excl Non Business Income)</t>
  </si>
  <si>
    <t>Actual Cash Profits (CP as above + Sal/Int Borrowers coming on loan)</t>
  </si>
  <si>
    <t>BALANCE SHEET</t>
  </si>
  <si>
    <t>Capital</t>
  </si>
  <si>
    <t>Reserves and Surplus</t>
  </si>
  <si>
    <t>Total Net Worth</t>
  </si>
  <si>
    <t>Unsecured Loans / Quasi Capital (from Directors/shareholders)</t>
  </si>
  <si>
    <t>Adjusted Net Worth</t>
  </si>
  <si>
    <t>Working Capital Limit from Banks/FI</t>
  </si>
  <si>
    <t>Secured Loans (term and vehicle loans etc)</t>
  </si>
  <si>
    <t>Unsecured Loans (from Banks/FI)</t>
  </si>
  <si>
    <t>Unsecured Loans (others)</t>
  </si>
  <si>
    <t xml:space="preserve">Total Outside Borrowing </t>
  </si>
  <si>
    <t>Current Liabilties and Provisions</t>
  </si>
  <si>
    <t>Current Maturity of term loans</t>
  </si>
  <si>
    <t>Deferred Tax Liabilities</t>
  </si>
  <si>
    <t>Other Liabilities</t>
  </si>
  <si>
    <t>Total Liabilities to outsiders</t>
  </si>
  <si>
    <t>LIABILITIES - TOTAL</t>
  </si>
  <si>
    <t>Gross Fixed Assets (Excl Plant and Machinery)</t>
  </si>
  <si>
    <t>Gross Plant and Machinery</t>
  </si>
  <si>
    <t>Accumulated Depreciation</t>
  </si>
  <si>
    <t>Net Fixed Assets</t>
  </si>
  <si>
    <t>Investments (Business related)</t>
  </si>
  <si>
    <t>Investments (Non Business related)</t>
  </si>
  <si>
    <t>Inventories</t>
  </si>
  <si>
    <t>Debtors &gt; 6 months</t>
  </si>
  <si>
    <t>Debtors &lt; 6 months</t>
  </si>
  <si>
    <t>Cash and Bank</t>
  </si>
  <si>
    <t>Deferred Tax Assets</t>
  </si>
  <si>
    <t>Loans and Advances</t>
  </si>
  <si>
    <t>Loans and Advances (Business Related)</t>
  </si>
  <si>
    <t>Loans and Advances (Non Business Related)</t>
  </si>
  <si>
    <t>Miscellaenous Expenditure (to the extent not w/off)/P&amp;L Dr balance</t>
  </si>
  <si>
    <t>ASSETS - TOTAL</t>
  </si>
  <si>
    <t>DIFF -        (Asset - Liabilities)</t>
  </si>
  <si>
    <t>RATIOS</t>
  </si>
  <si>
    <t>Growth in Sales</t>
  </si>
  <si>
    <t>Net Profit Margin Ratio</t>
  </si>
  <si>
    <t>Cash Profit Ratio</t>
  </si>
  <si>
    <t>EBIDTA Ratio</t>
  </si>
  <si>
    <t>Leverage</t>
  </si>
  <si>
    <t>Interest Coverage Ratio</t>
  </si>
  <si>
    <t>Debtor Days</t>
  </si>
  <si>
    <t>Stock Days</t>
  </si>
  <si>
    <t>Creditors Days</t>
  </si>
  <si>
    <t>Net Working Capital Cycle</t>
  </si>
  <si>
    <t>Current Ratio (CL incl OD/CC)</t>
  </si>
  <si>
    <t>CASH FLOW STATEMENT</t>
  </si>
  <si>
    <t>CASH FLOW FROM OPERATIONS</t>
  </si>
  <si>
    <t>Profit After Tax (Excluding Non-Operating Income)</t>
  </si>
  <si>
    <t>Add back: Depreciation</t>
  </si>
  <si>
    <t>Add back: Non Cash exps written off (Prelim Exp/Def Rev)</t>
  </si>
  <si>
    <t>NET CASH ACCRUALS</t>
  </si>
  <si>
    <t>Decrease / (Increase) in current assets</t>
  </si>
  <si>
    <t>Increase / (Decrease) in current liabilities</t>
  </si>
  <si>
    <t>Cash generated from Operations                   (A)</t>
  </si>
  <si>
    <t>Non Operating Income                                     (B)</t>
  </si>
  <si>
    <t>CASH FLOW FROM INVESTING ACTIVITIES</t>
  </si>
  <si>
    <t>Sale/ (Purchase) of Fixed Assets</t>
  </si>
  <si>
    <t>Decrease / (Increase) in investments / Loans &amp; Advances (Business related)</t>
  </si>
  <si>
    <t>Decrease / (Increase) in investments / Loans &amp; Advances (Non Business related)</t>
  </si>
  <si>
    <t xml:space="preserve">Net Cash used in investing activities   (C) </t>
  </si>
  <si>
    <t>CASH FLOW FROM FINANCING ACTIVITIES</t>
  </si>
  <si>
    <t>Increase / (Decrease) in Secured loans</t>
  </si>
  <si>
    <t>Increase / (Decrease) in Unsecured loans</t>
  </si>
  <si>
    <t>Increase / (Decrease) in working capital</t>
  </si>
  <si>
    <t>Increase / (Decrease) in networth</t>
  </si>
  <si>
    <t>Increase / (Decrease) in Funds from partners/director (unsecured loans)</t>
  </si>
  <si>
    <t>Net Cash used in financing activities     (D)</t>
  </si>
  <si>
    <t>Net Increase in cash and cash equivalents   (A+B+C+D)</t>
  </si>
  <si>
    <t>Cash Opening Balance</t>
  </si>
  <si>
    <t>Closing Balance</t>
  </si>
  <si>
    <t>Difference ---- should be zero</t>
  </si>
  <si>
    <t>Comment - on variance</t>
  </si>
  <si>
    <t>Default EMI Date
(pl mention calendar date)</t>
  </si>
  <si>
    <t>Transportation Charges</t>
  </si>
  <si>
    <t>Average Transport Charges</t>
  </si>
  <si>
    <t>Assessed Fee as a factor of Declared Fee
(where applicable)</t>
  </si>
  <si>
    <t>Cash Book</t>
  </si>
  <si>
    <t>BTO</t>
  </si>
  <si>
    <t>Annualised Credits (in lacs)</t>
  </si>
  <si>
    <t>DSA Name</t>
  </si>
  <si>
    <t>Sales Manager Name</t>
  </si>
  <si>
    <t>Resi Owned</t>
  </si>
  <si>
    <t>Resi Stability</t>
  </si>
  <si>
    <t>Office Owned</t>
  </si>
  <si>
    <t>Office Stability</t>
  </si>
  <si>
    <t>Residence Address</t>
  </si>
  <si>
    <t>Office Address</t>
  </si>
  <si>
    <t>Contact Number</t>
  </si>
  <si>
    <t xml:space="preserve">Comment on Catchment Area of School - </t>
  </si>
  <si>
    <t>How does the school compare with other schools in the vicinity and what is its USP</t>
  </si>
  <si>
    <t>STUDENT AND FEE DETAILS</t>
  </si>
  <si>
    <t>FCU/RCU</t>
  </si>
  <si>
    <t>Dedupe/ Posidex</t>
  </si>
  <si>
    <t xml:space="preserve">Overall Risk Rating as per AML Guideline </t>
  </si>
  <si>
    <t>Promoter Background &amp; Succession</t>
  </si>
  <si>
    <t>LTV</t>
  </si>
  <si>
    <t>Legal Status</t>
  </si>
  <si>
    <t>Property Type and Address</t>
  </si>
  <si>
    <t>Monthly Tution Fees</t>
  </si>
  <si>
    <t>Other Charges ( Books+Uniform etc)</t>
  </si>
  <si>
    <t>Comments on property/Remarks by Valuer</t>
  </si>
  <si>
    <t>Transaction Rationale</t>
  </si>
  <si>
    <t>Transaction Summary</t>
  </si>
  <si>
    <t>Proposed Loan Amount (Rs Lacs)</t>
  </si>
  <si>
    <t>LTV %</t>
  </si>
  <si>
    <t>Interest Rate %</t>
  </si>
  <si>
    <t>If BT (name of FI)</t>
  </si>
  <si>
    <t>Top Up Amt (Rs Lac)</t>
  </si>
  <si>
    <t>Mitigant</t>
  </si>
  <si>
    <t>DSCR (current academic yr.)</t>
  </si>
  <si>
    <t>Assessment Methodology</t>
  </si>
  <si>
    <t>Risks</t>
  </si>
  <si>
    <t>Risks &amp; Mitigants</t>
  </si>
  <si>
    <t>Financial Comments/ Income assessment comment done by CA/Self</t>
  </si>
  <si>
    <t>RTR Details</t>
  </si>
  <si>
    <t>Banking Analysis</t>
  </si>
  <si>
    <t>SECTION # 6 - Technical and Legal</t>
  </si>
  <si>
    <t>Save Risk</t>
  </si>
  <si>
    <t>Loan Structure
(Applicant/ Co-applicant)</t>
  </si>
  <si>
    <t xml:space="preserve">Name of the Main Applicant </t>
  </si>
  <si>
    <t>Due Diligence Checks</t>
  </si>
  <si>
    <t>CPV - Residence and School (where applicable)</t>
  </si>
  <si>
    <t>Is Trsut/Scoiety enjoying expemtion u/s 12 AA</t>
  </si>
  <si>
    <t>Credit Manager Name</t>
  </si>
  <si>
    <t>SECTION # 11  - Customer Contactability Details</t>
  </si>
  <si>
    <t>DEVIATION GRID FOR LOAN AGAINST PROPERTY | EDI | Purchase of Commercial / Industrial Property</t>
  </si>
  <si>
    <t>Description</t>
  </si>
  <si>
    <t>ACM</t>
  </si>
  <si>
    <t>RCM</t>
  </si>
  <si>
    <t>NCM</t>
  </si>
  <si>
    <t>CRO</t>
  </si>
  <si>
    <t>Property mortgaged in negative area</t>
  </si>
  <si>
    <t>Property insurance not available</t>
  </si>
  <si>
    <t xml:space="preserve"> Business stability lower than norm</t>
  </si>
  <si>
    <t>Higher LTV than norms (across program type except K12)</t>
  </si>
  <si>
    <t>Higher LTV than norms for K-12</t>
  </si>
  <si>
    <t>5% addl</t>
  </si>
  <si>
    <t>10% addl</t>
  </si>
  <si>
    <t>70% for K-12</t>
  </si>
  <si>
    <t>DSCR lower than norms on Vanilla Prg</t>
  </si>
  <si>
    <t>DSCR lower than norms on LIP/GT</t>
  </si>
  <si>
    <t>Upto 1.0</t>
  </si>
  <si>
    <t>Higher tenor than norms</t>
  </si>
  <si>
    <t>Loan higher than program cap ( Alternate Income Prg)</t>
  </si>
  <si>
    <t>Negative FCI - Office / residence</t>
  </si>
  <si>
    <t>Higher number of co-appl for income eligibility</t>
  </si>
  <si>
    <t>Funding to negative profile</t>
  </si>
  <si>
    <t>ABB norms not met</t>
  </si>
  <si>
    <t>Higher Chq returns / higher Min balances charges - I/w /O/w</t>
  </si>
  <si>
    <t>Upto 4%</t>
  </si>
  <si>
    <t>More than 4%</t>
  </si>
  <si>
    <t>Min income not meeting norm</t>
  </si>
  <si>
    <t>Property outside Municipal limit (except EDI)</t>
  </si>
  <si>
    <t xml:space="preserve">Less than 51% shareholders on the loan structure </t>
  </si>
  <si>
    <t xml:space="preserve">LIP override done by Underwriter </t>
  </si>
  <si>
    <t>Breach in Financial Ratios (Negative Adjusted Networth/Cash Loss  )</t>
  </si>
  <si>
    <t>Dip in Turnover in the Latest financial year</t>
  </si>
  <si>
    <t>Other Income more than Business Income</t>
  </si>
  <si>
    <t>Income ownership Norms not met</t>
  </si>
  <si>
    <t>Referred FCU (any document)</t>
  </si>
  <si>
    <t>Norms on min Interest Coverage/Leverage not met</t>
  </si>
  <si>
    <t>Other deviations not defined( Exception Deviations)</t>
  </si>
  <si>
    <t>Networth coverage</t>
  </si>
  <si>
    <t>Less than 0.5x</t>
  </si>
  <si>
    <t>% fee evident in banking</t>
  </si>
  <si>
    <t>*Few more members are also there</t>
  </si>
  <si>
    <t>School -2</t>
  </si>
  <si>
    <t>L.K.G.</t>
  </si>
  <si>
    <t>U.K.G.</t>
  </si>
  <si>
    <t>State Board</t>
  </si>
  <si>
    <t>Hostel Fee</t>
  </si>
  <si>
    <t>Students</t>
  </si>
  <si>
    <t>Fee</t>
  </si>
  <si>
    <t>Total Fees</t>
  </si>
  <si>
    <t>XI Arts</t>
  </si>
  <si>
    <t>XI Comm.</t>
  </si>
  <si>
    <t>XI Science</t>
  </si>
  <si>
    <t>XII Comm.</t>
  </si>
  <si>
    <t>XII Arts</t>
  </si>
  <si>
    <t>XII Science</t>
  </si>
  <si>
    <t xml:space="preserve">1. Reference check taken from : </t>
  </si>
  <si>
    <t>Average Charges</t>
  </si>
  <si>
    <t xml:space="preserve">Value Considered - </t>
  </si>
  <si>
    <t xml:space="preserve">Valuation 2 - </t>
  </si>
  <si>
    <t>Valuation 1 -</t>
  </si>
  <si>
    <t xml:space="preserve">Variation - </t>
  </si>
  <si>
    <t>Covenant tracking: -</t>
  </si>
  <si>
    <t>Hindi</t>
  </si>
  <si>
    <t>SCHOOL - 2</t>
  </si>
  <si>
    <t>K-12 Scorecard</t>
  </si>
  <si>
    <t>Profile of the School &amp; Management - Wtd 40%</t>
  </si>
  <si>
    <t>Input</t>
  </si>
  <si>
    <t>Bands</t>
  </si>
  <si>
    <t>Score</t>
  </si>
  <si>
    <t>Max</t>
  </si>
  <si>
    <t>Min</t>
  </si>
  <si>
    <t>Avg</t>
  </si>
  <si>
    <t>Wtd</t>
  </si>
  <si>
    <t>School Since (yrs)</t>
  </si>
  <si>
    <t>&gt; 15 yrs</t>
  </si>
  <si>
    <t>Upto 7 yrs</t>
  </si>
  <si>
    <t>7 - 10 yrs</t>
  </si>
  <si>
    <t>10 - 15 yrs</t>
  </si>
  <si>
    <t>Whether Trust is running College - Engg/MBA , B.ed college etc</t>
  </si>
  <si>
    <t>Growth in Students over prv year</t>
  </si>
  <si>
    <t>5%-10%</t>
  </si>
  <si>
    <t>10%-15%</t>
  </si>
  <si>
    <t>&gt;15%</t>
  </si>
  <si>
    <t>Medium of Instruction</t>
  </si>
  <si>
    <t>Local Language</t>
  </si>
  <si>
    <t>English</t>
  </si>
  <si>
    <t>Age of the Main Applicant</t>
  </si>
  <si>
    <t>Upto 35 yrs</t>
  </si>
  <si>
    <t>35 - 40</t>
  </si>
  <si>
    <t>40 - 50</t>
  </si>
  <si>
    <t>&gt; 50 yrs</t>
  </si>
  <si>
    <t xml:space="preserve">Are the Trustee involved in the day to day running of the school ? </t>
  </si>
  <si>
    <t xml:space="preserve">Are they main trustee educationalists ? </t>
  </si>
  <si>
    <t>Where Affliation is available for Current and Next yr ?</t>
  </si>
  <si>
    <t>Number of Students</t>
  </si>
  <si>
    <t>Upto 400</t>
  </si>
  <si>
    <t>Upto 800</t>
  </si>
  <si>
    <t>Upto 1200</t>
  </si>
  <si>
    <t xml:space="preserve">&gt; 1200 </t>
  </si>
  <si>
    <t>Maximum Class (with Students)</t>
  </si>
  <si>
    <t>Upto 8th</t>
  </si>
  <si>
    <t xml:space="preserve">Upto 10th </t>
  </si>
  <si>
    <t xml:space="preserve">Upto 12th </t>
  </si>
  <si>
    <t>Recognition</t>
  </si>
  <si>
    <t>Central Board(s) - ICSE/CBSE</t>
  </si>
  <si>
    <t>International Board</t>
  </si>
  <si>
    <t>Vintage of the Principal</t>
  </si>
  <si>
    <t>Less than 1 yr</t>
  </si>
  <si>
    <t>1 - 3 yrs</t>
  </si>
  <si>
    <t>3 - 5 yrs</t>
  </si>
  <si>
    <t>&gt; 5 yrs</t>
  </si>
  <si>
    <t>Pass %age of the Highest Class</t>
  </si>
  <si>
    <t>Upto 80%</t>
  </si>
  <si>
    <t>80%-85%</t>
  </si>
  <si>
    <t>85%-90%</t>
  </si>
  <si>
    <t>&gt; 90%</t>
  </si>
  <si>
    <t>Subtotal</t>
  </si>
  <si>
    <t>Credit Bureau Filter - Wtd 10%</t>
  </si>
  <si>
    <t>Bureau Score (CIBIL V2)</t>
  </si>
  <si>
    <t>&lt; 650</t>
  </si>
  <si>
    <t>650 - 700 or NTC</t>
  </si>
  <si>
    <t>700 - 750</t>
  </si>
  <si>
    <t>&gt; 750</t>
  </si>
  <si>
    <t>DPD reported &gt; 30 days in the last 18 months</t>
  </si>
  <si>
    <t>NIL</t>
  </si>
  <si>
    <t>upto 2 times</t>
  </si>
  <si>
    <t>more than 2</t>
  </si>
  <si>
    <t>Nos of Write Off / Settlement (Ever)</t>
  </si>
  <si>
    <t>upto 2</t>
  </si>
  <si>
    <t>Serviced Secured Loan (Ever)</t>
  </si>
  <si>
    <t>Bureau policy excludes default in Credit Card, Agri Loan and Gold Loan</t>
  </si>
  <si>
    <t>Collateral - Wtd 20%</t>
  </si>
  <si>
    <t>Collateral Classification</t>
  </si>
  <si>
    <t>Converted with NOC from DTCP</t>
  </si>
  <si>
    <t>Fully Techinical Compliant</t>
  </si>
  <si>
    <t>Type of Collateral</t>
  </si>
  <si>
    <t>Residential</t>
  </si>
  <si>
    <t>Commercial</t>
  </si>
  <si>
    <t>School Building</t>
  </si>
  <si>
    <t>School building Ownership</t>
  </si>
  <si>
    <t>Rented (3rd Party)</t>
  </si>
  <si>
    <t>Rented (Trustee Owned)</t>
  </si>
  <si>
    <t>School Owned</t>
  </si>
  <si>
    <t>Property Being Offered</t>
  </si>
  <si>
    <t>Part School Collateral</t>
  </si>
  <si>
    <t>Complete Collateral</t>
  </si>
  <si>
    <t>Financial &amp; Banking Strenght - Wtd 30%</t>
  </si>
  <si>
    <t>EDBITA Margin as per latest yr</t>
  </si>
  <si>
    <t>upto 15%</t>
  </si>
  <si>
    <t>15% - 25%</t>
  </si>
  <si>
    <t>25% - 35%</t>
  </si>
  <si>
    <t>&gt; 35%</t>
  </si>
  <si>
    <t>Is Hostel Fee also being collected ?</t>
  </si>
  <si>
    <t>Is Transportation owned by the School/Trust/Trustee ?</t>
  </si>
  <si>
    <t>No - outsourced to 3rd party</t>
  </si>
  <si>
    <t>%age fee being Collected in Cash</t>
  </si>
  <si>
    <t>upto 25%</t>
  </si>
  <si>
    <t>upto 50%</t>
  </si>
  <si>
    <t>upto 75%</t>
  </si>
  <si>
    <t>&gt; 75%</t>
  </si>
  <si>
    <t>Actual</t>
  </si>
  <si>
    <t>Whether Affliation is available for Current and Next yr ?</t>
  </si>
  <si>
    <t>Affiliation Available until ?</t>
  </si>
  <si>
    <t>Vintage of the Principal (at the school) in yrs</t>
  </si>
  <si>
    <t>Excludes default in Credit Card, Agri Loan and Gold Loan</t>
  </si>
  <si>
    <t>Total Score</t>
  </si>
  <si>
    <t>Type of Collateral Being Offered</t>
  </si>
  <si>
    <t>Technical Compliance</t>
  </si>
  <si>
    <t>Is Trust/Society additionally running College - Engg/MBA , B.ed college etc ?</t>
  </si>
  <si>
    <t>Mandtory Fields</t>
  </si>
  <si>
    <r>
      <t xml:space="preserve">PD Date </t>
    </r>
    <r>
      <rPr>
        <sz val="11"/>
        <rFont val="Calibri"/>
        <family val="2"/>
      </rPr>
      <t>(DD-MM-YYYY)</t>
    </r>
  </si>
  <si>
    <t>MET</t>
  </si>
  <si>
    <t>NOT MET</t>
  </si>
  <si>
    <t>REVISED DEVIATION GRID FOR EDI </t>
  </si>
  <si>
    <t>Risk Layering (Y/N)</t>
  </si>
  <si>
    <t>ZCM</t>
  </si>
  <si>
    <t>Upto 1.10</t>
  </si>
  <si>
    <t>Upto 1</t>
  </si>
  <si>
    <t>Higher Chq returns / higher Min balances charges - I/w /O/w ( Basis last 12 months Banking)</t>
  </si>
  <si>
    <t>Less than 51% shareholders on the loan structure / Key Trustee not coming on Loan structure</t>
  </si>
  <si>
    <t>Dip in Fees in the Latest financial year</t>
  </si>
  <si>
    <t>Upto 5%</t>
  </si>
  <si>
    <t>More than 5%</t>
  </si>
  <si>
    <t>Networth coverage in EDI</t>
  </si>
  <si>
    <t>Age more than norms</t>
  </si>
  <si>
    <t>Negative CIBIL ( Consumer and Commercial)/ RTR bounce norms not met</t>
  </si>
  <si>
    <t>FCU-FD</t>
  </si>
  <si>
    <t>FCU Head + NCM</t>
  </si>
  <si>
    <t>DSCR lower than norms on LIP (Applicable only for above 2 Cr Program)</t>
  </si>
  <si>
    <t>EBIDTA margin override done basis LIP reprot ( &gt; 30% Margin taken in LIP) (Applicable only for above 2 Cr Program)</t>
  </si>
  <si>
    <t>DSCR lower than norms on reported income</t>
  </si>
  <si>
    <t>% fee evident in banking (Applicable for above 2 Cr)</t>
  </si>
  <si>
    <t>Upto 35% for Exposure upto INR 2 Cr to INR 5 Cr</t>
  </si>
  <si>
    <t>Less than 35%</t>
  </si>
  <si>
    <t>Program Type</t>
  </si>
  <si>
    <t>Segment Type</t>
  </si>
  <si>
    <t>Collection Efficiency</t>
  </si>
  <si>
    <t>EBIDTA (As per Policy)</t>
  </si>
  <si>
    <t>EBIDTA (Rs)</t>
  </si>
  <si>
    <t>Unsec Segmt A</t>
  </si>
  <si>
    <t>Unsec Segmt B</t>
  </si>
  <si>
    <t>Unsec Segmt C (prefect Title)</t>
  </si>
  <si>
    <t>Unsec Segmt C (Imperfect Title)</t>
  </si>
  <si>
    <t>Coll Eff</t>
  </si>
  <si>
    <t>EBDITA</t>
  </si>
  <si>
    <t>Secured Risk Score 0</t>
  </si>
  <si>
    <t>Secured Risk Score 1</t>
  </si>
  <si>
    <t>Secured Risk Score 2</t>
  </si>
  <si>
    <t>DSCR - Condition</t>
  </si>
  <si>
    <t>Less for discount / Collection efficiency</t>
  </si>
  <si>
    <t>RISK BAND (for Secured Loans)</t>
  </si>
  <si>
    <t>Color denotes ------&gt;</t>
  </si>
  <si>
    <t>DSCR (on Assessment)</t>
  </si>
  <si>
    <t>DSCR (as per reported)</t>
  </si>
  <si>
    <t>LTV % (where applicable)</t>
  </si>
  <si>
    <t>DSCR (previous academic yr.)</t>
  </si>
  <si>
    <t>DSCR (as reported financial)</t>
  </si>
  <si>
    <t>Total income (EBIDTA)</t>
  </si>
  <si>
    <t>In Rs Lacs</t>
  </si>
  <si>
    <t>Reported EBDITA%</t>
  </si>
  <si>
    <t>Valuation (in Rs Lacs)</t>
  </si>
  <si>
    <t>LTV%</t>
  </si>
  <si>
    <t>Key Valuation Comments</t>
  </si>
  <si>
    <t>SCORE (for Secured Loan upto INR 2 Cr)</t>
  </si>
  <si>
    <t>CAM Version Jul'19_V1</t>
  </si>
  <si>
    <t>CO-APPLICANT</t>
  </si>
  <si>
    <t>Clix Enquiry in CIBIL</t>
  </si>
  <si>
    <t>CIBIL defaults</t>
  </si>
  <si>
    <t>Payment to Dhirainder Singh</t>
  </si>
  <si>
    <t>NUR</t>
  </si>
  <si>
    <t>Only School Property</t>
  </si>
  <si>
    <t>Fully Compliant</t>
  </si>
  <si>
    <t>Verified</t>
  </si>
  <si>
    <t>No Records found</t>
  </si>
  <si>
    <t>Same to be positive</t>
  </si>
  <si>
    <t>OGL for Agency. PD was done at School premises and Resi Visit to be done by FTE.</t>
  </si>
  <si>
    <t>Collection Efficiency Considered</t>
  </si>
  <si>
    <t xml:space="preserve">SCHOOL - 1 -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</si>
</sst>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00_);_(* \(#,##0.00\);_(* &quot;-&quot;??_);_(@_)"/>
    <numFmt numFmtId="165" formatCode="#,##0.00\ ;&quot; (&quot;#,##0.00\);&quot; -&quot;#\ ;@\ "/>
    <numFmt numFmtId="166" formatCode="#,##0.00\ ;&quot; (&quot;#,##0.00\);&quot; - &quot;;@\ "/>
    <numFmt numFmtId="167" formatCode="#,##0\ ;&quot; (&quot;#,##0\);&quot; - &quot;;@\ "/>
    <numFmt numFmtId="168" formatCode="_(* #,##0_);_(* \(#,##0\);_(* &quot;-&quot;??_);_(@_)"/>
    <numFmt numFmtId="169" formatCode="0.0"/>
    <numFmt numFmtId="170" formatCode="0.00_);\(0.00\)"/>
    <numFmt numFmtId="171" formatCode="0.00000"/>
    <numFmt numFmtId="172" formatCode="0.0000_)"/>
    <numFmt numFmtId="173" formatCode="_ * #,##0.00_ ;_ * \-#,##0.00_ ;_ * \-??_ ;_ @_ "/>
    <numFmt numFmtId="174" formatCode="_ &quot;Rs. &quot;* #,##0_ ;_ &quot;Rs. &quot;* \-#,##0_ ;_ &quot;Rs. &quot;* \-_ ;_ @_ "/>
    <numFmt numFmtId="175" formatCode="* #,##0\ ;* \(#,##0\);* \-#\ ;@\ "/>
    <numFmt numFmtId="176" formatCode="[$-409]mmm\-yy;@"/>
    <numFmt numFmtId="177" formatCode="[$-409]d\-mmm\-yy;@"/>
    <numFmt numFmtId="178" formatCode="0.00_);[Red]\(0.00\)"/>
    <numFmt numFmtId="179" formatCode="0.0%"/>
  </numFmts>
  <fonts count="72">
    <font>
      <sz val="10"/>
      <name val="Arial"/>
      <family val="2"/>
    </font>
    <font>
      <sz val="11"/>
      <color theme="1"/>
      <name val="Calibri"/>
      <family val="2"/>
    </font>
    <font>
      <sz val="11"/>
      <color theme="1"/>
      <name val="Calibri"/>
      <family val="2"/>
    </font>
    <font>
      <sz val="11"/>
      <color theme="1"/>
      <name val="Calibri"/>
      <family val="2"/>
      <scheme val="minor"/>
    </font>
    <font>
      <sz val="11"/>
      <color theme="1"/>
      <name val="Calibri"/>
      <family val="2"/>
      <scheme val="minor"/>
    </font>
    <font>
      <b/>
      <sz val="10"/>
      <name val="Arial"/>
      <family val="2"/>
    </font>
    <font>
      <b/>
      <u/>
      <sz val="10"/>
      <name val="Arial"/>
      <family val="2"/>
    </font>
    <font>
      <u/>
      <sz val="10"/>
      <name val="Arial"/>
      <family val="2"/>
    </font>
    <font>
      <sz val="10"/>
      <name val="Arial"/>
      <family val="2"/>
    </font>
    <font>
      <sz val="11"/>
      <color theme="1"/>
      <name val="Calibri"/>
      <family val="2"/>
      <scheme val="minor"/>
    </font>
    <font>
      <b/>
      <sz val="11"/>
      <color theme="1"/>
      <name val="Calibri"/>
      <family val="2"/>
      <scheme val="minor"/>
    </font>
    <font>
      <b/>
      <sz val="9"/>
      <name val="Arial"/>
      <family val="2"/>
    </font>
    <font>
      <sz val="9"/>
      <name val="Arial"/>
      <family val="2"/>
    </font>
    <font>
      <b/>
      <sz val="11"/>
      <name val="Arial"/>
      <family val="2"/>
    </font>
    <font>
      <sz val="10"/>
      <name val="Arial"/>
      <family val="2"/>
    </font>
    <font>
      <b/>
      <sz val="12"/>
      <name val="Arial"/>
      <family val="2"/>
    </font>
    <font>
      <b/>
      <u/>
      <sz val="12"/>
      <name val="Arial"/>
      <family val="2"/>
    </font>
    <font>
      <sz val="12"/>
      <name val="Arial"/>
      <family val="2"/>
    </font>
    <font>
      <b/>
      <sz val="10"/>
      <color indexed="58"/>
      <name val="Arial"/>
      <family val="2"/>
    </font>
    <font>
      <sz val="11"/>
      <color indexed="8"/>
      <name val="Calibri"/>
      <family val="2"/>
    </font>
    <font>
      <sz val="10"/>
      <color indexed="8"/>
      <name val="Arial"/>
      <family val="2"/>
    </font>
    <font>
      <b/>
      <sz val="10"/>
      <color indexed="8"/>
      <name val="Arial"/>
      <family val="2"/>
    </font>
    <font>
      <b/>
      <sz val="10"/>
      <name val="Bitstream Vera Sans"/>
      <family val="2"/>
    </font>
    <font>
      <sz val="10"/>
      <name val="Bitstream Vera Sans"/>
      <family val="2"/>
    </font>
    <font>
      <sz val="10"/>
      <name val="Zurich BT"/>
      <family val="2"/>
    </font>
    <font>
      <b/>
      <sz val="10"/>
      <color indexed="8"/>
      <name val="Bitstream Vera Sans"/>
      <family val="2"/>
    </font>
    <font>
      <b/>
      <sz val="11"/>
      <color indexed="8"/>
      <name val="Calibri"/>
      <family val="2"/>
    </font>
    <font>
      <b/>
      <sz val="11"/>
      <color theme="0"/>
      <name val="Calibri"/>
      <family val="2"/>
    </font>
    <font>
      <i/>
      <sz val="11"/>
      <color indexed="8"/>
      <name val="Calibri"/>
      <family val="2"/>
    </font>
    <font>
      <b/>
      <sz val="11"/>
      <color indexed="9"/>
      <name val="Calibri"/>
      <family val="2"/>
      <charset val="134"/>
    </font>
    <font>
      <b/>
      <i/>
      <sz val="11"/>
      <color indexed="9"/>
      <name val="Calibri"/>
      <family val="2"/>
      <charset val="134"/>
    </font>
    <font>
      <sz val="9"/>
      <color indexed="9"/>
      <name val="Calibri"/>
      <family val="2"/>
      <charset val="134"/>
    </font>
    <font>
      <sz val="9"/>
      <color indexed="8"/>
      <name val="Calibri"/>
      <family val="2"/>
      <charset val="134"/>
    </font>
    <font>
      <b/>
      <sz val="9"/>
      <color indexed="8"/>
      <name val="Calibri"/>
      <family val="2"/>
      <charset val="134"/>
    </font>
    <font>
      <b/>
      <sz val="11"/>
      <color indexed="10"/>
      <name val="Calibri"/>
      <family val="2"/>
      <charset val="134"/>
    </font>
    <font>
      <sz val="11"/>
      <color indexed="10"/>
      <name val="Calibri"/>
      <family val="2"/>
      <charset val="134"/>
    </font>
    <font>
      <sz val="9"/>
      <color indexed="8"/>
      <name val="Calibri"/>
      <family val="2"/>
    </font>
    <font>
      <i/>
      <sz val="9"/>
      <name val="Calibri"/>
      <family val="2"/>
      <charset val="134"/>
    </font>
    <font>
      <b/>
      <sz val="9"/>
      <color indexed="8"/>
      <name val="Calibri"/>
      <family val="2"/>
    </font>
    <font>
      <sz val="11"/>
      <color indexed="8"/>
      <name val="Calibri"/>
      <family val="2"/>
    </font>
    <font>
      <sz val="9"/>
      <color indexed="9"/>
      <name val="Calibri"/>
      <family val="2"/>
    </font>
    <font>
      <b/>
      <sz val="9"/>
      <name val="Calibri"/>
      <family val="2"/>
    </font>
    <font>
      <sz val="9"/>
      <color indexed="8"/>
      <name val="Calibri"/>
      <family val="2"/>
    </font>
    <font>
      <b/>
      <sz val="9"/>
      <color indexed="8"/>
      <name val="Calibri"/>
      <family val="2"/>
    </font>
    <font>
      <sz val="10"/>
      <name val="Calibri"/>
      <family val="2"/>
      <scheme val="minor"/>
    </font>
    <font>
      <b/>
      <sz val="10"/>
      <name val="Calibri"/>
      <family val="2"/>
      <scheme val="minor"/>
    </font>
    <font>
      <sz val="9"/>
      <color indexed="8"/>
      <name val="Calibri"/>
      <family val="2"/>
      <scheme val="minor"/>
    </font>
    <font>
      <b/>
      <sz val="11"/>
      <name val="Calibri"/>
      <family val="2"/>
      <scheme val="minor"/>
    </font>
    <font>
      <sz val="11"/>
      <color indexed="8"/>
      <name val="Calibri"/>
      <family val="2"/>
      <scheme val="minor"/>
    </font>
    <font>
      <sz val="11"/>
      <name val="Calibri"/>
      <family val="2"/>
      <scheme val="minor"/>
    </font>
    <font>
      <b/>
      <sz val="11"/>
      <color indexed="8"/>
      <name val="Calibri"/>
      <family val="2"/>
      <scheme val="minor"/>
    </font>
    <font>
      <b/>
      <i/>
      <sz val="11"/>
      <name val="Calibri"/>
      <family val="2"/>
      <scheme val="minor"/>
    </font>
    <font>
      <sz val="11"/>
      <color rgb="FF000000"/>
      <name val="Calibri"/>
      <family val="2"/>
    </font>
    <font>
      <b/>
      <i/>
      <sz val="11"/>
      <color indexed="8"/>
      <name val="Calibri"/>
      <family val="2"/>
    </font>
    <font>
      <b/>
      <sz val="11"/>
      <color rgb="FF000000"/>
      <name val="Calibri"/>
      <family val="2"/>
    </font>
    <font>
      <b/>
      <sz val="11"/>
      <color rgb="FFFF0000"/>
      <name val="Calibri"/>
      <family val="2"/>
      <scheme val="minor"/>
    </font>
    <font>
      <b/>
      <sz val="14"/>
      <color indexed="8"/>
      <name val="Calibri"/>
      <family val="2"/>
    </font>
    <font>
      <i/>
      <sz val="11"/>
      <name val="Calibri"/>
      <family val="2"/>
    </font>
    <font>
      <sz val="11"/>
      <name val="Calibri"/>
      <family val="2"/>
    </font>
    <font>
      <sz val="9"/>
      <color rgb="FF000000"/>
      <name val="Calibri"/>
      <family val="2"/>
      <charset val="1"/>
    </font>
    <font>
      <sz val="9"/>
      <color rgb="FFFF0000"/>
      <name val="Calibri"/>
      <family val="2"/>
      <charset val="134"/>
    </font>
    <font>
      <sz val="9"/>
      <name val="Calibri"/>
      <family val="2"/>
      <charset val="134"/>
    </font>
    <font>
      <b/>
      <sz val="11"/>
      <color theme="1"/>
      <name val="Calibri"/>
      <family val="2"/>
    </font>
    <font>
      <b/>
      <sz val="18"/>
      <color theme="1"/>
      <name val="Calibri"/>
      <family val="2"/>
    </font>
    <font>
      <i/>
      <sz val="11"/>
      <color theme="1"/>
      <name val="Calibri"/>
      <family val="2"/>
    </font>
    <font>
      <i/>
      <sz val="10"/>
      <name val="Calibri"/>
      <family val="2"/>
      <scheme val="minor"/>
    </font>
    <font>
      <sz val="10"/>
      <color rgb="FF000000"/>
      <name val="Verdana"/>
      <family val="2"/>
    </font>
    <font>
      <b/>
      <sz val="11"/>
      <color rgb="FF000000"/>
      <name val="Calibri"/>
      <family val="2"/>
      <scheme val="minor"/>
    </font>
    <font>
      <sz val="11"/>
      <color rgb="FF000000"/>
      <name val="Calibri"/>
      <family val="2"/>
      <scheme val="minor"/>
    </font>
    <font>
      <sz val="11"/>
      <color theme="0"/>
      <name val="Calibri"/>
      <family val="2"/>
      <scheme val="minor"/>
    </font>
    <font>
      <b/>
      <sz val="12"/>
      <color theme="3" tint="-0.249977111117893"/>
      <name val="Calibri"/>
      <family val="2"/>
    </font>
    <font>
      <u/>
      <sz val="10"/>
      <color theme="10"/>
      <name val="Arial"/>
      <family val="2"/>
    </font>
  </fonts>
  <fills count="33">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31"/>
        <bgColor indexed="22"/>
      </patternFill>
    </fill>
    <fill>
      <patternFill patternType="solid">
        <fgColor theme="1"/>
        <bgColor indexed="64"/>
      </patternFill>
    </fill>
    <fill>
      <patternFill patternType="solid">
        <fgColor indexed="6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
      <patternFill patternType="solid">
        <fgColor indexed="13"/>
        <bgColor indexed="64"/>
      </patternFill>
    </fill>
    <fill>
      <patternFill patternType="solid">
        <fgColor indexed="4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9"/>
        <bgColor indexed="64"/>
      </patternFill>
    </fill>
    <fill>
      <patternFill patternType="solid">
        <fgColor theme="9" tint="0.59999389629810485"/>
        <bgColor indexed="64"/>
      </patternFill>
    </fill>
    <fill>
      <patternFill patternType="solid">
        <fgColor rgb="FFFFFF66"/>
        <bgColor indexed="64"/>
      </patternFill>
    </fill>
    <fill>
      <patternFill patternType="solid">
        <fgColor theme="0" tint="-0.14999847407452621"/>
        <bgColor indexed="22"/>
      </patternFill>
    </fill>
    <fill>
      <patternFill patternType="solid">
        <fgColor indexed="31"/>
        <bgColor indexed="64"/>
      </patternFill>
    </fill>
    <fill>
      <patternFill patternType="solid">
        <fgColor rgb="FFFFC000"/>
        <bgColor indexed="64"/>
      </patternFill>
    </fill>
    <fill>
      <patternFill patternType="solid">
        <fgColor theme="0"/>
        <bgColor indexed="64"/>
      </patternFill>
    </fill>
    <fill>
      <patternFill patternType="solid">
        <fgColor theme="3" tint="0.79998168889431442"/>
        <bgColor indexed="64"/>
      </patternFill>
    </fill>
    <fill>
      <patternFill patternType="solid">
        <fgColor rgb="FF92CDDC"/>
        <bgColor indexed="64"/>
      </patternFill>
    </fill>
    <fill>
      <patternFill patternType="solid">
        <fgColor rgb="FFFFFFFF"/>
        <bgColor indexed="64"/>
      </patternFill>
    </fill>
    <fill>
      <patternFill patternType="solid">
        <fgColor theme="3" tint="0.59999389629810485"/>
        <bgColor indexed="64"/>
      </patternFill>
    </fill>
    <fill>
      <patternFill patternType="solid">
        <fgColor theme="4"/>
        <bgColor indexed="64"/>
      </patternFill>
    </fill>
    <fill>
      <patternFill patternType="solid">
        <fgColor theme="5" tint="0.79998168889431442"/>
        <bgColor indexed="64"/>
      </patternFill>
    </fill>
    <fill>
      <patternFill patternType="solid">
        <fgColor rgb="FFFFFFFF"/>
        <bgColor rgb="FFF2F2F2"/>
      </patternFill>
    </fill>
    <fill>
      <patternFill patternType="solid">
        <fgColor theme="1" tint="0.499984740745262"/>
        <bgColor indexed="64"/>
      </patternFill>
    </fill>
    <fill>
      <patternFill patternType="solid">
        <fgColor theme="1" tint="4.9989318521683403E-2"/>
        <bgColor indexed="64"/>
      </patternFill>
    </fill>
    <fill>
      <patternFill patternType="solid">
        <fgColor rgb="FF00B0F0"/>
        <bgColor indexed="64"/>
      </patternFill>
    </fill>
    <fill>
      <patternFill patternType="solid">
        <fgColor rgb="FF00B0F0"/>
        <bgColor indexed="31"/>
      </patternFill>
    </fill>
  </fills>
  <borders count="110">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8"/>
      </right>
      <top/>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top style="medium">
        <color indexed="64"/>
      </top>
      <bottom/>
      <diagonal/>
    </border>
    <border>
      <left style="medium">
        <color indexed="64"/>
      </left>
      <right/>
      <top style="thin">
        <color indexed="8"/>
      </top>
      <bottom style="thin">
        <color indexed="8"/>
      </bottom>
      <diagonal/>
    </border>
    <border>
      <left style="medium">
        <color indexed="64"/>
      </left>
      <right/>
      <top style="thin">
        <color indexed="8"/>
      </top>
      <bottom style="medium">
        <color indexed="64"/>
      </bottom>
      <diagonal/>
    </border>
    <border>
      <left style="thin">
        <color indexed="64"/>
      </left>
      <right/>
      <top style="thin">
        <color indexed="64"/>
      </top>
      <bottom style="medium">
        <color indexed="64"/>
      </bottom>
      <diagonal/>
    </border>
    <border>
      <left style="thin">
        <color indexed="8"/>
      </left>
      <right/>
      <top/>
      <bottom/>
      <diagonal/>
    </border>
    <border>
      <left style="medium">
        <color indexed="64"/>
      </left>
      <right style="thin">
        <color indexed="8"/>
      </right>
      <top style="thin">
        <color indexed="8"/>
      </top>
      <bottom style="thin">
        <color indexed="8"/>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8"/>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style="thin">
        <color indexed="64"/>
      </right>
      <top/>
      <bottom/>
      <diagonal/>
    </border>
    <border>
      <left style="thin">
        <color indexed="64"/>
      </left>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medium">
        <color indexed="64"/>
      </left>
      <right style="thin">
        <color indexed="8"/>
      </right>
      <top/>
      <bottom style="thin">
        <color indexed="8"/>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8"/>
      </right>
      <top style="thin">
        <color indexed="8"/>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64"/>
      </right>
      <top style="thin">
        <color indexed="8"/>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8"/>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indexed="64"/>
      </bottom>
      <diagonal/>
    </border>
    <border>
      <left/>
      <right style="thin">
        <color indexed="64"/>
      </right>
      <top style="thin">
        <color auto="1"/>
      </top>
      <bottom style="thin">
        <color indexed="64"/>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9">
    <xf numFmtId="0" fontId="0" fillId="0" borderId="0"/>
    <xf numFmtId="0" fontId="9" fillId="0" borderId="0"/>
    <xf numFmtId="0" fontId="9" fillId="0" borderId="0"/>
    <xf numFmtId="0" fontId="8" fillId="0" borderId="0"/>
    <xf numFmtId="9" fontId="8" fillId="0" borderId="0" applyFill="0" applyAlignment="0" applyProtection="0"/>
    <xf numFmtId="164" fontId="8" fillId="0" borderId="0" applyFont="0" applyFill="0" applyBorder="0" applyAlignment="0" applyProtection="0"/>
    <xf numFmtId="0" fontId="4" fillId="0" borderId="0"/>
    <xf numFmtId="9" fontId="8" fillId="0" borderId="0" applyFill="0" applyAlignment="0" applyProtection="0"/>
    <xf numFmtId="0" fontId="14" fillId="0" borderId="0"/>
    <xf numFmtId="9" fontId="14" fillId="0" borderId="0" applyFont="0" applyFill="0" applyBorder="0" applyAlignment="0" applyProtection="0"/>
    <xf numFmtId="172" fontId="1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0" fontId="19" fillId="0" borderId="0"/>
    <xf numFmtId="0" fontId="20" fillId="0" borderId="0"/>
    <xf numFmtId="0" fontId="8" fillId="0" borderId="0">
      <alignment vertical="top"/>
    </xf>
    <xf numFmtId="0" fontId="8" fillId="0" borderId="0">
      <alignment vertical="distributed" readingOrder="1"/>
    </xf>
    <xf numFmtId="173" fontId="19" fillId="0" borderId="0" applyFill="0" applyBorder="0" applyAlignment="0" applyProtection="0"/>
    <xf numFmtId="9" fontId="19" fillId="0" borderId="0" applyFill="0" applyBorder="0" applyAlignment="0" applyProtection="0"/>
    <xf numFmtId="174" fontId="19" fillId="0" borderId="0" applyFill="0" applyBorder="0" applyProtection="0">
      <alignment vertical="center"/>
    </xf>
    <xf numFmtId="0" fontId="8" fillId="0" borderId="0">
      <alignment vertical="center"/>
    </xf>
    <xf numFmtId="0" fontId="39" fillId="0" borderId="0">
      <alignment vertical="center"/>
    </xf>
    <xf numFmtId="9" fontId="39" fillId="0" borderId="0" applyFont="0" applyFill="0" applyBorder="0" applyAlignment="0" applyProtection="0">
      <alignment vertical="center"/>
    </xf>
    <xf numFmtId="0" fontId="2" fillId="0" borderId="0"/>
    <xf numFmtId="164" fontId="2" fillId="0" borderId="0" applyFont="0" applyFill="0" applyBorder="0" applyAlignment="0" applyProtection="0"/>
    <xf numFmtId="0" fontId="71" fillId="0" borderId="0" applyNumberFormat="0" applyFill="0" applyBorder="0" applyAlignment="0" applyProtection="0"/>
  </cellStyleXfs>
  <cellXfs count="1083">
    <xf numFmtId="0" fontId="0" fillId="0" borderId="0" xfId="0"/>
    <xf numFmtId="0" fontId="0" fillId="0" borderId="0" xfId="0" applyFont="1" applyBorder="1"/>
    <xf numFmtId="0" fontId="5" fillId="0" borderId="0" xfId="0" applyFont="1" applyBorder="1"/>
    <xf numFmtId="2" fontId="0" fillId="0" borderId="0" xfId="0" applyNumberFormat="1" applyFont="1" applyBorder="1"/>
    <xf numFmtId="0" fontId="0" fillId="0" borderId="1" xfId="0" applyFont="1" applyBorder="1" applyAlignment="1">
      <alignment horizontal="left"/>
    </xf>
    <xf numFmtId="0" fontId="0" fillId="0" borderId="1" xfId="0" applyFont="1" applyBorder="1"/>
    <xf numFmtId="0" fontId="0" fillId="0" borderId="1" xfId="0" applyFont="1" applyBorder="1" applyAlignment="1">
      <alignment horizontal="right"/>
    </xf>
    <xf numFmtId="2" fontId="0" fillId="0" borderId="1" xfId="0" applyNumberFormat="1" applyFont="1" applyBorder="1"/>
    <xf numFmtId="166" fontId="0" fillId="0" borderId="1" xfId="0" applyNumberFormat="1" applyFont="1" applyBorder="1"/>
    <xf numFmtId="167" fontId="0" fillId="0" borderId="1" xfId="0" applyNumberFormat="1" applyFont="1" applyBorder="1"/>
    <xf numFmtId="165" fontId="0" fillId="0" borderId="1" xfId="0" applyNumberFormat="1" applyFont="1" applyBorder="1"/>
    <xf numFmtId="10" fontId="0" fillId="0" borderId="1" xfId="4" applyNumberFormat="1" applyFont="1" applyFill="1" applyBorder="1" applyAlignment="1" applyProtection="1"/>
    <xf numFmtId="10" fontId="0" fillId="0" borderId="1" xfId="0" applyNumberFormat="1" applyFont="1" applyBorder="1"/>
    <xf numFmtId="0" fontId="0" fillId="0" borderId="0" xfId="0" applyAlignment="1">
      <alignment horizontal="center"/>
    </xf>
    <xf numFmtId="0" fontId="8" fillId="0" borderId="0" xfId="0" applyFont="1"/>
    <xf numFmtId="0" fontId="11" fillId="0" borderId="2" xfId="0" applyFont="1" applyBorder="1" applyAlignment="1">
      <alignment horizontal="center"/>
    </xf>
    <xf numFmtId="0" fontId="11" fillId="0" borderId="2" xfId="0" applyFont="1" applyBorder="1"/>
    <xf numFmtId="9" fontId="12" fillId="0" borderId="2" xfId="0" applyNumberFormat="1" applyFont="1" applyBorder="1" applyAlignment="1">
      <alignment horizontal="center"/>
    </xf>
    <xf numFmtId="0" fontId="12" fillId="0" borderId="2" xfId="0" applyFont="1" applyBorder="1"/>
    <xf numFmtId="0" fontId="12" fillId="0" borderId="2" xfId="0" applyFont="1" applyBorder="1" applyAlignment="1">
      <alignment horizontal="center"/>
    </xf>
    <xf numFmtId="0" fontId="12" fillId="0" borderId="0" xfId="0" applyFont="1" applyAlignment="1">
      <alignment horizontal="center"/>
    </xf>
    <xf numFmtId="0" fontId="12" fillId="0" borderId="0" xfId="0" applyFont="1"/>
    <xf numFmtId="1" fontId="0" fillId="0" borderId="2" xfId="0" applyNumberFormat="1" applyBorder="1" applyAlignment="1">
      <alignment horizontal="center"/>
    </xf>
    <xf numFmtId="1" fontId="8" fillId="0" borderId="2" xfId="0" applyNumberFormat="1" applyFont="1" applyBorder="1" applyAlignment="1">
      <alignment horizontal="center"/>
    </xf>
    <xf numFmtId="0" fontId="0" fillId="0" borderId="2" xfId="0" applyBorder="1"/>
    <xf numFmtId="0" fontId="5" fillId="0" borderId="2" xfId="0" applyFont="1" applyBorder="1"/>
    <xf numFmtId="0" fontId="0" fillId="0" borderId="2" xfId="0" applyBorder="1" applyAlignment="1">
      <alignment horizontal="center"/>
    </xf>
    <xf numFmtId="0" fontId="5" fillId="0" borderId="2" xfId="0" applyFont="1" applyBorder="1" applyAlignment="1">
      <alignment horizontal="center"/>
    </xf>
    <xf numFmtId="0" fontId="6" fillId="0" borderId="0" xfId="0" applyFont="1"/>
    <xf numFmtId="0" fontId="8" fillId="0" borderId="0" xfId="3" applyAlignment="1">
      <alignment horizontal="center"/>
    </xf>
    <xf numFmtId="2" fontId="8" fillId="0" borderId="0" xfId="3" applyNumberFormat="1" applyAlignment="1">
      <alignment horizontal="center"/>
    </xf>
    <xf numFmtId="0" fontId="5" fillId="0" borderId="0" xfId="3" applyFont="1" applyAlignment="1">
      <alignment horizontal="center"/>
    </xf>
    <xf numFmtId="2" fontId="5" fillId="0" borderId="2" xfId="3" applyNumberFormat="1" applyFont="1" applyBorder="1" applyAlignment="1">
      <alignment horizontal="center"/>
    </xf>
    <xf numFmtId="0" fontId="5" fillId="0" borderId="2" xfId="3" applyFont="1" applyBorder="1" applyAlignment="1">
      <alignment horizontal="center"/>
    </xf>
    <xf numFmtId="10" fontId="5" fillId="0" borderId="2" xfId="3" applyNumberFormat="1" applyFont="1" applyBorder="1" applyAlignment="1">
      <alignment horizontal="center"/>
    </xf>
    <xf numFmtId="9" fontId="8" fillId="0" borderId="2" xfId="7" applyBorder="1" applyAlignment="1">
      <alignment horizontal="center"/>
    </xf>
    <xf numFmtId="0" fontId="8" fillId="0" borderId="2" xfId="3" applyBorder="1" applyAlignment="1">
      <alignment horizontal="center"/>
    </xf>
    <xf numFmtId="1" fontId="0" fillId="0" borderId="0" xfId="0" applyNumberFormat="1"/>
    <xf numFmtId="17" fontId="0" fillId="0" borderId="0" xfId="0" applyNumberFormat="1"/>
    <xf numFmtId="0" fontId="0" fillId="0" borderId="0" xfId="0" applyBorder="1"/>
    <xf numFmtId="1" fontId="8" fillId="0" borderId="2" xfId="0" applyNumberFormat="1" applyFont="1" applyFill="1" applyBorder="1" applyAlignment="1">
      <alignment horizontal="center"/>
    </xf>
    <xf numFmtId="1" fontId="5" fillId="0" borderId="2" xfId="0" applyNumberFormat="1" applyFont="1" applyBorder="1" applyAlignment="1">
      <alignment horizontal="center"/>
    </xf>
    <xf numFmtId="0" fontId="4" fillId="0" borderId="0" xfId="6"/>
    <xf numFmtId="16" fontId="4" fillId="0" borderId="0" xfId="6" applyNumberFormat="1" applyFont="1"/>
    <xf numFmtId="2" fontId="4" fillId="0" borderId="0" xfId="6" applyNumberFormat="1"/>
    <xf numFmtId="0" fontId="4" fillId="0" borderId="0" xfId="6" applyFont="1"/>
    <xf numFmtId="0" fontId="10" fillId="0" borderId="2" xfId="6" applyFont="1" applyBorder="1"/>
    <xf numFmtId="2" fontId="4" fillId="0" borderId="2" xfId="6" applyNumberFormat="1" applyBorder="1"/>
    <xf numFmtId="0" fontId="4" fillId="0" borderId="2" xfId="6" applyFill="1" applyBorder="1"/>
    <xf numFmtId="0" fontId="4" fillId="0" borderId="2" xfId="6" applyBorder="1"/>
    <xf numFmtId="0" fontId="10" fillId="0" borderId="0" xfId="6" applyFont="1"/>
    <xf numFmtId="0" fontId="4" fillId="0" borderId="0" xfId="6" applyBorder="1"/>
    <xf numFmtId="0" fontId="4" fillId="0" borderId="0" xfId="6" applyFill="1"/>
    <xf numFmtId="0" fontId="8" fillId="0" borderId="2" xfId="0" applyFont="1" applyBorder="1"/>
    <xf numFmtId="0" fontId="5" fillId="0" borderId="0" xfId="0" applyFont="1" applyAlignment="1">
      <alignment horizontal="center"/>
    </xf>
    <xf numFmtId="9" fontId="8" fillId="0" borderId="0" xfId="0" applyNumberFormat="1" applyFont="1" applyAlignment="1">
      <alignment horizontal="center"/>
    </xf>
    <xf numFmtId="0" fontId="8" fillId="0" borderId="2" xfId="0" applyFont="1" applyBorder="1" applyAlignment="1">
      <alignment horizontal="center"/>
    </xf>
    <xf numFmtId="164" fontId="8" fillId="0" borderId="2" xfId="0" applyNumberFormat="1" applyFont="1" applyBorder="1"/>
    <xf numFmtId="1" fontId="8" fillId="0" borderId="2" xfId="5" applyNumberFormat="1" applyFont="1" applyBorder="1" applyAlignment="1">
      <alignment horizontal="center" vertical="center"/>
    </xf>
    <xf numFmtId="168" fontId="8" fillId="0" borderId="2" xfId="5" applyNumberFormat="1" applyFont="1" applyBorder="1" applyAlignment="1">
      <alignment horizontal="center" vertical="center"/>
    </xf>
    <xf numFmtId="1" fontId="5" fillId="0" borderId="2" xfId="5" applyNumberFormat="1" applyFont="1" applyBorder="1" applyAlignment="1">
      <alignment horizontal="center" vertical="center"/>
    </xf>
    <xf numFmtId="1" fontId="8" fillId="0" borderId="0" xfId="0" applyNumberFormat="1" applyFont="1" applyAlignment="1">
      <alignment horizontal="center"/>
    </xf>
    <xf numFmtId="1" fontId="5" fillId="2" borderId="2" xfId="0" applyNumberFormat="1" applyFont="1" applyFill="1" applyBorder="1" applyAlignment="1">
      <alignment horizontal="center"/>
    </xf>
    <xf numFmtId="0" fontId="5" fillId="2" borderId="2" xfId="0" applyFont="1" applyFill="1" applyBorder="1"/>
    <xf numFmtId="0" fontId="0" fillId="2" borderId="2" xfId="0" applyFill="1" applyBorder="1"/>
    <xf numFmtId="0" fontId="8" fillId="2" borderId="2" xfId="0" applyFont="1" applyFill="1" applyBorder="1" applyAlignment="1">
      <alignment horizontal="center"/>
    </xf>
    <xf numFmtId="168" fontId="0" fillId="0" borderId="2" xfId="5" applyNumberFormat="1" applyFont="1" applyBorder="1"/>
    <xf numFmtId="0" fontId="7" fillId="0" borderId="2" xfId="0" applyFont="1" applyBorder="1"/>
    <xf numFmtId="0" fontId="8" fillId="0" borderId="2" xfId="0" applyFont="1" applyFill="1" applyBorder="1"/>
    <xf numFmtId="0" fontId="5" fillId="0" borderId="3" xfId="0" applyFont="1" applyBorder="1" applyAlignment="1">
      <alignment horizontal="center"/>
    </xf>
    <xf numFmtId="0" fontId="0" fillId="0" borderId="6" xfId="0" applyBorder="1"/>
    <xf numFmtId="0" fontId="5" fillId="0" borderId="2" xfId="0" applyFont="1" applyFill="1" applyBorder="1"/>
    <xf numFmtId="168" fontId="5" fillId="0" borderId="2" xfId="5" applyNumberFormat="1" applyFont="1" applyBorder="1" applyAlignment="1"/>
    <xf numFmtId="168" fontId="0" fillId="0" borderId="2" xfId="5" applyNumberFormat="1" applyFont="1" applyBorder="1" applyAlignment="1"/>
    <xf numFmtId="0" fontId="0" fillId="0" borderId="2" xfId="0" applyFont="1" applyFill="1" applyBorder="1"/>
    <xf numFmtId="1" fontId="0" fillId="0" borderId="7" xfId="0" applyNumberFormat="1" applyBorder="1" applyAlignment="1">
      <alignment horizontal="center"/>
    </xf>
    <xf numFmtId="9" fontId="8" fillId="0" borderId="7" xfId="0" applyNumberFormat="1" applyFont="1" applyBorder="1"/>
    <xf numFmtId="1" fontId="0" fillId="0" borderId="3" xfId="0" applyNumberFormat="1" applyBorder="1" applyAlignment="1">
      <alignment horizontal="center"/>
    </xf>
    <xf numFmtId="1" fontId="0" fillId="0" borderId="4" xfId="0" applyNumberFormat="1" applyBorder="1" applyAlignment="1">
      <alignment horizontal="center"/>
    </xf>
    <xf numFmtId="0" fontId="6" fillId="0" borderId="5" xfId="0" applyFont="1" applyBorder="1"/>
    <xf numFmtId="0" fontId="5" fillId="0" borderId="5" xfId="0" applyFont="1" applyBorder="1" applyAlignment="1">
      <alignment horizontal="center"/>
    </xf>
    <xf numFmtId="1" fontId="0" fillId="0" borderId="6" xfId="0" applyNumberFormat="1" applyBorder="1" applyAlignment="1">
      <alignment horizontal="center"/>
    </xf>
    <xf numFmtId="0" fontId="8" fillId="0" borderId="7" xfId="0" applyFont="1" applyBorder="1"/>
    <xf numFmtId="0" fontId="5" fillId="0" borderId="4" xfId="0" applyFont="1" applyBorder="1" applyAlignment="1">
      <alignment horizontal="center"/>
    </xf>
    <xf numFmtId="0" fontId="6" fillId="0" borderId="5" xfId="0" applyFont="1" applyBorder="1" applyAlignment="1">
      <alignment horizontal="left"/>
    </xf>
    <xf numFmtId="0" fontId="5" fillId="0" borderId="6" xfId="0" applyFont="1" applyBorder="1" applyAlignment="1">
      <alignment horizontal="center"/>
    </xf>
    <xf numFmtId="1" fontId="5" fillId="0" borderId="2" xfId="0" applyNumberFormat="1" applyFont="1" applyFill="1" applyBorder="1" applyAlignment="1">
      <alignment horizontal="center"/>
    </xf>
    <xf numFmtId="0" fontId="6" fillId="0" borderId="2" xfId="0" applyFont="1" applyBorder="1"/>
    <xf numFmtId="1" fontId="5" fillId="0" borderId="2" xfId="0" applyNumberFormat="1" applyFont="1" applyBorder="1" applyAlignment="1">
      <alignment horizontal="center"/>
    </xf>
    <xf numFmtId="0" fontId="6" fillId="0" borderId="2" xfId="0" applyFont="1" applyBorder="1" applyAlignment="1">
      <alignment horizontal="center"/>
    </xf>
    <xf numFmtId="168" fontId="0" fillId="0" borderId="2" xfId="5" applyNumberFormat="1" applyFont="1" applyBorder="1" applyAlignment="1">
      <alignment horizontal="center"/>
    </xf>
    <xf numFmtId="1" fontId="8" fillId="0" borderId="2" xfId="0" applyNumberFormat="1" applyFont="1" applyBorder="1"/>
    <xf numFmtId="0" fontId="5" fillId="0" borderId="2" xfId="0" applyFont="1" applyFill="1" applyBorder="1" applyAlignment="1">
      <alignment horizontal="center"/>
    </xf>
    <xf numFmtId="1" fontId="5" fillId="0" borderId="2" xfId="5" applyNumberFormat="1" applyFont="1" applyFill="1" applyBorder="1" applyAlignment="1">
      <alignment horizontal="center" vertical="center"/>
    </xf>
    <xf numFmtId="0" fontId="0" fillId="0" borderId="2" xfId="0" applyFill="1" applyBorder="1"/>
    <xf numFmtId="0" fontId="8" fillId="0" borderId="0" xfId="0" applyFont="1" applyFill="1"/>
    <xf numFmtId="0" fontId="8" fillId="0" borderId="2" xfId="0" applyFont="1" applyFill="1" applyBorder="1" applyAlignment="1">
      <alignment horizontal="center"/>
    </xf>
    <xf numFmtId="168" fontId="0" fillId="0" borderId="0" xfId="5" applyNumberFormat="1" applyFont="1"/>
    <xf numFmtId="168" fontId="5" fillId="0" borderId="2" xfId="5" applyNumberFormat="1" applyFont="1" applyBorder="1" applyAlignment="1">
      <alignment horizontal="center"/>
    </xf>
    <xf numFmtId="168" fontId="5" fillId="0" borderId="3" xfId="5" applyNumberFormat="1" applyFont="1" applyBorder="1" applyAlignment="1">
      <alignment horizontal="center"/>
    </xf>
    <xf numFmtId="168" fontId="0" fillId="0" borderId="0" xfId="5" applyNumberFormat="1" applyFont="1" applyAlignment="1">
      <alignment horizontal="center"/>
    </xf>
    <xf numFmtId="168" fontId="8" fillId="0" borderId="2" xfId="5" applyNumberFormat="1" applyFont="1" applyBorder="1" applyAlignment="1">
      <alignment horizontal="center"/>
    </xf>
    <xf numFmtId="168" fontId="6" fillId="0" borderId="0" xfId="5" applyNumberFormat="1" applyFont="1" applyAlignment="1"/>
    <xf numFmtId="168" fontId="0" fillId="0" borderId="0" xfId="5" applyNumberFormat="1" applyFont="1" applyAlignment="1"/>
    <xf numFmtId="168" fontId="7" fillId="0" borderId="2" xfId="5" applyNumberFormat="1" applyFont="1" applyBorder="1" applyAlignment="1"/>
    <xf numFmtId="168" fontId="0" fillId="0" borderId="2" xfId="5" applyNumberFormat="1" applyFont="1" applyFill="1" applyBorder="1" applyAlignment="1"/>
    <xf numFmtId="0" fontId="0" fillId="0" borderId="0" xfId="0" applyAlignment="1"/>
    <xf numFmtId="0" fontId="5" fillId="0" borderId="2" xfId="0" applyFont="1" applyBorder="1" applyAlignment="1"/>
    <xf numFmtId="1" fontId="0" fillId="0" borderId="2" xfId="5" applyNumberFormat="1" applyFont="1" applyBorder="1" applyAlignment="1"/>
    <xf numFmtId="1" fontId="5" fillId="0" borderId="2" xfId="5" applyNumberFormat="1" applyFont="1" applyBorder="1" applyAlignment="1"/>
    <xf numFmtId="169" fontId="8" fillId="0" borderId="2" xfId="0" applyNumberFormat="1" applyFont="1" applyBorder="1"/>
    <xf numFmtId="2" fontId="0" fillId="0" borderId="0" xfId="0" applyNumberFormat="1" applyAlignment="1"/>
    <xf numFmtId="1" fontId="0" fillId="0" borderId="0" xfId="0" applyNumberFormat="1" applyAlignment="1"/>
    <xf numFmtId="168" fontId="4" fillId="0" borderId="2" xfId="5" applyNumberFormat="1" applyFont="1" applyBorder="1"/>
    <xf numFmtId="168" fontId="4" fillId="0" borderId="2" xfId="5" applyNumberFormat="1" applyFont="1" applyFill="1" applyBorder="1"/>
    <xf numFmtId="168" fontId="8" fillId="0" borderId="0" xfId="5" applyNumberFormat="1" applyAlignment="1">
      <alignment horizontal="center"/>
    </xf>
    <xf numFmtId="168" fontId="8" fillId="0" borderId="2" xfId="5" applyNumberFormat="1" applyBorder="1" applyAlignment="1">
      <alignment horizontal="center"/>
    </xf>
    <xf numFmtId="168" fontId="11" fillId="0" borderId="2" xfId="5" applyNumberFormat="1" applyFont="1" applyBorder="1" applyAlignment="1">
      <alignment horizontal="center"/>
    </xf>
    <xf numFmtId="168" fontId="12" fillId="0" borderId="2" xfId="5" applyNumberFormat="1" applyFont="1" applyBorder="1" applyAlignment="1">
      <alignment horizontal="center"/>
    </xf>
    <xf numFmtId="168" fontId="12" fillId="0" borderId="0" xfId="5" applyNumberFormat="1" applyFont="1" applyAlignment="1">
      <alignment horizontal="center"/>
    </xf>
    <xf numFmtId="0" fontId="14" fillId="0" borderId="0" xfId="8" applyBorder="1" applyAlignment="1">
      <alignment vertical="top"/>
    </xf>
    <xf numFmtId="0" fontId="14" fillId="0" borderId="0" xfId="8" applyFill="1" applyBorder="1" applyAlignment="1">
      <alignment vertical="top"/>
    </xf>
    <xf numFmtId="2" fontId="14" fillId="0" borderId="0" xfId="8" applyNumberFormat="1" applyFill="1" applyBorder="1" applyAlignment="1">
      <alignment vertical="top"/>
    </xf>
    <xf numFmtId="2" fontId="14" fillId="0" borderId="0" xfId="8" applyNumberFormat="1" applyFill="1" applyBorder="1" applyAlignment="1">
      <alignment horizontal="center" vertical="top"/>
    </xf>
    <xf numFmtId="2" fontId="14" fillId="0" borderId="0" xfId="8" applyNumberFormat="1" applyFill="1" applyBorder="1" applyAlignment="1">
      <alignment horizontal="right" vertical="top"/>
    </xf>
    <xf numFmtId="2" fontId="14" fillId="0" borderId="0" xfId="8" applyNumberFormat="1" applyBorder="1" applyAlignment="1">
      <alignment horizontal="center" vertical="top"/>
    </xf>
    <xf numFmtId="2" fontId="14" fillId="0" borderId="0" xfId="8" applyNumberFormat="1" applyBorder="1" applyAlignment="1">
      <alignment vertical="top"/>
    </xf>
    <xf numFmtId="0" fontId="14" fillId="0" borderId="0" xfId="8" applyFill="1" applyBorder="1" applyAlignment="1">
      <alignment horizontal="right" vertical="top"/>
    </xf>
    <xf numFmtId="10" fontId="14" fillId="0" borderId="0" xfId="9" applyNumberFormat="1" applyFont="1" applyFill="1" applyBorder="1" applyAlignment="1">
      <alignment vertical="top"/>
    </xf>
    <xf numFmtId="0" fontId="5" fillId="0" borderId="0" xfId="8" applyFont="1" applyFill="1" applyBorder="1" applyAlignment="1">
      <alignment horizontal="right" vertical="top"/>
    </xf>
    <xf numFmtId="2" fontId="5" fillId="0" borderId="0" xfId="8" applyNumberFormat="1" applyFont="1" applyFill="1" applyBorder="1" applyAlignment="1">
      <alignment vertical="top"/>
    </xf>
    <xf numFmtId="0" fontId="5" fillId="0" borderId="0" xfId="8" applyFont="1" applyFill="1" applyBorder="1" applyAlignment="1">
      <alignment vertical="top"/>
    </xf>
    <xf numFmtId="0" fontId="8" fillId="0" borderId="0" xfId="8" applyFont="1" applyFill="1" applyBorder="1" applyAlignment="1">
      <alignment horizontal="right" vertical="top"/>
    </xf>
    <xf numFmtId="2" fontId="8" fillId="0" borderId="0" xfId="8" applyNumberFormat="1" applyFont="1" applyFill="1" applyBorder="1" applyAlignment="1">
      <alignment horizontal="right" vertical="top"/>
    </xf>
    <xf numFmtId="2" fontId="5" fillId="0" borderId="0" xfId="8" applyNumberFormat="1" applyFont="1" applyFill="1" applyBorder="1" applyAlignment="1">
      <alignment horizontal="right" vertical="top"/>
    </xf>
    <xf numFmtId="2" fontId="5" fillId="0" borderId="0" xfId="8" applyNumberFormat="1" applyFont="1" applyBorder="1" applyAlignment="1">
      <alignment vertical="top"/>
    </xf>
    <xf numFmtId="2" fontId="8" fillId="0" borderId="0" xfId="8" applyNumberFormat="1" applyFont="1" applyFill="1" applyBorder="1" applyAlignment="1">
      <alignment vertical="top"/>
    </xf>
    <xf numFmtId="0" fontId="8" fillId="0" borderId="0" xfId="8" applyFont="1" applyFill="1" applyBorder="1" applyAlignment="1">
      <alignment vertical="top"/>
    </xf>
    <xf numFmtId="2" fontId="8" fillId="0" borderId="0" xfId="8" applyNumberFormat="1" applyFont="1" applyBorder="1" applyAlignment="1">
      <alignment vertical="top"/>
    </xf>
    <xf numFmtId="10" fontId="14" fillId="0" borderId="0" xfId="9" applyNumberFormat="1" applyFont="1" applyBorder="1" applyAlignment="1">
      <alignment vertical="top"/>
    </xf>
    <xf numFmtId="2" fontId="5" fillId="0" borderId="0" xfId="8" applyNumberFormat="1" applyFont="1" applyFill="1" applyBorder="1" applyAlignment="1">
      <alignment horizontal="center" vertical="top"/>
    </xf>
    <xf numFmtId="2" fontId="14" fillId="0" borderId="0" xfId="8" quotePrefix="1" applyNumberFormat="1" applyFill="1" applyBorder="1" applyAlignment="1">
      <alignment horizontal="center" vertical="top"/>
    </xf>
    <xf numFmtId="2" fontId="5" fillId="0" borderId="0" xfId="8" quotePrefix="1" applyNumberFormat="1" applyFont="1" applyFill="1" applyBorder="1" applyAlignment="1">
      <alignment horizontal="center" vertical="top"/>
    </xf>
    <xf numFmtId="0" fontId="5" fillId="0" borderId="0" xfId="8" applyFont="1" applyBorder="1" applyAlignment="1">
      <alignment vertical="top"/>
    </xf>
    <xf numFmtId="2" fontId="5" fillId="0" borderId="0" xfId="8" applyNumberFormat="1" applyFont="1" applyBorder="1" applyAlignment="1">
      <alignment horizontal="right" vertical="top"/>
    </xf>
    <xf numFmtId="0" fontId="5" fillId="0" borderId="0" xfId="8" applyFont="1" applyBorder="1" applyAlignment="1">
      <alignment horizontal="right" vertical="top"/>
    </xf>
    <xf numFmtId="0" fontId="5" fillId="0" borderId="0" xfId="8" applyFont="1" applyBorder="1" applyAlignment="1">
      <alignment horizontal="center" vertical="top"/>
    </xf>
    <xf numFmtId="0" fontId="8" fillId="0" borderId="0" xfId="8" applyFont="1" applyBorder="1" applyAlignment="1">
      <alignment vertical="top"/>
    </xf>
    <xf numFmtId="0" fontId="14" fillId="0" borderId="0" xfId="8" applyBorder="1" applyAlignment="1">
      <alignment horizontal="left" vertical="top"/>
    </xf>
    <xf numFmtId="2" fontId="14" fillId="0" borderId="0" xfId="8" applyNumberFormat="1" applyFill="1" applyBorder="1" applyAlignment="1">
      <alignment horizontal="left" vertical="top"/>
    </xf>
    <xf numFmtId="2" fontId="8" fillId="0" borderId="0" xfId="8" applyNumberFormat="1" applyFont="1" applyFill="1" applyBorder="1" applyAlignment="1">
      <alignment horizontal="left" vertical="top"/>
    </xf>
    <xf numFmtId="0" fontId="8" fillId="0" borderId="0" xfId="8" quotePrefix="1" applyFont="1" applyBorder="1" applyAlignment="1">
      <alignment vertical="top"/>
    </xf>
    <xf numFmtId="2" fontId="14" fillId="0" borderId="0" xfId="8" applyNumberFormat="1" applyBorder="1" applyAlignment="1">
      <alignment horizontal="right" vertical="top"/>
    </xf>
    <xf numFmtId="2" fontId="6" fillId="0" borderId="0" xfId="8" applyNumberFormat="1" applyFont="1" applyBorder="1" applyAlignment="1">
      <alignment horizontal="right" vertical="top"/>
    </xf>
    <xf numFmtId="2" fontId="6" fillId="0" borderId="0" xfId="8" applyNumberFormat="1" applyFont="1" applyBorder="1" applyAlignment="1">
      <alignment vertical="top"/>
    </xf>
    <xf numFmtId="0" fontId="14" fillId="0" borderId="0" xfId="8" applyFill="1" applyBorder="1" applyAlignment="1">
      <alignment horizontal="center" vertical="top"/>
    </xf>
    <xf numFmtId="2" fontId="5" fillId="0" borderId="0" xfId="8" applyNumberFormat="1" applyFont="1" applyBorder="1" applyAlignment="1">
      <alignment horizontal="center" vertical="top"/>
    </xf>
    <xf numFmtId="0" fontId="5" fillId="0" borderId="0" xfId="8" applyFont="1" applyFill="1" applyBorder="1" applyAlignment="1">
      <alignment horizontal="center" vertical="top"/>
    </xf>
    <xf numFmtId="170" fontId="14" fillId="0" borderId="0" xfId="8" applyNumberFormat="1" applyFill="1" applyBorder="1" applyAlignment="1">
      <alignment horizontal="center" vertical="top"/>
    </xf>
    <xf numFmtId="170" fontId="14" fillId="0" borderId="0" xfId="8" applyNumberFormat="1" applyFill="1" applyBorder="1" applyAlignment="1">
      <alignment horizontal="right" vertical="top"/>
    </xf>
    <xf numFmtId="170" fontId="14" fillId="0" borderId="0" xfId="8" applyNumberFormat="1" applyBorder="1" applyAlignment="1">
      <alignment horizontal="right" vertical="top"/>
    </xf>
    <xf numFmtId="170" fontId="5" fillId="0" borderId="0" xfId="8" applyNumberFormat="1" applyFont="1" applyFill="1" applyBorder="1" applyAlignment="1">
      <alignment horizontal="right" vertical="top"/>
    </xf>
    <xf numFmtId="170" fontId="5" fillId="0" borderId="0" xfId="8" applyNumberFormat="1" applyFont="1" applyBorder="1" applyAlignment="1">
      <alignment horizontal="right" vertical="top"/>
    </xf>
    <xf numFmtId="2" fontId="5" fillId="0" borderId="0" xfId="8" applyNumberFormat="1" applyFont="1" applyBorder="1" applyAlignment="1">
      <alignment horizontal="left" vertical="top"/>
    </xf>
    <xf numFmtId="2" fontId="14" fillId="0" borderId="0" xfId="8" applyNumberFormat="1" applyBorder="1" applyAlignment="1">
      <alignment horizontal="left" vertical="top"/>
    </xf>
    <xf numFmtId="170" fontId="8" fillId="0" borderId="0" xfId="8" applyNumberFormat="1" applyFont="1" applyBorder="1" applyAlignment="1">
      <alignment horizontal="right" vertical="top"/>
    </xf>
    <xf numFmtId="170" fontId="8" fillId="0" borderId="0" xfId="8" applyNumberFormat="1" applyFont="1" applyFill="1" applyBorder="1" applyAlignment="1">
      <alignment horizontal="right" vertical="top"/>
    </xf>
    <xf numFmtId="2" fontId="15" fillId="0" borderId="0" xfId="8" applyNumberFormat="1" applyFont="1" applyBorder="1" applyAlignment="1">
      <alignment vertical="top"/>
    </xf>
    <xf numFmtId="2" fontId="8" fillId="0" borderId="0" xfId="8" applyNumberFormat="1" applyFont="1" applyBorder="1" applyAlignment="1">
      <alignment horizontal="right" vertical="top"/>
    </xf>
    <xf numFmtId="1" fontId="14" fillId="0" borderId="0" xfId="8" applyNumberFormat="1" applyFill="1" applyBorder="1" applyAlignment="1">
      <alignment horizontal="center" vertical="top"/>
    </xf>
    <xf numFmtId="1" fontId="14" fillId="0" borderId="0" xfId="8" applyNumberFormat="1" applyFill="1" applyBorder="1" applyAlignment="1">
      <alignment horizontal="right" vertical="top"/>
    </xf>
    <xf numFmtId="1" fontId="14" fillId="0" borderId="0" xfId="8" applyNumberFormat="1" applyBorder="1" applyAlignment="1">
      <alignment horizontal="center" vertical="top"/>
    </xf>
    <xf numFmtId="0" fontId="15" fillId="0" borderId="0" xfId="8" applyFont="1" applyFill="1" applyBorder="1" applyAlignment="1">
      <alignment horizontal="center" vertical="top"/>
    </xf>
    <xf numFmtId="0" fontId="14" fillId="0" borderId="0" xfId="8" applyBorder="1" applyAlignment="1">
      <alignment horizontal="center" vertical="top"/>
    </xf>
    <xf numFmtId="0" fontId="13" fillId="0" borderId="0" xfId="8" applyFont="1" applyBorder="1" applyAlignment="1">
      <alignment vertical="top"/>
    </xf>
    <xf numFmtId="0" fontId="13" fillId="0" borderId="0" xfId="8" applyFont="1" applyFill="1" applyBorder="1" applyAlignment="1">
      <alignment vertical="top"/>
    </xf>
    <xf numFmtId="2" fontId="14" fillId="0" borderId="0" xfId="8" quotePrefix="1" applyNumberFormat="1" applyBorder="1" applyAlignment="1">
      <alignment vertical="top"/>
    </xf>
    <xf numFmtId="2" fontId="7" fillId="0" borderId="0" xfId="8" applyNumberFormat="1" applyFont="1" applyBorder="1" applyAlignment="1">
      <alignment vertical="top"/>
    </xf>
    <xf numFmtId="2" fontId="16" fillId="0" borderId="0" xfId="8" applyNumberFormat="1" applyFont="1" applyBorder="1" applyAlignment="1">
      <alignment vertical="top"/>
    </xf>
    <xf numFmtId="1" fontId="8" fillId="0" borderId="0" xfId="8" applyNumberFormat="1" applyFont="1" applyFill="1" applyBorder="1" applyAlignment="1">
      <alignment horizontal="center" vertical="top"/>
    </xf>
    <xf numFmtId="1" fontId="8" fillId="0" borderId="0" xfId="8" applyNumberFormat="1" applyFont="1" applyFill="1" applyBorder="1" applyAlignment="1">
      <alignment horizontal="right" vertical="top"/>
    </xf>
    <xf numFmtId="1" fontId="8" fillId="0" borderId="0" xfId="8" applyNumberFormat="1" applyFont="1" applyBorder="1" applyAlignment="1">
      <alignment horizontal="center" vertical="top"/>
    </xf>
    <xf numFmtId="164" fontId="0" fillId="0" borderId="0" xfId="5" applyFont="1" applyBorder="1" applyAlignment="1">
      <alignment horizontal="right" vertical="top"/>
    </xf>
    <xf numFmtId="2" fontId="14" fillId="0" borderId="0" xfId="8" applyNumberFormat="1" applyBorder="1" applyAlignment="1">
      <alignment vertical="top" shrinkToFit="1"/>
    </xf>
    <xf numFmtId="164" fontId="0" fillId="0" borderId="0" xfId="5" applyFont="1" applyFill="1" applyBorder="1" applyAlignment="1">
      <alignment horizontal="right" vertical="top"/>
    </xf>
    <xf numFmtId="2" fontId="5" fillId="0" borderId="0" xfId="8" applyNumberFormat="1" applyFont="1" applyBorder="1" applyAlignment="1">
      <alignment vertical="top" shrinkToFit="1"/>
    </xf>
    <xf numFmtId="0" fontId="16" fillId="0" borderId="0" xfId="8" applyFont="1" applyFill="1" applyBorder="1" applyAlignment="1">
      <alignment vertical="top"/>
    </xf>
    <xf numFmtId="2" fontId="16" fillId="0" borderId="0" xfId="8" applyNumberFormat="1" applyFont="1" applyFill="1" applyBorder="1" applyAlignment="1">
      <alignment vertical="top"/>
    </xf>
    <xf numFmtId="0" fontId="6" fillId="0" borderId="0" xfId="8" applyFont="1" applyBorder="1" applyAlignment="1">
      <alignment vertical="top"/>
    </xf>
    <xf numFmtId="0" fontId="16" fillId="0" borderId="0" xfId="8" applyFont="1" applyBorder="1" applyAlignment="1">
      <alignment vertical="top"/>
    </xf>
    <xf numFmtId="2" fontId="8" fillId="0" borderId="0" xfId="8" applyNumberFormat="1" applyFont="1" applyFill="1" applyBorder="1" applyAlignment="1">
      <alignment horizontal="center" vertical="top"/>
    </xf>
    <xf numFmtId="2" fontId="12" fillId="0" borderId="0" xfId="8" applyNumberFormat="1" applyFont="1" applyBorder="1" applyAlignment="1">
      <alignment horizontal="center" vertical="top"/>
    </xf>
    <xf numFmtId="2" fontId="12" fillId="0" borderId="0" xfId="8" applyNumberFormat="1" applyFont="1" applyBorder="1" applyAlignment="1">
      <alignment horizontal="left" vertical="top"/>
    </xf>
    <xf numFmtId="2" fontId="15" fillId="0" borderId="0" xfId="8" applyNumberFormat="1" applyFont="1" applyFill="1" applyBorder="1" applyAlignment="1">
      <alignment horizontal="center" vertical="top"/>
    </xf>
    <xf numFmtId="0" fontId="14" fillId="0" borderId="0" xfId="8" quotePrefix="1" applyBorder="1" applyAlignment="1">
      <alignment vertical="top"/>
    </xf>
    <xf numFmtId="0" fontId="15" fillId="0" borderId="0" xfId="8" applyFont="1" applyBorder="1" applyAlignment="1">
      <alignment vertical="top"/>
    </xf>
    <xf numFmtId="2" fontId="15" fillId="0" borderId="0" xfId="8" applyNumberFormat="1" applyFont="1" applyFill="1" applyBorder="1" applyAlignment="1">
      <alignment vertical="top"/>
    </xf>
    <xf numFmtId="0" fontId="15" fillId="0" borderId="0" xfId="8" applyFont="1" applyFill="1" applyBorder="1" applyAlignment="1">
      <alignment vertical="top"/>
    </xf>
    <xf numFmtId="2" fontId="15" fillId="0" borderId="0" xfId="8" applyNumberFormat="1" applyFont="1" applyBorder="1" applyAlignment="1">
      <alignment horizontal="center" vertical="top"/>
    </xf>
    <xf numFmtId="2" fontId="15" fillId="0" borderId="0" xfId="8" applyNumberFormat="1" applyFont="1" applyFill="1" applyBorder="1" applyAlignment="1">
      <alignment horizontal="right" vertical="top"/>
    </xf>
    <xf numFmtId="0" fontId="7" fillId="0" borderId="0" xfId="8" applyFont="1" applyBorder="1" applyAlignment="1">
      <alignment vertical="top"/>
    </xf>
    <xf numFmtId="2" fontId="16" fillId="0" borderId="0" xfId="8" applyNumberFormat="1" applyFont="1" applyFill="1" applyBorder="1" applyAlignment="1">
      <alignment horizontal="right" vertical="top"/>
    </xf>
    <xf numFmtId="2" fontId="16" fillId="0" borderId="0" xfId="8" applyNumberFormat="1" applyFont="1" applyBorder="1" applyAlignment="1">
      <alignment horizontal="right" vertical="top"/>
    </xf>
    <xf numFmtId="171" fontId="14" fillId="0" borderId="0" xfId="8" applyNumberFormat="1" applyFill="1" applyBorder="1" applyAlignment="1">
      <alignment horizontal="right" vertical="top"/>
    </xf>
    <xf numFmtId="4" fontId="14" fillId="0" borderId="0" xfId="8" applyNumberFormat="1" applyFill="1" applyBorder="1" applyAlignment="1">
      <alignment horizontal="right" vertical="top"/>
    </xf>
    <xf numFmtId="0" fontId="18" fillId="0" borderId="0" xfId="8" applyFont="1" applyBorder="1" applyAlignment="1">
      <alignment vertical="top"/>
    </xf>
    <xf numFmtId="0" fontId="8" fillId="0" borderId="0" xfId="8" applyFont="1" applyBorder="1" applyAlignment="1">
      <alignment horizontal="left" vertical="top"/>
    </xf>
    <xf numFmtId="0" fontId="20" fillId="0" borderId="0" xfId="17" applyAlignment="1">
      <alignment vertical="top"/>
    </xf>
    <xf numFmtId="0" fontId="20" fillId="0" borderId="0" xfId="17" applyAlignment="1">
      <alignment horizontal="right" vertical="top"/>
    </xf>
    <xf numFmtId="2" fontId="20" fillId="0" borderId="0" xfId="17" applyNumberFormat="1" applyAlignment="1">
      <alignment vertical="top"/>
    </xf>
    <xf numFmtId="2" fontId="20" fillId="0" borderId="0" xfId="17" applyNumberFormat="1" applyAlignment="1">
      <alignment horizontal="right" vertical="top"/>
    </xf>
    <xf numFmtId="2" fontId="20" fillId="0" borderId="0" xfId="17" applyNumberFormat="1" applyAlignment="1">
      <alignment horizontal="left" vertical="top"/>
    </xf>
    <xf numFmtId="0" fontId="20" fillId="0" borderId="0" xfId="17" applyAlignment="1">
      <alignment horizontal="left" vertical="top"/>
    </xf>
    <xf numFmtId="2" fontId="5" fillId="0" borderId="0" xfId="17" applyNumberFormat="1" applyFont="1" applyBorder="1" applyAlignment="1">
      <alignment horizontal="right" vertical="top"/>
    </xf>
    <xf numFmtId="0" fontId="5" fillId="0" borderId="0" xfId="17" applyFont="1" applyBorder="1" applyAlignment="1">
      <alignment vertical="top" wrapText="1"/>
    </xf>
    <xf numFmtId="2" fontId="20" fillId="0" borderId="0" xfId="17" applyNumberFormat="1" applyBorder="1" applyAlignment="1">
      <alignment horizontal="right" vertical="top"/>
    </xf>
    <xf numFmtId="0" fontId="20" fillId="0" borderId="0" xfId="17" applyBorder="1" applyAlignment="1">
      <alignment vertical="top" wrapText="1"/>
    </xf>
    <xf numFmtId="0" fontId="8" fillId="0" borderId="0" xfId="17" applyFont="1" applyBorder="1" applyAlignment="1">
      <alignment vertical="top" wrapText="1"/>
    </xf>
    <xf numFmtId="0" fontId="5" fillId="0" borderId="0" xfId="17" applyFont="1" applyAlignment="1">
      <alignment vertical="top"/>
    </xf>
    <xf numFmtId="0" fontId="8" fillId="0" borderId="0" xfId="17" applyFont="1" applyAlignment="1">
      <alignment vertical="top" wrapText="1"/>
    </xf>
    <xf numFmtId="0" fontId="20" fillId="0" borderId="0" xfId="17" applyBorder="1" applyAlignment="1">
      <alignment horizontal="right" vertical="top"/>
    </xf>
    <xf numFmtId="0" fontId="13" fillId="0" borderId="0" xfId="17" applyFont="1" applyBorder="1" applyAlignment="1">
      <alignment vertical="top" wrapText="1"/>
    </xf>
    <xf numFmtId="0" fontId="20" fillId="0" borderId="0" xfId="17" quotePrefix="1" applyAlignment="1">
      <alignment horizontal="right" vertical="top"/>
    </xf>
    <xf numFmtId="0" fontId="21" fillId="0" borderId="0" xfId="17" applyFont="1" applyAlignment="1">
      <alignment horizontal="center" vertical="top"/>
    </xf>
    <xf numFmtId="0" fontId="21" fillId="0" borderId="0" xfId="17" applyFont="1" applyAlignment="1">
      <alignment horizontal="right" vertical="top"/>
    </xf>
    <xf numFmtId="0" fontId="21" fillId="0" borderId="0" xfId="17" applyFont="1" applyAlignment="1">
      <alignment horizontal="center" vertical="top"/>
    </xf>
    <xf numFmtId="2" fontId="20" fillId="0" borderId="0" xfId="17" quotePrefix="1" applyNumberFormat="1" applyAlignment="1">
      <alignment vertical="top"/>
    </xf>
    <xf numFmtId="0" fontId="20" fillId="0" borderId="0" xfId="17" applyAlignment="1">
      <alignment vertical="top" wrapText="1"/>
    </xf>
    <xf numFmtId="0" fontId="20" fillId="0" borderId="0" xfId="17" applyFill="1" applyAlignment="1">
      <alignment vertical="top"/>
    </xf>
    <xf numFmtId="2" fontId="20" fillId="0" borderId="0" xfId="17" applyNumberFormat="1" applyFill="1" applyAlignment="1">
      <alignment vertical="top"/>
    </xf>
    <xf numFmtId="0" fontId="8" fillId="0" borderId="0" xfId="17" applyFont="1" applyBorder="1" applyAlignment="1">
      <alignment vertical="top"/>
    </xf>
    <xf numFmtId="0" fontId="5" fillId="0" borderId="0" xfId="17" applyFont="1" applyBorder="1" applyAlignment="1">
      <alignment vertical="top"/>
    </xf>
    <xf numFmtId="0" fontId="20" fillId="0" borderId="0" xfId="17" applyBorder="1" applyAlignment="1">
      <alignment vertical="top"/>
    </xf>
    <xf numFmtId="2" fontId="20" fillId="0" borderId="0" xfId="17" applyNumberFormat="1" applyFill="1" applyBorder="1" applyAlignment="1">
      <alignment horizontal="right" vertical="top"/>
    </xf>
    <xf numFmtId="0" fontId="8" fillId="0" borderId="0" xfId="17" applyFont="1" applyFill="1" applyBorder="1" applyAlignment="1">
      <alignment vertical="top"/>
    </xf>
    <xf numFmtId="2" fontId="8" fillId="0" borderId="0" xfId="17" applyNumberFormat="1" applyFont="1" applyBorder="1" applyAlignment="1">
      <alignment horizontal="right" vertical="top"/>
    </xf>
    <xf numFmtId="0" fontId="13" fillId="0" borderId="0" xfId="17" applyFont="1" applyBorder="1" applyAlignment="1">
      <alignment vertical="top"/>
    </xf>
    <xf numFmtId="0" fontId="8" fillId="0" borderId="0" xfId="17" applyFont="1" applyBorder="1"/>
    <xf numFmtId="2" fontId="8" fillId="0" borderId="0" xfId="17" applyNumberFormat="1" applyFont="1" applyBorder="1"/>
    <xf numFmtId="0" fontId="20" fillId="0" borderId="0" xfId="17" applyFont="1" applyBorder="1" applyAlignment="1">
      <alignment vertical="top" wrapText="1"/>
    </xf>
    <xf numFmtId="0" fontId="8" fillId="0" borderId="0" xfId="17" applyFont="1" applyAlignment="1">
      <alignment vertical="top"/>
    </xf>
    <xf numFmtId="2" fontId="8" fillId="0" borderId="0" xfId="17" applyNumberFormat="1" applyFont="1" applyBorder="1" applyAlignment="1">
      <alignment vertical="top"/>
    </xf>
    <xf numFmtId="0" fontId="8" fillId="0" borderId="0" xfId="17" quotePrefix="1" applyFont="1" applyBorder="1" applyAlignment="1">
      <alignment vertical="top"/>
    </xf>
    <xf numFmtId="0" fontId="8" fillId="0" borderId="0" xfId="17" applyFont="1" applyBorder="1" applyAlignment="1">
      <alignment horizontal="right" vertical="top"/>
    </xf>
    <xf numFmtId="0" fontId="5" fillId="0" borderId="0" xfId="17" applyFont="1" applyBorder="1"/>
    <xf numFmtId="0" fontId="5" fillId="0" borderId="0" xfId="17" applyFont="1" applyBorder="1" applyAlignment="1">
      <alignment horizontal="center"/>
    </xf>
    <xf numFmtId="2" fontId="5" fillId="0" borderId="0" xfId="8" applyNumberFormat="1" applyFont="1" applyFill="1" applyBorder="1" applyAlignment="1">
      <alignment horizontal="right" vertical="top" wrapText="1"/>
    </xf>
    <xf numFmtId="168" fontId="12" fillId="0" borderId="2" xfId="5" applyNumberFormat="1" applyFont="1" applyBorder="1"/>
    <xf numFmtId="168" fontId="5" fillId="0" borderId="2" xfId="5" applyNumberFormat="1" applyFont="1" applyBorder="1"/>
    <xf numFmtId="0" fontId="0" fillId="0" borderId="0" xfId="0" applyFill="1"/>
    <xf numFmtId="1" fontId="8" fillId="0" borderId="0" xfId="0" applyNumberFormat="1" applyFont="1" applyFill="1" applyBorder="1" applyAlignment="1">
      <alignment horizontal="center"/>
    </xf>
    <xf numFmtId="1" fontId="0" fillId="0" borderId="0" xfId="0" applyNumberFormat="1" applyFill="1"/>
    <xf numFmtId="2" fontId="0" fillId="0" borderId="0" xfId="0" applyNumberFormat="1"/>
    <xf numFmtId="1" fontId="5" fillId="0" borderId="2" xfId="0" applyNumberFormat="1" applyFont="1" applyFill="1" applyBorder="1" applyAlignment="1">
      <alignment horizontal="center" vertical="top"/>
    </xf>
    <xf numFmtId="1" fontId="22" fillId="0" borderId="2" xfId="0" applyNumberFormat="1" applyFont="1" applyFill="1" applyBorder="1" applyAlignment="1">
      <alignment horizontal="center" vertical="top"/>
    </xf>
    <xf numFmtId="1" fontId="0" fillId="0" borderId="2" xfId="0" applyNumberFormat="1" applyFill="1" applyBorder="1" applyAlignment="1">
      <alignment horizontal="center" vertical="top"/>
    </xf>
    <xf numFmtId="1" fontId="23" fillId="0" borderId="2" xfId="0" applyNumberFormat="1" applyFont="1" applyFill="1" applyBorder="1" applyAlignment="1">
      <alignment horizontal="center" vertical="top"/>
    </xf>
    <xf numFmtId="1" fontId="0" fillId="0" borderId="2" xfId="0" applyNumberFormat="1" applyFill="1" applyBorder="1" applyAlignment="1">
      <alignment horizontal="center"/>
    </xf>
    <xf numFmtId="14" fontId="23" fillId="0" borderId="2" xfId="0" applyNumberFormat="1" applyFont="1" applyFill="1" applyBorder="1" applyAlignment="1">
      <alignment horizontal="center" vertical="top"/>
    </xf>
    <xf numFmtId="1" fontId="24" fillId="0" borderId="2" xfId="0" applyNumberFormat="1" applyFont="1" applyFill="1" applyBorder="1" applyAlignment="1">
      <alignment horizontal="center" vertical="top"/>
    </xf>
    <xf numFmtId="0" fontId="5" fillId="0" borderId="0" xfId="0" applyFont="1"/>
    <xf numFmtId="1" fontId="5" fillId="0" borderId="4" xfId="0" applyNumberFormat="1" applyFont="1" applyBorder="1" applyAlignment="1">
      <alignment horizontal="center"/>
    </xf>
    <xf numFmtId="0" fontId="0" fillId="0" borderId="0" xfId="8" applyFont="1" applyBorder="1" applyAlignment="1">
      <alignment vertical="top"/>
    </xf>
    <xf numFmtId="2" fontId="0" fillId="0" borderId="0" xfId="8" applyNumberFormat="1" applyFont="1" applyBorder="1" applyAlignment="1">
      <alignment horizontal="right" vertical="top"/>
    </xf>
    <xf numFmtId="168" fontId="11" fillId="0" borderId="2" xfId="5" applyNumberFormat="1" applyFont="1" applyBorder="1" applyAlignment="1">
      <alignment horizontal="center"/>
    </xf>
    <xf numFmtId="2" fontId="14" fillId="0" borderId="0" xfId="5" applyNumberFormat="1" applyFont="1" applyBorder="1" applyAlignment="1">
      <alignment horizontal="right" vertical="top"/>
    </xf>
    <xf numFmtId="1" fontId="5" fillId="0" borderId="4" xfId="0" applyNumberFormat="1" applyFont="1" applyBorder="1" applyAlignment="1">
      <alignment horizontal="center"/>
    </xf>
    <xf numFmtId="1" fontId="8" fillId="0" borderId="0" xfId="0" applyNumberFormat="1" applyFont="1"/>
    <xf numFmtId="0" fontId="0" fillId="0" borderId="0" xfId="17" applyFont="1" applyBorder="1" applyAlignment="1">
      <alignment vertical="top" wrapText="1"/>
    </xf>
    <xf numFmtId="0" fontId="0" fillId="0" borderId="0" xfId="17" quotePrefix="1" applyFont="1" applyBorder="1" applyAlignment="1">
      <alignment vertical="top"/>
    </xf>
    <xf numFmtId="168" fontId="5" fillId="0" borderId="2" xfId="5" applyNumberFormat="1" applyFont="1" applyBorder="1" applyAlignment="1">
      <alignment horizontal="center"/>
    </xf>
    <xf numFmtId="168" fontId="5" fillId="0" borderId="2" xfId="5" applyNumberFormat="1" applyFont="1" applyBorder="1" applyAlignment="1">
      <alignment horizontal="center"/>
    </xf>
    <xf numFmtId="1" fontId="5" fillId="0" borderId="2" xfId="0" applyNumberFormat="1" applyFont="1" applyBorder="1" applyAlignment="1">
      <alignment horizontal="center"/>
    </xf>
    <xf numFmtId="168" fontId="5" fillId="0" borderId="2" xfId="5" applyNumberFormat="1" applyFont="1" applyBorder="1" applyAlignment="1">
      <alignment horizontal="center"/>
    </xf>
    <xf numFmtId="0" fontId="11" fillId="0" borderId="2" xfId="0" applyFont="1" applyBorder="1" applyAlignment="1">
      <alignment horizontal="center"/>
    </xf>
    <xf numFmtId="168" fontId="11" fillId="0" borderId="2" xfId="5" applyNumberFormat="1" applyFont="1" applyBorder="1" applyAlignment="1">
      <alignment horizontal="center"/>
    </xf>
    <xf numFmtId="0" fontId="5" fillId="0" borderId="2" xfId="3" applyFont="1" applyBorder="1" applyAlignment="1"/>
    <xf numFmtId="10" fontId="5" fillId="0" borderId="2" xfId="3" applyNumberFormat="1" applyFont="1" applyBorder="1" applyAlignment="1"/>
    <xf numFmtId="0" fontId="5" fillId="0" borderId="0" xfId="3" applyFont="1" applyAlignment="1"/>
    <xf numFmtId="1" fontId="5" fillId="0" borderId="2" xfId="0" applyNumberFormat="1" applyFont="1" applyBorder="1" applyAlignment="1">
      <alignment horizontal="center"/>
    </xf>
    <xf numFmtId="164" fontId="0" fillId="0" borderId="2" xfId="5" applyFont="1" applyBorder="1" applyAlignment="1">
      <alignment horizontal="center"/>
    </xf>
    <xf numFmtId="0" fontId="0" fillId="0" borderId="0" xfId="0" applyFont="1" applyAlignment="1">
      <alignment horizontal="left"/>
    </xf>
    <xf numFmtId="168" fontId="0" fillId="0" borderId="2" xfId="5" applyNumberFormat="1" applyFont="1" applyFill="1" applyBorder="1"/>
    <xf numFmtId="168" fontId="0" fillId="0" borderId="2" xfId="5" applyNumberFormat="1" applyFont="1" applyFill="1" applyBorder="1" applyAlignment="1">
      <alignment horizontal="center"/>
    </xf>
    <xf numFmtId="1" fontId="8" fillId="0" borderId="2" xfId="5" applyNumberFormat="1" applyFont="1" applyFill="1" applyBorder="1" applyAlignment="1">
      <alignment horizontal="center" vertical="center"/>
    </xf>
    <xf numFmtId="168" fontId="8" fillId="0" borderId="2" xfId="5" applyNumberFormat="1" applyFont="1" applyFill="1" applyBorder="1" applyAlignment="1">
      <alignment horizontal="center" vertical="center"/>
    </xf>
    <xf numFmtId="169" fontId="8" fillId="0" borderId="2" xfId="0" applyNumberFormat="1" applyFont="1" applyFill="1" applyBorder="1"/>
    <xf numFmtId="0" fontId="5" fillId="0" borderId="0" xfId="0" applyFont="1" applyFill="1" applyAlignment="1">
      <alignment horizontal="center"/>
    </xf>
    <xf numFmtId="0" fontId="6" fillId="0" borderId="0" xfId="0" applyFont="1" applyFill="1"/>
    <xf numFmtId="0" fontId="0" fillId="0" borderId="2" xfId="0" applyFill="1" applyBorder="1" applyAlignment="1">
      <alignment horizontal="center"/>
    </xf>
    <xf numFmtId="0" fontId="0" fillId="0" borderId="0" xfId="0" applyFill="1" applyAlignment="1">
      <alignment horizontal="center"/>
    </xf>
    <xf numFmtId="164" fontId="0" fillId="0" borderId="0" xfId="0" applyNumberFormat="1" applyFill="1" applyAlignment="1">
      <alignment horizontal="center"/>
    </xf>
    <xf numFmtId="1" fontId="6" fillId="0" borderId="0" xfId="0" applyNumberFormat="1" applyFont="1" applyFill="1"/>
    <xf numFmtId="1" fontId="8" fillId="0" borderId="2" xfId="0" applyNumberFormat="1" applyFont="1" applyFill="1" applyBorder="1"/>
    <xf numFmtId="0" fontId="8" fillId="0" borderId="2" xfId="0" applyFont="1" applyFill="1" applyBorder="1" applyAlignment="1"/>
    <xf numFmtId="1" fontId="0" fillId="0" borderId="2" xfId="0" applyNumberFormat="1" applyFill="1" applyBorder="1" applyAlignment="1"/>
    <xf numFmtId="1" fontId="8" fillId="0" borderId="2" xfId="0" applyNumberFormat="1" applyFont="1" applyFill="1" applyBorder="1" applyAlignment="1"/>
    <xf numFmtId="1" fontId="5" fillId="0" borderId="2" xfId="0" applyNumberFormat="1" applyFont="1" applyFill="1" applyBorder="1"/>
    <xf numFmtId="10" fontId="0" fillId="0" borderId="0" xfId="0" applyNumberFormat="1" applyFill="1" applyAlignment="1">
      <alignment horizontal="left"/>
    </xf>
    <xf numFmtId="17" fontId="0" fillId="0" borderId="0" xfId="0" applyNumberFormat="1" applyFill="1"/>
    <xf numFmtId="168" fontId="0" fillId="0" borderId="0" xfId="5" applyNumberFormat="1" applyFont="1" applyFill="1"/>
    <xf numFmtId="168" fontId="0" fillId="0" borderId="0" xfId="5" applyNumberFormat="1" applyFont="1" applyFill="1" applyAlignment="1">
      <alignment horizontal="center"/>
    </xf>
    <xf numFmtId="9" fontId="8" fillId="0" borderId="2" xfId="4" applyFill="1" applyBorder="1" applyAlignment="1">
      <alignment horizontal="center"/>
    </xf>
    <xf numFmtId="0" fontId="0" fillId="0" borderId="2" xfId="0" applyFill="1" applyBorder="1" applyAlignment="1">
      <alignment wrapText="1"/>
    </xf>
    <xf numFmtId="9" fontId="5" fillId="0" borderId="2" xfId="4" applyFont="1" applyFill="1" applyBorder="1" applyAlignment="1">
      <alignment horizontal="center"/>
    </xf>
    <xf numFmtId="0" fontId="10" fillId="0" borderId="2" xfId="0" applyFont="1" applyFill="1" applyBorder="1" applyAlignment="1">
      <alignment horizontal="center"/>
    </xf>
    <xf numFmtId="0" fontId="0" fillId="0" borderId="0" xfId="0" applyAlignment="1">
      <alignment horizontal="center"/>
    </xf>
    <xf numFmtId="0" fontId="29" fillId="7" borderId="0" xfId="16" applyFont="1" applyFill="1" applyAlignment="1" applyProtection="1">
      <alignment horizontal="left"/>
    </xf>
    <xf numFmtId="0" fontId="31" fillId="7" borderId="0" xfId="16" applyFont="1" applyFill="1" applyAlignment="1" applyProtection="1">
      <alignment horizontal="center"/>
    </xf>
    <xf numFmtId="0" fontId="32" fillId="8" borderId="0" xfId="16" applyFont="1" applyFill="1" applyAlignment="1" applyProtection="1"/>
    <xf numFmtId="0" fontId="32" fillId="0" borderId="0" xfId="16" applyFont="1" applyAlignment="1" applyProtection="1"/>
    <xf numFmtId="0" fontId="33" fillId="9" borderId="0" xfId="16" applyFont="1" applyFill="1" applyAlignment="1" applyProtection="1">
      <alignment vertical="top"/>
    </xf>
    <xf numFmtId="0" fontId="33" fillId="9" borderId="0" xfId="16" applyFont="1" applyFill="1" applyAlignment="1" applyProtection="1">
      <alignment vertical="top" wrapText="1"/>
    </xf>
    <xf numFmtId="0" fontId="33" fillId="9" borderId="0" xfId="16" applyFont="1" applyFill="1" applyAlignment="1" applyProtection="1">
      <alignment horizontal="center" vertical="top"/>
    </xf>
    <xf numFmtId="0" fontId="33" fillId="9" borderId="0" xfId="16" applyFont="1" applyFill="1" applyAlignment="1" applyProtection="1">
      <alignment horizontal="center" vertical="top" wrapText="1"/>
    </xf>
    <xf numFmtId="0" fontId="32" fillId="0" borderId="0" xfId="16" applyFont="1" applyAlignment="1" applyProtection="1">
      <alignment vertical="top"/>
    </xf>
    <xf numFmtId="0" fontId="32" fillId="10" borderId="2" xfId="16" applyFont="1" applyFill="1" applyBorder="1" applyAlignment="1" applyProtection="1">
      <alignment horizontal="center"/>
      <protection locked="0"/>
    </xf>
    <xf numFmtId="0" fontId="32" fillId="10" borderId="2" xfId="16" quotePrefix="1" applyFont="1" applyFill="1" applyBorder="1" applyAlignment="1" applyProtection="1">
      <alignment horizontal="center"/>
      <protection hidden="1"/>
    </xf>
    <xf numFmtId="9" fontId="32" fillId="10" borderId="2" xfId="21" applyFont="1" applyFill="1" applyBorder="1" applyAlignment="1" applyProtection="1">
      <alignment horizontal="center"/>
      <protection hidden="1"/>
    </xf>
    <xf numFmtId="10" fontId="32" fillId="10" borderId="2" xfId="21" applyNumberFormat="1" applyFont="1" applyFill="1" applyBorder="1" applyAlignment="1" applyProtection="1">
      <alignment horizontal="center"/>
      <protection hidden="1"/>
    </xf>
    <xf numFmtId="0" fontId="32" fillId="8" borderId="0" xfId="16" applyFont="1" applyFill="1" applyAlignment="1" applyProtection="1">
      <protection locked="0"/>
    </xf>
    <xf numFmtId="0" fontId="32" fillId="0" borderId="0" xfId="16" applyFont="1" applyAlignment="1" applyProtection="1">
      <protection locked="0"/>
    </xf>
    <xf numFmtId="0" fontId="32" fillId="8" borderId="0" xfId="16" applyFont="1" applyFill="1" applyAlignment="1" applyProtection="1">
      <alignment horizontal="center"/>
    </xf>
    <xf numFmtId="0" fontId="34" fillId="11" borderId="0" xfId="16" applyFont="1" applyFill="1" applyAlignment="1" applyProtection="1"/>
    <xf numFmtId="0" fontId="35" fillId="11" borderId="0" xfId="16" applyFont="1" applyFill="1" applyAlignment="1" applyProtection="1">
      <alignment horizontal="center"/>
    </xf>
    <xf numFmtId="0" fontId="32" fillId="8" borderId="0" xfId="16" applyFont="1" applyFill="1" applyAlignment="1" applyProtection="1">
      <alignment horizontal="center"/>
      <protection locked="0"/>
    </xf>
    <xf numFmtId="0" fontId="33" fillId="0" borderId="0" xfId="16" applyFont="1" applyAlignment="1" applyProtection="1">
      <alignment horizontal="center"/>
    </xf>
    <xf numFmtId="0" fontId="32" fillId="0" borderId="0" xfId="16" applyFont="1" applyAlignment="1" applyProtection="1">
      <alignment horizontal="center"/>
      <protection locked="0"/>
    </xf>
    <xf numFmtId="0" fontId="33" fillId="0" borderId="32" xfId="16" applyFont="1" applyBorder="1" applyAlignment="1" applyProtection="1">
      <alignment horizontal="center"/>
    </xf>
    <xf numFmtId="0" fontId="33" fillId="0" borderId="33" xfId="16" applyFont="1" applyBorder="1" applyAlignment="1" applyProtection="1">
      <alignment horizontal="center"/>
    </xf>
    <xf numFmtId="0" fontId="32" fillId="0" borderId="34" xfId="16" applyFont="1" applyBorder="1" applyAlignment="1" applyProtection="1">
      <alignment horizontal="center"/>
      <protection locked="0"/>
    </xf>
    <xf numFmtId="0" fontId="33" fillId="8" borderId="0" xfId="16" applyFont="1" applyFill="1" applyBorder="1" applyAlignment="1" applyProtection="1">
      <alignment horizontal="center"/>
      <protection locked="0"/>
    </xf>
    <xf numFmtId="0" fontId="32" fillId="8" borderId="0" xfId="16" applyFont="1" applyFill="1" applyAlignment="1" applyProtection="1">
      <alignment horizontal="center" vertical="top" wrapText="1"/>
    </xf>
    <xf numFmtId="0" fontId="32" fillId="8" borderId="0" xfId="16" applyFont="1" applyFill="1" applyAlignment="1" applyProtection="1">
      <alignment vertical="top" wrapText="1"/>
    </xf>
    <xf numFmtId="0" fontId="32" fillId="0" borderId="0" xfId="16" applyFont="1" applyAlignment="1" applyProtection="1">
      <alignment vertical="top" wrapText="1"/>
    </xf>
    <xf numFmtId="176" fontId="32" fillId="0" borderId="17" xfId="16" applyNumberFormat="1" applyFont="1" applyBorder="1" applyAlignment="1" applyProtection="1">
      <alignment horizontal="center"/>
      <protection locked="0"/>
    </xf>
    <xf numFmtId="2" fontId="32" fillId="8" borderId="2" xfId="16" applyNumberFormat="1" applyFont="1" applyFill="1" applyBorder="1" applyAlignment="1" applyProtection="1">
      <alignment horizontal="center"/>
      <protection locked="0"/>
    </xf>
    <xf numFmtId="0" fontId="32" fillId="0" borderId="2" xfId="16" applyFont="1" applyBorder="1" applyAlignment="1" applyProtection="1">
      <alignment horizontal="center"/>
      <protection locked="0"/>
    </xf>
    <xf numFmtId="2" fontId="32" fillId="10" borderId="18" xfId="16" applyNumberFormat="1" applyFont="1" applyFill="1" applyBorder="1" applyAlignment="1" applyProtection="1">
      <alignment horizontal="center"/>
      <protection hidden="1"/>
    </xf>
    <xf numFmtId="0" fontId="32" fillId="0" borderId="0" xfId="16" applyFont="1" applyAlignment="1" applyProtection="1">
      <alignment vertical="top"/>
      <protection locked="0"/>
    </xf>
    <xf numFmtId="176" fontId="32" fillId="10" borderId="17" xfId="16" applyNumberFormat="1" applyFont="1" applyFill="1" applyBorder="1" applyAlignment="1" applyProtection="1">
      <alignment horizontal="center"/>
      <protection hidden="1"/>
    </xf>
    <xf numFmtId="0" fontId="32" fillId="0" borderId="37" xfId="16" applyFont="1" applyBorder="1" applyAlignment="1" applyProtection="1">
      <alignment horizontal="center"/>
    </xf>
    <xf numFmtId="0" fontId="32" fillId="0" borderId="31" xfId="16" applyFont="1" applyBorder="1" applyAlignment="1" applyProtection="1">
      <alignment horizontal="center"/>
      <protection locked="0"/>
    </xf>
    <xf numFmtId="0" fontId="32" fillId="10" borderId="31" xfId="16" applyFont="1" applyFill="1" applyBorder="1" applyAlignment="1" applyProtection="1">
      <alignment horizontal="center"/>
      <protection hidden="1"/>
    </xf>
    <xf numFmtId="0" fontId="32" fillId="8" borderId="0" xfId="16" applyFont="1" applyFill="1" applyBorder="1" applyAlignment="1" applyProtection="1">
      <alignment horizontal="center"/>
    </xf>
    <xf numFmtId="0" fontId="33" fillId="8" borderId="0" xfId="16" applyFont="1" applyFill="1" applyBorder="1" applyAlignment="1" applyProtection="1">
      <alignment horizontal="center"/>
    </xf>
    <xf numFmtId="0" fontId="32" fillId="0" borderId="31" xfId="16" applyFont="1" applyBorder="1" applyAlignment="1" applyProtection="1">
      <alignment horizontal="center"/>
    </xf>
    <xf numFmtId="0" fontId="37" fillId="9" borderId="14" xfId="16" applyFont="1" applyFill="1" applyBorder="1" applyAlignment="1" applyProtection="1">
      <alignment horizontal="center" vertical="top" wrapText="1"/>
    </xf>
    <xf numFmtId="0" fontId="37" fillId="9" borderId="15" xfId="16" applyFont="1" applyFill="1" applyBorder="1" applyAlignment="1" applyProtection="1">
      <alignment horizontal="center" vertical="top" wrapText="1"/>
    </xf>
    <xf numFmtId="0" fontId="37" fillId="9" borderId="16" xfId="16" applyFont="1" applyFill="1" applyBorder="1" applyAlignment="1" applyProtection="1">
      <alignment horizontal="center" vertical="top" wrapText="1"/>
    </xf>
    <xf numFmtId="0" fontId="32" fillId="0" borderId="40" xfId="16" applyFont="1" applyBorder="1" applyAlignment="1" applyProtection="1">
      <alignment horizontal="center"/>
      <protection locked="0"/>
    </xf>
    <xf numFmtId="0" fontId="32" fillId="10" borderId="2" xfId="16" applyFont="1" applyFill="1" applyBorder="1" applyAlignment="1" applyProtection="1">
      <alignment horizontal="center"/>
      <protection hidden="1"/>
    </xf>
    <xf numFmtId="0" fontId="42" fillId="0" borderId="0" xfId="24" applyFont="1" applyFill="1" applyAlignment="1" applyProtection="1">
      <protection locked="0"/>
    </xf>
    <xf numFmtId="0" fontId="40" fillId="0" borderId="0" xfId="24" applyFont="1" applyFill="1" applyAlignment="1" applyProtection="1">
      <protection hidden="1"/>
    </xf>
    <xf numFmtId="0" fontId="41" fillId="0" borderId="0" xfId="24" applyFont="1" applyFill="1" applyAlignment="1" applyProtection="1">
      <alignment horizontal="center"/>
      <protection hidden="1"/>
    </xf>
    <xf numFmtId="0" fontId="42" fillId="0" borderId="0" xfId="24" applyFont="1" applyFill="1" applyAlignment="1" applyProtection="1">
      <protection hidden="1"/>
    </xf>
    <xf numFmtId="2" fontId="42" fillId="10" borderId="2" xfId="24" applyNumberFormat="1" applyFont="1" applyFill="1" applyBorder="1" applyAlignment="1" applyProtection="1">
      <alignment horizontal="center"/>
      <protection hidden="1"/>
    </xf>
    <xf numFmtId="10" fontId="42" fillId="10" borderId="2" xfId="25" applyNumberFormat="1" applyFont="1" applyFill="1" applyBorder="1" applyAlignment="1" applyProtection="1">
      <alignment horizontal="center"/>
      <protection hidden="1"/>
    </xf>
    <xf numFmtId="0" fontId="42" fillId="8" borderId="0" xfId="24" applyFont="1" applyFill="1" applyAlignment="1" applyProtection="1">
      <protection hidden="1"/>
    </xf>
    <xf numFmtId="0" fontId="42" fillId="8" borderId="0" xfId="24" applyFont="1" applyFill="1" applyAlignment="1" applyProtection="1">
      <alignment horizontal="center"/>
      <protection hidden="1"/>
    </xf>
    <xf numFmtId="0" fontId="42" fillId="9" borderId="2" xfId="24" applyFont="1" applyFill="1" applyBorder="1" applyAlignment="1" applyProtection="1"/>
    <xf numFmtId="0" fontId="43" fillId="9" borderId="2" xfId="24" applyFont="1" applyFill="1" applyBorder="1" applyAlignment="1" applyProtection="1">
      <alignment horizontal="center"/>
      <protection locked="0"/>
    </xf>
    <xf numFmtId="0" fontId="43" fillId="9" borderId="5" xfId="24" applyFont="1" applyFill="1" applyBorder="1" applyAlignment="1" applyProtection="1">
      <alignment horizontal="center"/>
      <protection locked="0"/>
    </xf>
    <xf numFmtId="0" fontId="43" fillId="9" borderId="2" xfId="24" applyFont="1" applyFill="1" applyBorder="1" applyAlignment="1" applyProtection="1">
      <alignment horizontal="center"/>
    </xf>
    <xf numFmtId="0" fontId="43" fillId="9" borderId="2" xfId="24" applyFont="1" applyFill="1" applyBorder="1" applyAlignment="1" applyProtection="1"/>
    <xf numFmtId="177" fontId="43" fillId="9" borderId="2" xfId="24" applyNumberFormat="1" applyFont="1" applyFill="1" applyBorder="1" applyAlignment="1" applyProtection="1">
      <alignment horizontal="center"/>
      <protection locked="0"/>
    </xf>
    <xf numFmtId="177" fontId="43" fillId="9" borderId="5" xfId="24" applyNumberFormat="1" applyFont="1" applyFill="1" applyBorder="1" applyAlignment="1" applyProtection="1">
      <alignment horizontal="center"/>
      <protection locked="0"/>
    </xf>
    <xf numFmtId="0" fontId="42" fillId="0" borderId="2" xfId="24" applyFont="1" applyBorder="1" applyAlignment="1" applyProtection="1"/>
    <xf numFmtId="2" fontId="42" fillId="0" borderId="2" xfId="24" applyNumberFormat="1" applyFont="1" applyBorder="1" applyAlignment="1" applyProtection="1">
      <alignment horizontal="center"/>
      <protection locked="0"/>
    </xf>
    <xf numFmtId="2" fontId="42" fillId="0" borderId="5" xfId="24" applyNumberFormat="1" applyFont="1" applyBorder="1" applyAlignment="1" applyProtection="1">
      <alignment horizontal="center"/>
      <protection locked="0"/>
    </xf>
    <xf numFmtId="2" fontId="42" fillId="10" borderId="5" xfId="24" applyNumberFormat="1" applyFont="1" applyFill="1" applyBorder="1" applyAlignment="1" applyProtection="1">
      <alignment horizontal="center"/>
      <protection hidden="1"/>
    </xf>
    <xf numFmtId="2" fontId="42" fillId="0" borderId="2" xfId="24" applyNumberFormat="1" applyFont="1" applyBorder="1" applyAlignment="1" applyProtection="1">
      <alignment horizontal="center"/>
      <protection locked="0" hidden="1"/>
    </xf>
    <xf numFmtId="2" fontId="42" fillId="0" borderId="5" xfId="24" applyNumberFormat="1" applyFont="1" applyBorder="1" applyAlignment="1" applyProtection="1">
      <alignment horizontal="center"/>
      <protection locked="0" hidden="1"/>
    </xf>
    <xf numFmtId="0" fontId="42" fillId="0" borderId="0" xfId="24" applyFont="1" applyAlignment="1" applyProtection="1"/>
    <xf numFmtId="2" fontId="42" fillId="0" borderId="0" xfId="24" applyNumberFormat="1" applyFont="1" applyAlignment="1" applyProtection="1">
      <alignment horizontal="center"/>
    </xf>
    <xf numFmtId="2" fontId="42" fillId="0" borderId="2" xfId="24" applyNumberFormat="1" applyFont="1" applyBorder="1" applyAlignment="1" applyProtection="1">
      <alignment horizontal="center"/>
    </xf>
    <xf numFmtId="0" fontId="42" fillId="0" borderId="0" xfId="24" applyFont="1" applyFill="1" applyAlignment="1" applyProtection="1"/>
    <xf numFmtId="177" fontId="43" fillId="9" borderId="2" xfId="24" applyNumberFormat="1" applyFont="1" applyFill="1" applyBorder="1" applyAlignment="1" applyProtection="1">
      <alignment horizontal="center"/>
    </xf>
    <xf numFmtId="177" fontId="43" fillId="9" borderId="5" xfId="24" applyNumberFormat="1" applyFont="1" applyFill="1" applyBorder="1" applyAlignment="1" applyProtection="1">
      <alignment horizontal="center"/>
    </xf>
    <xf numFmtId="0" fontId="42" fillId="0" borderId="2" xfId="24" applyFont="1" applyFill="1" applyBorder="1" applyAlignment="1" applyProtection="1"/>
    <xf numFmtId="2" fontId="42" fillId="0" borderId="2" xfId="24" applyNumberFormat="1" applyFont="1" applyFill="1" applyBorder="1" applyAlignment="1" applyProtection="1">
      <alignment horizontal="center"/>
      <protection locked="0"/>
    </xf>
    <xf numFmtId="0" fontId="42" fillId="0" borderId="3" xfId="24" applyFont="1" applyFill="1" applyBorder="1" applyAlignment="1" applyProtection="1">
      <protection locked="0"/>
    </xf>
    <xf numFmtId="0" fontId="42" fillId="0" borderId="2" xfId="24" applyFont="1" applyFill="1" applyBorder="1" applyAlignment="1" applyProtection="1">
      <protection locked="0"/>
    </xf>
    <xf numFmtId="0" fontId="42" fillId="0" borderId="0" xfId="24" applyFont="1" applyFill="1" applyBorder="1" applyAlignment="1" applyProtection="1">
      <protection locked="0"/>
    </xf>
    <xf numFmtId="2" fontId="42" fillId="0" borderId="5" xfId="24" applyNumberFormat="1" applyFont="1" applyFill="1" applyBorder="1" applyAlignment="1" applyProtection="1">
      <alignment horizontal="center"/>
      <protection locked="0"/>
    </xf>
    <xf numFmtId="0" fontId="42" fillId="9" borderId="2" xfId="24" applyFont="1" applyFill="1" applyBorder="1" applyAlignment="1" applyProtection="1">
      <alignment horizontal="center"/>
      <protection locked="0"/>
    </xf>
    <xf numFmtId="0" fontId="42" fillId="9" borderId="5" xfId="24" applyFont="1" applyFill="1" applyBorder="1" applyAlignment="1" applyProtection="1">
      <alignment horizontal="center"/>
      <protection locked="0"/>
    </xf>
    <xf numFmtId="0" fontId="42" fillId="0" borderId="2" xfId="24" applyFont="1" applyBorder="1" applyAlignment="1" applyProtection="1">
      <alignment horizontal="right"/>
    </xf>
    <xf numFmtId="2" fontId="42" fillId="0" borderId="2" xfId="24" applyNumberFormat="1" applyFont="1" applyBorder="1" applyAlignment="1" applyProtection="1">
      <alignment horizontal="center"/>
      <protection hidden="1"/>
    </xf>
    <xf numFmtId="2" fontId="42" fillId="0" borderId="5" xfId="24" applyNumberFormat="1" applyFont="1" applyBorder="1" applyAlignment="1" applyProtection="1">
      <alignment horizontal="center"/>
      <protection hidden="1"/>
    </xf>
    <xf numFmtId="2" fontId="42" fillId="0" borderId="0" xfId="24" applyNumberFormat="1" applyFont="1" applyAlignment="1" applyProtection="1">
      <alignment horizontal="center"/>
      <protection locked="0"/>
    </xf>
    <xf numFmtId="0" fontId="43" fillId="9" borderId="2" xfId="24" applyFont="1" applyFill="1" applyBorder="1" applyAlignment="1" applyProtection="1">
      <protection hidden="1"/>
    </xf>
    <xf numFmtId="177" fontId="43" fillId="9" borderId="2" xfId="24" applyNumberFormat="1" applyFont="1" applyFill="1" applyBorder="1" applyAlignment="1" applyProtection="1">
      <alignment horizontal="center"/>
      <protection hidden="1"/>
    </xf>
    <xf numFmtId="2" fontId="42" fillId="8" borderId="0" xfId="24" applyNumberFormat="1" applyFont="1" applyFill="1" applyAlignment="1" applyProtection="1">
      <protection locked="0"/>
    </xf>
    <xf numFmtId="0" fontId="42" fillId="9" borderId="2" xfId="24" applyFont="1" applyFill="1" applyBorder="1" applyAlignment="1" applyProtection="1">
      <protection hidden="1"/>
    </xf>
    <xf numFmtId="9" fontId="42" fillId="10" borderId="2" xfId="25" applyFont="1" applyFill="1" applyBorder="1" applyAlignment="1" applyProtection="1">
      <alignment horizontal="center"/>
      <protection hidden="1"/>
    </xf>
    <xf numFmtId="9" fontId="42" fillId="10" borderId="5" xfId="25" applyFont="1" applyFill="1" applyBorder="1" applyAlignment="1" applyProtection="1">
      <alignment horizontal="center"/>
      <protection hidden="1"/>
    </xf>
    <xf numFmtId="10" fontId="42" fillId="10" borderId="5" xfId="25" applyNumberFormat="1" applyFont="1" applyFill="1" applyBorder="1" applyAlignment="1" applyProtection="1">
      <alignment horizontal="center"/>
      <protection hidden="1"/>
    </xf>
    <xf numFmtId="2" fontId="42" fillId="8" borderId="0" xfId="24" applyNumberFormat="1" applyFont="1" applyFill="1" applyAlignment="1" applyProtection="1">
      <alignment horizontal="center"/>
      <protection hidden="1"/>
    </xf>
    <xf numFmtId="2" fontId="42" fillId="8" borderId="2" xfId="24" applyNumberFormat="1" applyFont="1" applyFill="1" applyBorder="1" applyAlignment="1" applyProtection="1">
      <alignment horizontal="center"/>
      <protection hidden="1"/>
    </xf>
    <xf numFmtId="0" fontId="43" fillId="8" borderId="2" xfId="24" applyFont="1" applyFill="1" applyBorder="1" applyAlignment="1" applyProtection="1">
      <protection hidden="1"/>
    </xf>
    <xf numFmtId="0" fontId="43" fillId="0" borderId="2" xfId="24" applyFont="1" applyBorder="1" applyAlignment="1" applyProtection="1">
      <protection hidden="1"/>
    </xf>
    <xf numFmtId="0" fontId="42" fillId="0" borderId="2" xfId="24" applyFont="1" applyBorder="1" applyAlignment="1" applyProtection="1">
      <protection hidden="1"/>
    </xf>
    <xf numFmtId="178" fontId="42" fillId="0" borderId="2" xfId="24" applyNumberFormat="1" applyFont="1" applyBorder="1" applyAlignment="1" applyProtection="1">
      <alignment horizontal="center"/>
      <protection hidden="1"/>
    </xf>
    <xf numFmtId="178" fontId="42" fillId="0" borderId="5" xfId="24" applyNumberFormat="1" applyFont="1" applyBorder="1" applyAlignment="1" applyProtection="1">
      <alignment horizontal="center"/>
      <protection hidden="1"/>
    </xf>
    <xf numFmtId="0" fontId="42" fillId="0" borderId="2" xfId="24" applyFont="1" applyFill="1" applyBorder="1" applyAlignment="1" applyProtection="1">
      <protection hidden="1"/>
    </xf>
    <xf numFmtId="2" fontId="42" fillId="0" borderId="2" xfId="24" applyNumberFormat="1" applyFont="1" applyFill="1" applyBorder="1" applyAlignment="1" applyProtection="1">
      <alignment horizontal="center"/>
      <protection hidden="1"/>
    </xf>
    <xf numFmtId="178" fontId="42" fillId="0" borderId="2" xfId="24" applyNumberFormat="1" applyFont="1" applyFill="1" applyBorder="1" applyAlignment="1" applyProtection="1">
      <alignment horizontal="center"/>
      <protection hidden="1"/>
    </xf>
    <xf numFmtId="178" fontId="42" fillId="0" borderId="5" xfId="24" applyNumberFormat="1" applyFont="1" applyFill="1" applyBorder="1" applyAlignment="1" applyProtection="1">
      <alignment horizontal="center"/>
      <protection hidden="1"/>
    </xf>
    <xf numFmtId="0" fontId="43" fillId="19" borderId="2" xfId="24" applyFont="1" applyFill="1" applyBorder="1" applyAlignment="1" applyProtection="1">
      <protection hidden="1"/>
    </xf>
    <xf numFmtId="2" fontId="43" fillId="9" borderId="2" xfId="24" applyNumberFormat="1" applyFont="1" applyFill="1" applyBorder="1" applyAlignment="1" applyProtection="1">
      <alignment horizontal="center"/>
      <protection hidden="1"/>
    </xf>
    <xf numFmtId="178" fontId="43" fillId="9" borderId="2" xfId="24" applyNumberFormat="1" applyFont="1" applyFill="1" applyBorder="1" applyAlignment="1" applyProtection="1">
      <alignment horizontal="center"/>
      <protection hidden="1"/>
    </xf>
    <xf numFmtId="178" fontId="43" fillId="9" borderId="5" xfId="24" applyNumberFormat="1" applyFont="1" applyFill="1" applyBorder="1" applyAlignment="1" applyProtection="1">
      <alignment horizontal="center"/>
      <protection hidden="1"/>
    </xf>
    <xf numFmtId="2" fontId="42" fillId="9" borderId="2" xfId="24" applyNumberFormat="1" applyFont="1" applyFill="1" applyBorder="1" applyAlignment="1" applyProtection="1">
      <alignment horizontal="center"/>
      <protection hidden="1"/>
    </xf>
    <xf numFmtId="178" fontId="42" fillId="9" borderId="2" xfId="24" applyNumberFormat="1" applyFont="1" applyFill="1" applyBorder="1" applyAlignment="1" applyProtection="1">
      <alignment horizontal="center"/>
      <protection hidden="1"/>
    </xf>
    <xf numFmtId="178" fontId="42" fillId="9" borderId="5" xfId="24" applyNumberFormat="1" applyFont="1" applyFill="1" applyBorder="1" applyAlignment="1" applyProtection="1">
      <alignment horizontal="center"/>
      <protection hidden="1"/>
    </xf>
    <xf numFmtId="178" fontId="42" fillId="0" borderId="0" xfId="24" applyNumberFormat="1" applyFont="1" applyAlignment="1" applyProtection="1">
      <alignment horizontal="center"/>
      <protection locked="0"/>
    </xf>
    <xf numFmtId="2" fontId="42" fillId="0" borderId="0" xfId="24" applyNumberFormat="1" applyFont="1" applyFill="1" applyAlignment="1" applyProtection="1">
      <protection locked="0"/>
    </xf>
    <xf numFmtId="0" fontId="44" fillId="0" borderId="0" xfId="0" applyFont="1"/>
    <xf numFmtId="0" fontId="44" fillId="0" borderId="0" xfId="0" applyFont="1" applyAlignment="1">
      <alignment horizontal="center"/>
    </xf>
    <xf numFmtId="0" fontId="44" fillId="0" borderId="2" xfId="0" applyFont="1" applyBorder="1" applyAlignment="1">
      <alignment horizontal="center"/>
    </xf>
    <xf numFmtId="177" fontId="44" fillId="0" borderId="2" xfId="0" applyNumberFormat="1" applyFont="1" applyBorder="1" applyAlignment="1">
      <alignment horizontal="center"/>
    </xf>
    <xf numFmtId="37" fontId="44" fillId="0" borderId="2" xfId="0" applyNumberFormat="1" applyFont="1" applyBorder="1" applyAlignment="1">
      <alignment horizontal="center"/>
    </xf>
    <xf numFmtId="0" fontId="46" fillId="8" borderId="2" xfId="16" applyFont="1" applyFill="1" applyBorder="1" applyAlignment="1" applyProtection="1">
      <alignment horizontal="center"/>
      <protection locked="0"/>
    </xf>
    <xf numFmtId="9" fontId="44" fillId="0" borderId="2" xfId="4" applyFont="1" applyBorder="1" applyAlignment="1">
      <alignment horizontal="center"/>
    </xf>
    <xf numFmtId="177" fontId="46" fillId="10" borderId="2" xfId="5" applyNumberFormat="1" applyFont="1" applyFill="1" applyBorder="1" applyAlignment="1" applyProtection="1">
      <alignment horizontal="center" vertical="center"/>
      <protection hidden="1"/>
    </xf>
    <xf numFmtId="37" fontId="46" fillId="10" borderId="2" xfId="5" applyNumberFormat="1" applyFont="1" applyFill="1" applyBorder="1" applyAlignment="1" applyProtection="1">
      <alignment horizontal="center" vertical="center"/>
      <protection hidden="1"/>
    </xf>
    <xf numFmtId="0" fontId="45" fillId="20" borderId="15" xfId="0" applyFont="1" applyFill="1" applyBorder="1" applyAlignment="1">
      <alignment horizontal="center"/>
    </xf>
    <xf numFmtId="0" fontId="45" fillId="0" borderId="17" xfId="0" applyFont="1" applyBorder="1"/>
    <xf numFmtId="176" fontId="44" fillId="0" borderId="17" xfId="0" applyNumberFormat="1" applyFont="1" applyBorder="1"/>
    <xf numFmtId="0" fontId="49" fillId="0" borderId="0" xfId="0" applyFont="1"/>
    <xf numFmtId="169" fontId="32" fillId="0" borderId="2" xfId="16" applyNumberFormat="1" applyFont="1" applyBorder="1" applyAlignment="1" applyProtection="1">
      <alignment horizontal="center"/>
      <protection locked="0"/>
    </xf>
    <xf numFmtId="169" fontId="32" fillId="8" borderId="2" xfId="16" applyNumberFormat="1" applyFont="1" applyFill="1" applyBorder="1" applyAlignment="1" applyProtection="1">
      <alignment horizontal="center"/>
      <protection locked="0"/>
    </xf>
    <xf numFmtId="169" fontId="32" fillId="10" borderId="31" xfId="16" applyNumberFormat="1" applyFont="1" applyFill="1" applyBorder="1" applyAlignment="1" applyProtection="1">
      <alignment horizontal="center"/>
      <protection hidden="1"/>
    </xf>
    <xf numFmtId="2" fontId="36" fillId="8" borderId="67" xfId="16" applyNumberFormat="1" applyFont="1" applyFill="1" applyBorder="1" applyAlignment="1" applyProtection="1">
      <alignment horizontal="center"/>
      <protection locked="0"/>
    </xf>
    <xf numFmtId="0" fontId="32" fillId="0" borderId="67" xfId="16" applyFont="1" applyBorder="1" applyAlignment="1" applyProtection="1">
      <alignment horizontal="center"/>
      <protection locked="0"/>
    </xf>
    <xf numFmtId="0" fontId="36" fillId="0" borderId="67" xfId="16" applyFont="1" applyBorder="1" applyAlignment="1" applyProtection="1">
      <alignment horizontal="center"/>
      <protection locked="0"/>
    </xf>
    <xf numFmtId="169" fontId="36" fillId="8" borderId="67" xfId="16" applyNumberFormat="1" applyFont="1" applyFill="1" applyBorder="1" applyAlignment="1" applyProtection="1">
      <alignment horizontal="center"/>
      <protection locked="0"/>
    </xf>
    <xf numFmtId="2" fontId="36" fillId="0" borderId="67" xfId="0" applyNumberFormat="1" applyFont="1" applyBorder="1" applyAlignment="1" applyProtection="1">
      <alignment horizontal="center"/>
      <protection locked="0"/>
    </xf>
    <xf numFmtId="0" fontId="56" fillId="26" borderId="0" xfId="24" applyFont="1" applyFill="1" applyAlignment="1" applyProtection="1">
      <protection hidden="1"/>
    </xf>
    <xf numFmtId="2" fontId="36" fillId="0" borderId="52" xfId="0" applyNumberFormat="1" applyFont="1" applyBorder="1" applyAlignment="1" applyProtection="1">
      <alignment horizontal="center"/>
      <protection locked="0"/>
    </xf>
    <xf numFmtId="2" fontId="36" fillId="0" borderId="0" xfId="0" applyNumberFormat="1" applyFont="1" applyAlignment="1" applyProtection="1">
      <alignment horizontal="center"/>
      <protection locked="0"/>
    </xf>
    <xf numFmtId="2" fontId="36" fillId="0" borderId="67" xfId="0" applyNumberFormat="1" applyFont="1" applyFill="1" applyBorder="1" applyAlignment="1" applyProtection="1">
      <alignment horizontal="center"/>
      <protection locked="0"/>
    </xf>
    <xf numFmtId="2" fontId="36" fillId="0" borderId="52" xfId="0" applyNumberFormat="1" applyFont="1" applyFill="1" applyBorder="1" applyAlignment="1" applyProtection="1">
      <alignment horizontal="center"/>
      <protection locked="0"/>
    </xf>
    <xf numFmtId="2" fontId="59" fillId="0" borderId="89" xfId="0" applyNumberFormat="1" applyFont="1" applyBorder="1" applyAlignment="1" applyProtection="1">
      <alignment horizontal="center"/>
      <protection locked="0"/>
    </xf>
    <xf numFmtId="2" fontId="59" fillId="0" borderId="93" xfId="0" applyNumberFormat="1" applyFont="1" applyBorder="1" applyAlignment="1" applyProtection="1">
      <alignment horizontal="center"/>
      <protection locked="0"/>
    </xf>
    <xf numFmtId="2" fontId="59" fillId="28" borderId="89" xfId="0" applyNumberFormat="1" applyFont="1" applyFill="1" applyBorder="1" applyAlignment="1" applyProtection="1">
      <alignment horizontal="center"/>
      <protection locked="0"/>
    </xf>
    <xf numFmtId="0" fontId="59" fillId="0" borderId="89" xfId="0" applyFont="1" applyBorder="1" applyAlignment="1" applyProtection="1">
      <alignment horizontal="center"/>
      <protection locked="0"/>
    </xf>
    <xf numFmtId="0" fontId="32" fillId="0" borderId="2" xfId="16" applyFont="1" applyFill="1" applyBorder="1" applyAlignment="1" applyProtection="1">
      <alignment horizontal="left" wrapText="1"/>
      <protection locked="0"/>
    </xf>
    <xf numFmtId="0" fontId="45" fillId="0" borderId="17" xfId="0" applyFont="1" applyBorder="1" applyAlignment="1">
      <alignment wrapText="1"/>
    </xf>
    <xf numFmtId="0" fontId="44" fillId="0" borderId="2" xfId="0" applyFont="1" applyBorder="1" applyAlignment="1">
      <alignment horizontal="center" wrapText="1"/>
    </xf>
    <xf numFmtId="0" fontId="44" fillId="0" borderId="0" xfId="0" applyFont="1" applyAlignment="1">
      <alignment wrapText="1"/>
    </xf>
    <xf numFmtId="0" fontId="32" fillId="10" borderId="89" xfId="16" applyFont="1" applyFill="1" applyBorder="1" applyAlignment="1" applyProtection="1">
      <alignment horizontal="center"/>
      <protection hidden="1"/>
    </xf>
    <xf numFmtId="0" fontId="32" fillId="0" borderId="89" xfId="16" applyFont="1" applyBorder="1" applyAlignment="1" applyProtection="1">
      <alignment horizontal="left" wrapText="1"/>
      <protection locked="0"/>
    </xf>
    <xf numFmtId="3" fontId="44" fillId="0" borderId="2" xfId="0" applyNumberFormat="1" applyFont="1" applyBorder="1" applyAlignment="1">
      <alignment horizontal="center"/>
    </xf>
    <xf numFmtId="0" fontId="33" fillId="0" borderId="33" xfId="16" applyFont="1" applyBorder="1" applyAlignment="1" applyProtection="1">
      <alignment horizontal="center"/>
    </xf>
    <xf numFmtId="2" fontId="32" fillId="10" borderId="2" xfId="16" applyNumberFormat="1" applyFont="1" applyFill="1" applyBorder="1" applyAlignment="1" applyProtection="1">
      <alignment horizontal="center"/>
      <protection hidden="1"/>
    </xf>
    <xf numFmtId="0" fontId="32" fillId="10" borderId="2" xfId="16" applyFont="1" applyFill="1" applyBorder="1" applyAlignment="1" applyProtection="1">
      <alignment horizontal="center"/>
      <protection hidden="1"/>
    </xf>
    <xf numFmtId="0" fontId="32" fillId="10" borderId="89" xfId="16" applyFont="1" applyFill="1" applyBorder="1" applyAlignment="1" applyProtection="1">
      <alignment horizontal="center"/>
      <protection locked="0"/>
    </xf>
    <xf numFmtId="0" fontId="32" fillId="10" borderId="89" xfId="16" quotePrefix="1" applyFont="1" applyFill="1" applyBorder="1" applyAlignment="1" applyProtection="1">
      <alignment horizontal="center"/>
      <protection hidden="1"/>
    </xf>
    <xf numFmtId="2" fontId="32" fillId="10" borderId="89" xfId="16" applyNumberFormat="1" applyFont="1" applyFill="1" applyBorder="1" applyAlignment="1" applyProtection="1">
      <alignment horizontal="center"/>
      <protection hidden="1"/>
    </xf>
    <xf numFmtId="10" fontId="32" fillId="10" borderId="89" xfId="21" applyNumberFormat="1" applyFont="1" applyFill="1" applyBorder="1" applyAlignment="1" applyProtection="1">
      <alignment horizontal="center"/>
      <protection hidden="1"/>
    </xf>
    <xf numFmtId="0" fontId="33" fillId="0" borderId="31" xfId="16" applyFont="1" applyBorder="1" applyAlignment="1" applyProtection="1">
      <alignment horizontal="center"/>
    </xf>
    <xf numFmtId="0" fontId="33" fillId="9" borderId="0" xfId="16" applyFont="1" applyFill="1" applyAlignment="1" applyProtection="1">
      <alignment horizontal="center" vertical="top" wrapText="1"/>
    </xf>
    <xf numFmtId="0" fontId="33" fillId="0" borderId="33" xfId="16" applyFont="1" applyBorder="1" applyAlignment="1" applyProtection="1">
      <alignment horizontal="center"/>
    </xf>
    <xf numFmtId="0" fontId="32" fillId="0" borderId="89" xfId="16" applyFont="1" applyBorder="1" applyAlignment="1" applyProtection="1">
      <alignment horizontal="center" vertical="center" wrapText="1"/>
      <protection locked="0"/>
    </xf>
    <xf numFmtId="0" fontId="60" fillId="0" borderId="89" xfId="16" applyFont="1" applyBorder="1" applyAlignment="1" applyProtection="1">
      <alignment horizontal="center" vertical="center" wrapText="1"/>
      <protection locked="0"/>
    </xf>
    <xf numFmtId="0" fontId="44" fillId="0" borderId="89" xfId="0" applyFont="1" applyBorder="1" applyAlignment="1">
      <alignment horizontal="center"/>
    </xf>
    <xf numFmtId="177" fontId="44" fillId="0" borderId="89" xfId="0" applyNumberFormat="1" applyFont="1" applyBorder="1" applyAlignment="1">
      <alignment horizontal="center"/>
    </xf>
    <xf numFmtId="0" fontId="44" fillId="0" borderId="89" xfId="0" applyFont="1" applyBorder="1" applyAlignment="1">
      <alignment horizontal="center" wrapText="1"/>
    </xf>
    <xf numFmtId="0" fontId="46" fillId="8" borderId="89" xfId="16" applyFont="1" applyFill="1" applyBorder="1" applyAlignment="1" applyProtection="1">
      <alignment horizontal="center"/>
      <protection locked="0"/>
    </xf>
    <xf numFmtId="9" fontId="44" fillId="0" borderId="89" xfId="4" applyFont="1" applyBorder="1" applyAlignment="1">
      <alignment horizontal="center"/>
    </xf>
    <xf numFmtId="0" fontId="61" fillId="0" borderId="89" xfId="16" applyFont="1" applyBorder="1" applyAlignment="1" applyProtection="1">
      <alignment horizontal="center" vertical="center" wrapText="1"/>
      <protection locked="0"/>
    </xf>
    <xf numFmtId="0" fontId="2" fillId="0" borderId="0" xfId="26" applyAlignment="1">
      <alignment horizontal="center"/>
    </xf>
    <xf numFmtId="0" fontId="2" fillId="0" borderId="0" xfId="26"/>
    <xf numFmtId="9" fontId="2" fillId="0" borderId="0" xfId="26" applyNumberFormat="1" applyAlignment="1">
      <alignment horizontal="center"/>
    </xf>
    <xf numFmtId="0" fontId="2" fillId="0" borderId="0" xfId="26" applyAlignment="1">
      <alignment horizontal="right"/>
    </xf>
    <xf numFmtId="0" fontId="63" fillId="0" borderId="0" xfId="26" applyFont="1"/>
    <xf numFmtId="164" fontId="2" fillId="0" borderId="0" xfId="26" applyNumberFormat="1"/>
    <xf numFmtId="0" fontId="62" fillId="4" borderId="95" xfId="26" applyFont="1" applyFill="1" applyBorder="1" applyAlignment="1">
      <alignment horizontal="center"/>
    </xf>
    <xf numFmtId="0" fontId="62" fillId="4" borderId="97" xfId="26" applyFont="1" applyFill="1" applyBorder="1"/>
    <xf numFmtId="0" fontId="62" fillId="4" borderId="97" xfId="26" applyFont="1" applyFill="1" applyBorder="1" applyAlignment="1">
      <alignment horizontal="center"/>
    </xf>
    <xf numFmtId="9" fontId="62" fillId="4" borderId="97" xfId="26" applyNumberFormat="1" applyFont="1" applyFill="1" applyBorder="1" applyAlignment="1">
      <alignment horizontal="center"/>
    </xf>
    <xf numFmtId="0" fontId="62" fillId="29" borderId="96" xfId="26" applyFont="1" applyFill="1" applyBorder="1"/>
    <xf numFmtId="0" fontId="62" fillId="0" borderId="0" xfId="26" applyFont="1"/>
    <xf numFmtId="0" fontId="2" fillId="0" borderId="64" xfId="26" applyFont="1" applyFill="1" applyBorder="1" applyAlignment="1">
      <alignment horizontal="center"/>
    </xf>
    <xf numFmtId="0" fontId="2" fillId="0" borderId="0" xfId="26" applyFill="1" applyBorder="1"/>
    <xf numFmtId="0" fontId="2" fillId="0" borderId="0" xfId="26" applyFont="1" applyFill="1" applyBorder="1" applyAlignment="1">
      <alignment horizontal="center"/>
    </xf>
    <xf numFmtId="9" fontId="2" fillId="0" borderId="0" xfId="26" applyNumberFormat="1" applyFill="1" applyBorder="1" applyAlignment="1">
      <alignment horizontal="center"/>
    </xf>
    <xf numFmtId="0" fontId="2" fillId="0" borderId="59" xfId="26" applyFont="1" applyFill="1" applyBorder="1"/>
    <xf numFmtId="0" fontId="62" fillId="0" borderId="0" xfId="26" applyFont="1" applyFill="1"/>
    <xf numFmtId="0" fontId="62" fillId="0" borderId="0" xfId="26" applyFont="1" applyFill="1" applyBorder="1" applyAlignment="1">
      <alignment horizontal="center"/>
    </xf>
    <xf numFmtId="9" fontId="2" fillId="0" borderId="0" xfId="26" applyNumberFormat="1" applyFont="1" applyFill="1" applyBorder="1" applyAlignment="1">
      <alignment horizontal="center"/>
    </xf>
    <xf numFmtId="0" fontId="2" fillId="0" borderId="0" xfId="26" applyFill="1"/>
    <xf numFmtId="0" fontId="2" fillId="0" borderId="0" xfId="26" applyFill="1" applyBorder="1" applyAlignment="1">
      <alignment horizontal="center"/>
    </xf>
    <xf numFmtId="0" fontId="2" fillId="0" borderId="64" xfId="26" applyBorder="1" applyAlignment="1">
      <alignment horizontal="center"/>
    </xf>
    <xf numFmtId="0" fontId="62" fillId="2" borderId="97" xfId="26" applyFont="1" applyFill="1" applyBorder="1"/>
    <xf numFmtId="9" fontId="62" fillId="2" borderId="97" xfId="26" applyNumberFormat="1" applyFont="1" applyFill="1" applyBorder="1" applyAlignment="1">
      <alignment horizontal="center"/>
    </xf>
    <xf numFmtId="0" fontId="2" fillId="2" borderId="97" xfId="26" applyFill="1" applyBorder="1" applyAlignment="1">
      <alignment horizontal="center"/>
    </xf>
    <xf numFmtId="0" fontId="2" fillId="29" borderId="96" xfId="26" applyFill="1" applyBorder="1"/>
    <xf numFmtId="168" fontId="62" fillId="2" borderId="97" xfId="27" applyNumberFormat="1" applyFont="1" applyFill="1" applyBorder="1" applyAlignment="1">
      <alignment horizontal="center"/>
    </xf>
    <xf numFmtId="0" fontId="2" fillId="0" borderId="0" xfId="26" applyBorder="1"/>
    <xf numFmtId="0" fontId="2" fillId="0" borderId="0" xfId="26" applyBorder="1" applyAlignment="1">
      <alignment horizontal="center"/>
    </xf>
    <xf numFmtId="0" fontId="2" fillId="29" borderId="59" xfId="26" applyFill="1" applyBorder="1"/>
    <xf numFmtId="0" fontId="2" fillId="4" borderId="97" xfId="26" applyFill="1" applyBorder="1" applyAlignment="1">
      <alignment horizontal="center"/>
    </xf>
    <xf numFmtId="0" fontId="2" fillId="0" borderId="64" xfId="26" applyFill="1" applyBorder="1" applyAlignment="1">
      <alignment horizontal="center"/>
    </xf>
    <xf numFmtId="0" fontId="2" fillId="0" borderId="59" xfId="26" applyFill="1" applyBorder="1"/>
    <xf numFmtId="0" fontId="64" fillId="0" borderId="0" xfId="26" applyFont="1" applyFill="1" applyBorder="1"/>
    <xf numFmtId="9" fontId="64" fillId="0" borderId="0" xfId="26" applyNumberFormat="1" applyFont="1" applyFill="1" applyBorder="1" applyAlignment="1">
      <alignment horizontal="center"/>
    </xf>
    <xf numFmtId="0" fontId="64" fillId="0" borderId="0" xfId="26" applyFont="1" applyFill="1" applyBorder="1" applyAlignment="1">
      <alignment horizontal="center"/>
    </xf>
    <xf numFmtId="0" fontId="62" fillId="0" borderId="0" xfId="26" applyFont="1" applyFill="1" applyBorder="1"/>
    <xf numFmtId="9" fontId="62" fillId="0" borderId="0" xfId="26" applyNumberFormat="1" applyFont="1" applyFill="1" applyBorder="1" applyAlignment="1">
      <alignment horizontal="center"/>
    </xf>
    <xf numFmtId="0" fontId="2" fillId="0" borderId="0" xfId="26" applyFont="1" applyFill="1" applyBorder="1"/>
    <xf numFmtId="0" fontId="2" fillId="0" borderId="0" xfId="26" applyFont="1" applyFill="1" applyBorder="1" applyAlignment="1">
      <alignment horizontal="left"/>
    </xf>
    <xf numFmtId="0" fontId="2" fillId="0" borderId="60" xfId="26" applyBorder="1" applyAlignment="1">
      <alignment horizontal="center"/>
    </xf>
    <xf numFmtId="0" fontId="49" fillId="0" borderId="0" xfId="0" applyFont="1" applyAlignment="1">
      <alignment horizontal="center"/>
    </xf>
    <xf numFmtId="0" fontId="3" fillId="0" borderId="95" xfId="26" applyFont="1" applyFill="1" applyBorder="1"/>
    <xf numFmtId="0" fontId="10" fillId="2" borderId="95" xfId="26" applyFont="1" applyFill="1" applyBorder="1"/>
    <xf numFmtId="0" fontId="3" fillId="0" borderId="95" xfId="26" applyFont="1" applyBorder="1"/>
    <xf numFmtId="0" fontId="10" fillId="4" borderId="95" xfId="26" applyFont="1" applyFill="1" applyBorder="1"/>
    <xf numFmtId="0" fontId="10" fillId="0" borderId="95" xfId="26" applyFont="1" applyFill="1" applyBorder="1"/>
    <xf numFmtId="0" fontId="49" fillId="0" borderId="89" xfId="0" applyFont="1" applyBorder="1" applyAlignment="1">
      <alignment horizontal="center"/>
    </xf>
    <xf numFmtId="9" fontId="49" fillId="0" borderId="89" xfId="0" applyNumberFormat="1" applyFont="1" applyBorder="1" applyAlignment="1">
      <alignment horizontal="center"/>
    </xf>
    <xf numFmtId="0" fontId="45" fillId="20" borderId="42" xfId="0" applyFont="1" applyFill="1" applyBorder="1"/>
    <xf numFmtId="0" fontId="45" fillId="20" borderId="7" xfId="0" applyFont="1" applyFill="1" applyBorder="1" applyAlignment="1">
      <alignment horizontal="center"/>
    </xf>
    <xf numFmtId="0" fontId="32" fillId="8" borderId="89" xfId="16" applyFont="1" applyFill="1" applyBorder="1" applyAlignment="1" applyProtection="1">
      <alignment horizontal="center"/>
    </xf>
    <xf numFmtId="0" fontId="32" fillId="8" borderId="7" xfId="16" applyFont="1" applyFill="1" applyBorder="1" applyAlignment="1" applyProtection="1">
      <alignment horizontal="center"/>
    </xf>
    <xf numFmtId="0" fontId="47" fillId="0" borderId="34" xfId="0" applyFont="1" applyBorder="1" applyAlignment="1">
      <alignment horizontal="center"/>
    </xf>
    <xf numFmtId="0" fontId="49" fillId="0" borderId="32" xfId="0" applyFont="1" applyBorder="1"/>
    <xf numFmtId="0" fontId="49" fillId="0" borderId="33" xfId="0" applyFont="1" applyBorder="1"/>
    <xf numFmtId="0" fontId="47" fillId="0" borderId="15" xfId="0" applyFont="1" applyBorder="1" applyAlignment="1">
      <alignment horizontal="center"/>
    </xf>
    <xf numFmtId="0" fontId="47" fillId="0" borderId="16" xfId="0" applyFont="1" applyBorder="1" applyAlignment="1">
      <alignment horizontal="center"/>
    </xf>
    <xf numFmtId="0" fontId="3" fillId="0" borderId="98" xfId="26" applyFont="1" applyFill="1" applyBorder="1" applyAlignment="1">
      <alignment horizontal="center"/>
    </xf>
    <xf numFmtId="0" fontId="49" fillId="0" borderId="99" xfId="0" applyFont="1" applyBorder="1" applyAlignment="1">
      <alignment horizontal="center"/>
    </xf>
    <xf numFmtId="0" fontId="3" fillId="0" borderId="98" xfId="26" applyFont="1" applyBorder="1" applyAlignment="1">
      <alignment horizontal="center"/>
    </xf>
    <xf numFmtId="0" fontId="47" fillId="2" borderId="99" xfId="0" applyFont="1" applyFill="1" applyBorder="1" applyAlignment="1">
      <alignment horizontal="center"/>
    </xf>
    <xf numFmtId="9" fontId="8" fillId="0" borderId="0" xfId="4" applyNumberFormat="1" applyBorder="1" applyAlignment="1">
      <alignment horizontal="center"/>
    </xf>
    <xf numFmtId="0" fontId="3" fillId="0" borderId="100" xfId="26" applyFont="1" applyBorder="1" applyAlignment="1">
      <alignment horizontal="center"/>
    </xf>
    <xf numFmtId="0" fontId="10" fillId="2" borderId="101" xfId="26" applyFont="1" applyFill="1" applyBorder="1"/>
    <xf numFmtId="0" fontId="49" fillId="0" borderId="102" xfId="0" applyFont="1" applyBorder="1" applyAlignment="1">
      <alignment horizontal="center"/>
    </xf>
    <xf numFmtId="0" fontId="47" fillId="2" borderId="103" xfId="0" applyFont="1" applyFill="1" applyBorder="1" applyAlignment="1">
      <alignment horizontal="center"/>
    </xf>
    <xf numFmtId="164" fontId="49" fillId="0" borderId="89" xfId="0" applyNumberFormat="1" applyFont="1" applyBorder="1" applyAlignment="1">
      <alignment horizontal="center"/>
    </xf>
    <xf numFmtId="0" fontId="66" fillId="0" borderId="0" xfId="0" applyFont="1"/>
    <xf numFmtId="0" fontId="32" fillId="31" borderId="89" xfId="16" applyFont="1" applyFill="1" applyBorder="1" applyAlignment="1" applyProtection="1">
      <alignment horizontal="center"/>
    </xf>
    <xf numFmtId="0" fontId="52" fillId="0" borderId="89" xfId="0" applyFont="1" applyBorder="1" applyAlignment="1" applyProtection="1">
      <alignment horizontal="center" vertical="top"/>
      <protection locked="0"/>
    </xf>
    <xf numFmtId="0" fontId="19" fillId="0" borderId="55" xfId="0" applyFont="1" applyBorder="1" applyAlignment="1" applyProtection="1">
      <alignment horizontal="center" vertical="top"/>
      <protection locked="0"/>
    </xf>
    <xf numFmtId="0" fontId="26" fillId="0" borderId="1" xfId="16" applyFont="1" applyBorder="1" applyProtection="1">
      <protection locked="0"/>
    </xf>
    <xf numFmtId="0" fontId="19" fillId="0" borderId="1" xfId="16" applyFont="1" applyBorder="1" applyAlignment="1" applyProtection="1">
      <alignment horizontal="center" wrapText="1"/>
      <protection locked="0"/>
    </xf>
    <xf numFmtId="0" fontId="19" fillId="0" borderId="0" xfId="16" applyFont="1" applyProtection="1">
      <protection locked="0"/>
    </xf>
    <xf numFmtId="177" fontId="19" fillId="0" borderId="12" xfId="16" applyNumberFormat="1" applyFont="1" applyBorder="1" applyAlignment="1" applyProtection="1">
      <alignment horizontal="center"/>
      <protection locked="0"/>
    </xf>
    <xf numFmtId="0" fontId="19" fillId="0" borderId="1" xfId="16" applyFont="1" applyFill="1" applyBorder="1" applyAlignment="1" applyProtection="1">
      <alignment horizontal="center"/>
      <protection locked="0"/>
    </xf>
    <xf numFmtId="0" fontId="26" fillId="22" borderId="0" xfId="16" applyFont="1" applyFill="1" applyProtection="1">
      <protection locked="0"/>
    </xf>
    <xf numFmtId="0" fontId="19" fillId="0" borderId="0" xfId="16" applyFont="1" applyAlignment="1" applyProtection="1">
      <alignment horizontal="center"/>
      <protection locked="0"/>
    </xf>
    <xf numFmtId="0" fontId="19" fillId="0" borderId="67" xfId="16" applyFont="1" applyFill="1" applyBorder="1" applyProtection="1">
      <protection locked="0"/>
    </xf>
    <xf numFmtId="0" fontId="19" fillId="0" borderId="67" xfId="16" applyFont="1" applyBorder="1" applyAlignment="1" applyProtection="1">
      <alignment horizontal="left"/>
      <protection locked="0"/>
    </xf>
    <xf numFmtId="0" fontId="28" fillId="0" borderId="55" xfId="16" applyFont="1" applyBorder="1" applyProtection="1">
      <protection locked="0"/>
    </xf>
    <xf numFmtId="0" fontId="19" fillId="0" borderId="67" xfId="16" applyFont="1" applyBorder="1" applyProtection="1">
      <protection locked="0"/>
    </xf>
    <xf numFmtId="0" fontId="19" fillId="0" borderId="55" xfId="16" applyFont="1" applyBorder="1" applyAlignment="1" applyProtection="1">
      <alignment horizontal="center"/>
      <protection locked="0"/>
    </xf>
    <xf numFmtId="0" fontId="19" fillId="0" borderId="55" xfId="16" applyFont="1" applyBorder="1" applyProtection="1">
      <protection locked="0"/>
    </xf>
    <xf numFmtId="10" fontId="58" fillId="0" borderId="0" xfId="4" applyNumberFormat="1" applyFont="1" applyAlignment="1" applyProtection="1">
      <alignment horizontal="center"/>
      <protection locked="0"/>
    </xf>
    <xf numFmtId="0" fontId="19" fillId="0" borderId="1" xfId="16" applyFont="1" applyBorder="1" applyAlignment="1" applyProtection="1">
      <alignment vertical="center"/>
      <protection locked="0"/>
    </xf>
    <xf numFmtId="0" fontId="19" fillId="0" borderId="67" xfId="16" applyFont="1" applyBorder="1" applyAlignment="1" applyProtection="1">
      <alignment horizontal="center" wrapText="1"/>
      <protection locked="0"/>
    </xf>
    <xf numFmtId="0" fontId="19" fillId="0" borderId="89" xfId="16" applyFont="1" applyBorder="1" applyAlignment="1" applyProtection="1">
      <alignment vertical="center"/>
      <protection locked="0"/>
    </xf>
    <xf numFmtId="0" fontId="19" fillId="0" borderId="89" xfId="16" applyFont="1" applyFill="1" applyBorder="1" applyAlignment="1" applyProtection="1">
      <alignment horizontal="center" vertical="center"/>
      <protection locked="0"/>
    </xf>
    <xf numFmtId="0" fontId="19" fillId="0" borderId="1" xfId="16" applyFont="1" applyBorder="1" applyAlignment="1" applyProtection="1">
      <alignment wrapText="1"/>
      <protection locked="0"/>
    </xf>
    <xf numFmtId="0" fontId="19" fillId="0" borderId="1" xfId="16" applyFont="1" applyBorder="1" applyAlignment="1" applyProtection="1">
      <alignment horizontal="center" vertical="center" wrapText="1"/>
      <protection locked="0"/>
    </xf>
    <xf numFmtId="0" fontId="28" fillId="0" borderId="89" xfId="16" applyFont="1" applyBorder="1" applyAlignment="1" applyProtection="1">
      <alignment vertical="center"/>
      <protection locked="0"/>
    </xf>
    <xf numFmtId="0" fontId="19" fillId="0" borderId="89" xfId="16" applyFont="1" applyBorder="1" applyAlignment="1" applyProtection="1">
      <alignment horizontal="center" vertical="center" wrapText="1"/>
      <protection locked="0"/>
    </xf>
    <xf numFmtId="0" fontId="19" fillId="0" borderId="89" xfId="16" applyFont="1" applyBorder="1" applyProtection="1">
      <protection locked="0"/>
    </xf>
    <xf numFmtId="0" fontId="19" fillId="0" borderId="1" xfId="16" applyFont="1" applyBorder="1" applyProtection="1">
      <protection locked="0"/>
    </xf>
    <xf numFmtId="0" fontId="19" fillId="0" borderId="89" xfId="16" applyFont="1" applyBorder="1" applyAlignment="1" applyProtection="1">
      <alignment horizontal="center" vertical="center"/>
      <protection locked="0"/>
    </xf>
    <xf numFmtId="179" fontId="58" fillId="0" borderId="0" xfId="4" applyNumberFormat="1" applyFont="1" applyFill="1" applyAlignment="1" applyProtection="1">
      <alignment horizontal="center" vertical="center"/>
      <protection locked="0"/>
    </xf>
    <xf numFmtId="0" fontId="19" fillId="0" borderId="1" xfId="16" applyFont="1" applyBorder="1" applyAlignment="1" applyProtection="1">
      <alignment horizontal="center"/>
      <protection locked="0"/>
    </xf>
    <xf numFmtId="0" fontId="19" fillId="0" borderId="89" xfId="16" applyFont="1" applyBorder="1" applyAlignment="1" applyProtection="1">
      <alignment vertical="center" wrapText="1"/>
      <protection locked="0"/>
    </xf>
    <xf numFmtId="14" fontId="19" fillId="0" borderId="89" xfId="16" applyNumberFormat="1" applyFont="1" applyFill="1" applyBorder="1" applyAlignment="1" applyProtection="1">
      <alignment horizontal="center" vertical="center"/>
      <protection locked="0"/>
    </xf>
    <xf numFmtId="0" fontId="28" fillId="0" borderId="89" xfId="16" applyFont="1" applyBorder="1" applyAlignment="1" applyProtection="1">
      <alignment vertical="center" wrapText="1"/>
      <protection locked="0"/>
    </xf>
    <xf numFmtId="0" fontId="28" fillId="0" borderId="1" xfId="16" applyFont="1" applyBorder="1" applyProtection="1">
      <protection locked="0"/>
    </xf>
    <xf numFmtId="0" fontId="19" fillId="0" borderId="89" xfId="16" applyFont="1" applyFill="1" applyBorder="1" applyAlignment="1" applyProtection="1">
      <alignment vertical="center"/>
      <protection locked="0"/>
    </xf>
    <xf numFmtId="0" fontId="19" fillId="0" borderId="12" xfId="16" applyFont="1" applyBorder="1" applyProtection="1">
      <protection locked="0"/>
    </xf>
    <xf numFmtId="0" fontId="19" fillId="0" borderId="12" xfId="16" applyFont="1" applyBorder="1" applyAlignment="1" applyProtection="1">
      <alignment horizontal="center"/>
      <protection locked="0"/>
    </xf>
    <xf numFmtId="0" fontId="19" fillId="0" borderId="104" xfId="16" applyFont="1" applyFill="1" applyBorder="1" applyAlignment="1" applyProtection="1">
      <alignment vertical="center"/>
      <protection locked="0"/>
    </xf>
    <xf numFmtId="14" fontId="19" fillId="3" borderId="89" xfId="16" applyNumberFormat="1" applyFont="1" applyFill="1" applyBorder="1" applyAlignment="1" applyProtection="1">
      <alignment vertical="center"/>
      <protection locked="0"/>
    </xf>
    <xf numFmtId="0" fontId="19" fillId="0" borderId="55" xfId="16" applyFont="1" applyFill="1" applyBorder="1" applyAlignment="1" applyProtection="1">
      <alignment horizontal="left" vertical="center" wrapText="1"/>
      <protection locked="0"/>
    </xf>
    <xf numFmtId="0" fontId="19" fillId="0" borderId="87" xfId="16" applyFont="1" applyBorder="1" applyAlignment="1" applyProtection="1">
      <alignment vertical="center"/>
      <protection locked="0"/>
    </xf>
    <xf numFmtId="0" fontId="19" fillId="0" borderId="2" xfId="16" applyFont="1" applyFill="1" applyBorder="1" applyAlignment="1" applyProtection="1">
      <alignment horizontal="center" vertical="center"/>
      <protection locked="0"/>
    </xf>
    <xf numFmtId="0" fontId="19" fillId="0" borderId="55" xfId="16" applyFont="1" applyBorder="1" applyAlignment="1" applyProtection="1">
      <alignment wrapText="1"/>
      <protection locked="0"/>
    </xf>
    <xf numFmtId="0" fontId="58" fillId="0" borderId="55" xfId="16" applyFont="1" applyBorder="1" applyProtection="1">
      <protection locked="0"/>
    </xf>
    <xf numFmtId="0" fontId="19" fillId="0" borderId="55" xfId="16" applyFont="1" applyBorder="1" applyAlignment="1" applyProtection="1">
      <alignment vertical="top"/>
      <protection locked="0"/>
    </xf>
    <xf numFmtId="0" fontId="19" fillId="0" borderId="0" xfId="16" applyFont="1" applyAlignment="1" applyProtection="1">
      <alignment vertical="top"/>
      <protection locked="0"/>
    </xf>
    <xf numFmtId="0" fontId="19" fillId="0" borderId="2" xfId="16" applyFont="1" applyBorder="1" applyAlignment="1" applyProtection="1">
      <alignment vertical="top" wrapText="1"/>
      <protection locked="0"/>
    </xf>
    <xf numFmtId="0" fontId="19" fillId="0" borderId="56" xfId="16" applyFont="1" applyBorder="1" applyAlignment="1" applyProtection="1">
      <alignment vertical="top" wrapText="1"/>
      <protection locked="0"/>
    </xf>
    <xf numFmtId="0" fontId="19" fillId="0" borderId="13" xfId="16" applyFont="1" applyBorder="1" applyAlignment="1" applyProtection="1">
      <alignment wrapText="1"/>
      <protection locked="0"/>
    </xf>
    <xf numFmtId="0" fontId="19" fillId="0" borderId="13" xfId="16" applyFont="1" applyBorder="1" applyAlignment="1" applyProtection="1">
      <alignment horizontal="left"/>
      <protection locked="0"/>
    </xf>
    <xf numFmtId="0" fontId="19" fillId="0" borderId="0" xfId="16" applyFont="1" applyBorder="1" applyAlignment="1" applyProtection="1">
      <alignment horizontal="left"/>
      <protection locked="0"/>
    </xf>
    <xf numFmtId="1" fontId="28" fillId="21" borderId="0" xfId="16" applyNumberFormat="1" applyFont="1" applyFill="1" applyBorder="1" applyAlignment="1" applyProtection="1">
      <alignment horizontal="left"/>
      <protection locked="0"/>
    </xf>
    <xf numFmtId="0" fontId="27" fillId="6" borderId="0" xfId="16" applyFont="1" applyFill="1" applyProtection="1">
      <protection locked="0"/>
    </xf>
    <xf numFmtId="0" fontId="19" fillId="21" borderId="0" xfId="16" applyFont="1" applyFill="1" applyBorder="1" applyAlignment="1" applyProtection="1">
      <alignment horizontal="center"/>
      <protection locked="0"/>
    </xf>
    <xf numFmtId="0" fontId="26" fillId="0" borderId="2" xfId="16" applyFont="1" applyFill="1" applyBorder="1" applyProtection="1">
      <protection locked="0"/>
    </xf>
    <xf numFmtId="0" fontId="19" fillId="0" borderId="2" xfId="16" applyFont="1" applyFill="1" applyBorder="1" applyProtection="1">
      <protection locked="0"/>
    </xf>
    <xf numFmtId="0" fontId="19" fillId="0" borderId="0" xfId="16" applyFont="1" applyBorder="1" applyProtection="1">
      <protection locked="0"/>
    </xf>
    <xf numFmtId="14" fontId="26" fillId="0" borderId="0" xfId="16" applyNumberFormat="1" applyFont="1" applyBorder="1" applyAlignment="1" applyProtection="1">
      <alignment horizontal="center"/>
      <protection locked="0"/>
    </xf>
    <xf numFmtId="0" fontId="26" fillId="0" borderId="0" xfId="16" applyFont="1" applyProtection="1">
      <protection locked="0"/>
    </xf>
    <xf numFmtId="0" fontId="26" fillId="0" borderId="67" xfId="16" applyFont="1" applyBorder="1" applyAlignment="1" applyProtection="1">
      <alignment horizontal="center" vertical="center"/>
      <protection locked="0"/>
    </xf>
    <xf numFmtId="0" fontId="26" fillId="4" borderId="67" xfId="16" applyFont="1" applyFill="1" applyBorder="1" applyAlignment="1" applyProtection="1">
      <alignment horizontal="center" vertical="center"/>
      <protection locked="0"/>
    </xf>
    <xf numFmtId="0" fontId="26" fillId="4" borderId="67" xfId="16" applyFont="1" applyFill="1" applyBorder="1" applyAlignment="1" applyProtection="1">
      <alignment horizontal="center" vertical="center" wrapText="1"/>
      <protection locked="0"/>
    </xf>
    <xf numFmtId="0" fontId="26" fillId="4" borderId="84" xfId="16" applyFont="1" applyFill="1" applyBorder="1" applyAlignment="1" applyProtection="1">
      <alignment horizontal="center" vertical="center" wrapText="1"/>
      <protection locked="0"/>
    </xf>
    <xf numFmtId="0" fontId="26" fillId="4" borderId="1" xfId="16" applyFont="1" applyFill="1" applyBorder="1" applyAlignment="1" applyProtection="1">
      <alignment horizontal="center" vertical="center" wrapText="1"/>
      <protection locked="0"/>
    </xf>
    <xf numFmtId="0" fontId="26" fillId="4" borderId="92" xfId="16" applyFont="1" applyFill="1" applyBorder="1" applyAlignment="1" applyProtection="1">
      <alignment horizontal="center" vertical="center" wrapText="1"/>
      <protection locked="0"/>
    </xf>
    <xf numFmtId="0" fontId="26" fillId="0" borderId="0" xfId="16" applyFont="1" applyAlignment="1" applyProtection="1">
      <alignment horizontal="center" vertical="center"/>
      <protection locked="0"/>
    </xf>
    <xf numFmtId="0" fontId="26" fillId="0" borderId="0" xfId="16" applyFont="1" applyFill="1" applyAlignment="1" applyProtection="1">
      <alignment horizontal="center" vertical="center"/>
      <protection locked="0"/>
    </xf>
    <xf numFmtId="0" fontId="26" fillId="27" borderId="67" xfId="16" applyFont="1" applyFill="1" applyBorder="1" applyAlignment="1" applyProtection="1">
      <alignment vertical="center"/>
      <protection locked="0"/>
    </xf>
    <xf numFmtId="0" fontId="26" fillId="27" borderId="84" xfId="16" applyFont="1" applyFill="1" applyBorder="1" applyAlignment="1" applyProtection="1">
      <alignment horizontal="center" vertical="center" wrapText="1"/>
      <protection locked="0"/>
    </xf>
    <xf numFmtId="0" fontId="26" fillId="27" borderId="83" xfId="16" applyFont="1" applyFill="1" applyBorder="1" applyAlignment="1" applyProtection="1">
      <alignment horizontal="center" vertical="center" wrapText="1"/>
      <protection locked="0"/>
    </xf>
    <xf numFmtId="0" fontId="26" fillId="27" borderId="0" xfId="16" applyFont="1" applyFill="1" applyBorder="1" applyAlignment="1" applyProtection="1">
      <alignment horizontal="center" vertical="center" wrapText="1"/>
      <protection locked="0"/>
    </xf>
    <xf numFmtId="0" fontId="26" fillId="27" borderId="91" xfId="16" applyFont="1" applyFill="1" applyBorder="1" applyAlignment="1" applyProtection="1">
      <alignment horizontal="center" vertical="center" wrapText="1"/>
      <protection locked="0"/>
    </xf>
    <xf numFmtId="0" fontId="26" fillId="27" borderId="67" xfId="16" applyFont="1" applyFill="1" applyBorder="1" applyAlignment="1" applyProtection="1">
      <alignment horizontal="center" vertical="center" wrapText="1"/>
      <protection locked="0"/>
    </xf>
    <xf numFmtId="0" fontId="26" fillId="27" borderId="0" xfId="16" applyFont="1" applyFill="1" applyAlignment="1" applyProtection="1">
      <alignment horizontal="center" vertical="center"/>
      <protection locked="0"/>
    </xf>
    <xf numFmtId="0" fontId="19" fillId="0" borderId="0" xfId="16" applyFont="1" applyAlignment="1" applyProtection="1">
      <alignment vertical="center"/>
      <protection locked="0"/>
    </xf>
    <xf numFmtId="0" fontId="19" fillId="0" borderId="87" xfId="16" applyFont="1" applyFill="1" applyBorder="1" applyAlignment="1" applyProtection="1">
      <alignment horizontal="center" vertical="center"/>
      <protection locked="0"/>
    </xf>
    <xf numFmtId="0" fontId="19" fillId="0" borderId="7" xfId="16" applyFont="1" applyBorder="1" applyAlignment="1" applyProtection="1">
      <alignment horizontal="center" vertical="center"/>
      <protection locked="0"/>
    </xf>
    <xf numFmtId="0" fontId="19" fillId="0" borderId="68" xfId="16" applyFont="1" applyFill="1" applyBorder="1" applyAlignment="1" applyProtection="1">
      <alignment horizontal="center" vertical="center"/>
      <protection locked="0"/>
    </xf>
    <xf numFmtId="0" fontId="19" fillId="0" borderId="89" xfId="16" applyFont="1" applyFill="1" applyBorder="1" applyAlignment="1" applyProtection="1">
      <alignment horizontal="center" vertical="center" wrapText="1"/>
      <protection locked="0"/>
    </xf>
    <xf numFmtId="0" fontId="19" fillId="0" borderId="1" xfId="16" applyFont="1" applyFill="1" applyBorder="1" applyAlignment="1" applyProtection="1">
      <alignment horizontal="center" vertical="center" wrapText="1"/>
      <protection locked="0"/>
    </xf>
    <xf numFmtId="0" fontId="19" fillId="0" borderId="1" xfId="16" applyFont="1" applyFill="1" applyBorder="1" applyAlignment="1" applyProtection="1">
      <alignment vertical="center" wrapText="1"/>
      <protection locked="0"/>
    </xf>
    <xf numFmtId="0" fontId="19" fillId="0" borderId="1" xfId="16" applyFont="1" applyFill="1" applyBorder="1" applyAlignment="1" applyProtection="1">
      <alignment horizontal="center" vertical="center"/>
      <protection locked="0"/>
    </xf>
    <xf numFmtId="0" fontId="19" fillId="0" borderId="67" xfId="16" applyFont="1" applyBorder="1" applyAlignment="1" applyProtection="1">
      <alignment horizontal="center" vertical="center"/>
      <protection locked="0"/>
    </xf>
    <xf numFmtId="0" fontId="19" fillId="0" borderId="1" xfId="16" applyFont="1" applyFill="1" applyBorder="1" applyAlignment="1" applyProtection="1">
      <alignment vertical="center"/>
      <protection locked="0"/>
    </xf>
    <xf numFmtId="0" fontId="19" fillId="0" borderId="83" xfId="16" applyFont="1" applyFill="1" applyBorder="1" applyAlignment="1" applyProtection="1">
      <alignment horizontal="center" vertical="center"/>
      <protection locked="0"/>
    </xf>
    <xf numFmtId="0" fontId="19" fillId="0" borderId="67" xfId="16" applyFont="1" applyBorder="1" applyAlignment="1" applyProtection="1">
      <alignment horizontal="center"/>
      <protection locked="0"/>
    </xf>
    <xf numFmtId="0" fontId="19" fillId="0" borderId="84" xfId="16" applyFont="1" applyFill="1" applyBorder="1" applyAlignment="1" applyProtection="1">
      <alignment horizontal="center" vertical="center"/>
      <protection locked="0"/>
    </xf>
    <xf numFmtId="0" fontId="19" fillId="0" borderId="83" xfId="16" applyFont="1" applyFill="1" applyBorder="1" applyAlignment="1" applyProtection="1">
      <alignment vertical="center" wrapText="1"/>
      <protection locked="0"/>
    </xf>
    <xf numFmtId="0" fontId="19" fillId="0" borderId="83" xfId="16" applyFont="1" applyFill="1" applyBorder="1" applyAlignment="1" applyProtection="1">
      <alignment horizontal="center" vertical="center" wrapText="1"/>
      <protection locked="0"/>
    </xf>
    <xf numFmtId="0" fontId="19" fillId="0" borderId="83" xfId="16" applyFont="1" applyFill="1" applyBorder="1" applyAlignment="1" applyProtection="1">
      <alignment vertical="center"/>
      <protection locked="0"/>
    </xf>
    <xf numFmtId="0" fontId="19" fillId="0" borderId="67" xfId="16" applyFont="1" applyFill="1" applyBorder="1" applyAlignment="1" applyProtection="1">
      <alignment horizontal="center" vertical="center"/>
      <protection locked="0"/>
    </xf>
    <xf numFmtId="0" fontId="19" fillId="0" borderId="67" xfId="16" applyFont="1" applyBorder="1" applyAlignment="1" applyProtection="1">
      <alignment vertical="center"/>
      <protection locked="0"/>
    </xf>
    <xf numFmtId="0" fontId="19" fillId="0" borderId="0" xfId="16" applyFont="1" applyFill="1" applyBorder="1" applyAlignment="1" applyProtection="1">
      <alignment vertical="center"/>
      <protection locked="0"/>
    </xf>
    <xf numFmtId="0" fontId="19" fillId="0" borderId="0" xfId="16" applyFont="1" applyFill="1" applyBorder="1" applyAlignment="1" applyProtection="1">
      <alignment horizontal="center" vertical="center"/>
      <protection locked="0"/>
    </xf>
    <xf numFmtId="0" fontId="19" fillId="0" borderId="0" xfId="16" applyFont="1" applyBorder="1" applyAlignment="1" applyProtection="1">
      <alignment vertical="center"/>
      <protection locked="0"/>
    </xf>
    <xf numFmtId="0" fontId="19" fillId="0" borderId="0" xfId="16" applyFont="1" applyFill="1" applyBorder="1" applyAlignment="1" applyProtection="1">
      <alignment vertical="center" wrapText="1"/>
      <protection locked="0"/>
    </xf>
    <xf numFmtId="0" fontId="19" fillId="0" borderId="87" xfId="16" applyFont="1" applyFill="1" applyBorder="1" applyAlignment="1" applyProtection="1">
      <alignment vertical="center"/>
      <protection locked="0"/>
    </xf>
    <xf numFmtId="0" fontId="19" fillId="0" borderId="7" xfId="16" applyFont="1" applyBorder="1" applyAlignment="1" applyProtection="1">
      <alignment vertical="center"/>
      <protection locked="0"/>
    </xf>
    <xf numFmtId="0" fontId="19" fillId="0" borderId="0" xfId="16" applyFont="1" applyFill="1" applyBorder="1" applyProtection="1">
      <protection locked="0"/>
    </xf>
    <xf numFmtId="0" fontId="19" fillId="0" borderId="0" xfId="16" applyFont="1" applyFill="1" applyBorder="1" applyAlignment="1" applyProtection="1">
      <alignment horizontal="center"/>
      <protection locked="0"/>
    </xf>
    <xf numFmtId="0" fontId="26" fillId="4" borderId="14" xfId="16" applyFont="1" applyFill="1" applyBorder="1" applyAlignment="1" applyProtection="1">
      <alignment vertical="center"/>
      <protection locked="0"/>
    </xf>
    <xf numFmtId="0" fontId="26" fillId="4" borderId="15" xfId="16" applyFont="1" applyFill="1" applyBorder="1" applyAlignment="1" applyProtection="1">
      <alignment horizontal="center" vertical="center"/>
      <protection locked="0"/>
    </xf>
    <xf numFmtId="0" fontId="26" fillId="4" borderId="43" xfId="16" applyFont="1" applyFill="1" applyBorder="1" applyAlignment="1" applyProtection="1">
      <alignment horizontal="center" vertical="center" wrapText="1"/>
      <protection locked="0"/>
    </xf>
    <xf numFmtId="0" fontId="26" fillId="4" borderId="42" xfId="16" applyFont="1" applyFill="1" applyBorder="1" applyAlignment="1" applyProtection="1">
      <alignment vertical="center"/>
      <protection locked="0"/>
    </xf>
    <xf numFmtId="0" fontId="19" fillId="2" borderId="7" xfId="16" applyFont="1" applyFill="1" applyBorder="1" applyAlignment="1" applyProtection="1">
      <alignment horizontal="center" vertical="center"/>
      <protection locked="0"/>
    </xf>
    <xf numFmtId="0" fontId="26" fillId="0" borderId="2" xfId="16" applyFont="1" applyFill="1" applyBorder="1" applyAlignment="1" applyProtection="1">
      <protection locked="0"/>
    </xf>
    <xf numFmtId="0" fontId="26" fillId="4" borderId="2" xfId="16" applyFont="1" applyFill="1" applyBorder="1" applyAlignment="1" applyProtection="1">
      <alignment horizontal="center" vertical="center"/>
      <protection locked="0"/>
    </xf>
    <xf numFmtId="0" fontId="26" fillId="4" borderId="18" xfId="16" applyFont="1" applyFill="1" applyBorder="1" applyAlignment="1" applyProtection="1">
      <alignment horizontal="center" vertical="center"/>
      <protection locked="0"/>
    </xf>
    <xf numFmtId="0" fontId="19" fillId="0" borderId="17" xfId="16" applyFont="1" applyBorder="1" applyProtection="1">
      <protection locked="0"/>
    </xf>
    <xf numFmtId="1" fontId="19" fillId="2" borderId="2" xfId="16" applyNumberFormat="1" applyFont="1" applyFill="1" applyBorder="1" applyAlignment="1" applyProtection="1">
      <alignment horizontal="center" wrapText="1"/>
      <protection locked="0"/>
    </xf>
    <xf numFmtId="0" fontId="19" fillId="0" borderId="2" xfId="16" applyFont="1" applyFill="1" applyBorder="1" applyAlignment="1" applyProtection="1">
      <alignment horizontal="center"/>
      <protection locked="0"/>
    </xf>
    <xf numFmtId="9" fontId="19" fillId="0" borderId="2" xfId="16" applyNumberFormat="1" applyFont="1" applyBorder="1" applyAlignment="1" applyProtection="1">
      <alignment horizontal="center"/>
      <protection locked="0"/>
    </xf>
    <xf numFmtId="0" fontId="19" fillId="0" borderId="18" xfId="16" applyFont="1" applyBorder="1" applyAlignment="1" applyProtection="1">
      <alignment horizontal="center"/>
      <protection locked="0"/>
    </xf>
    <xf numFmtId="0" fontId="19" fillId="0" borderId="2" xfId="16" applyFont="1" applyBorder="1" applyAlignment="1" applyProtection="1">
      <alignment horizontal="center" wrapText="1"/>
      <protection locked="0"/>
    </xf>
    <xf numFmtId="0" fontId="19" fillId="0" borderId="19" xfId="16" applyFont="1" applyBorder="1" applyProtection="1">
      <protection locked="0"/>
    </xf>
    <xf numFmtId="0" fontId="19" fillId="0" borderId="20" xfId="16" applyFont="1" applyFill="1" applyBorder="1" applyProtection="1">
      <protection locked="0"/>
    </xf>
    <xf numFmtId="0" fontId="19" fillId="0" borderId="20" xfId="16" applyFont="1" applyBorder="1" applyProtection="1">
      <protection locked="0"/>
    </xf>
    <xf numFmtId="0" fontId="19" fillId="0" borderId="21" xfId="16" applyFont="1" applyBorder="1" applyProtection="1">
      <protection locked="0"/>
    </xf>
    <xf numFmtId="0" fontId="19" fillId="0" borderId="22" xfId="16" applyFont="1" applyBorder="1" applyProtection="1">
      <protection locked="0"/>
    </xf>
    <xf numFmtId="0" fontId="19" fillId="0" borderId="22" xfId="16" applyFont="1" applyBorder="1" applyAlignment="1" applyProtection="1">
      <alignment horizontal="center"/>
      <protection locked="0"/>
    </xf>
    <xf numFmtId="0" fontId="26" fillId="4" borderId="23" xfId="16" applyFont="1" applyFill="1" applyBorder="1" applyProtection="1">
      <protection locked="0"/>
    </xf>
    <xf numFmtId="0" fontId="26" fillId="4" borderId="24" xfId="16" applyFont="1" applyFill="1" applyBorder="1" applyAlignment="1" applyProtection="1">
      <alignment horizontal="center"/>
      <protection locked="0"/>
    </xf>
    <xf numFmtId="0" fontId="26" fillId="4" borderId="15" xfId="16" applyFont="1" applyFill="1" applyBorder="1" applyAlignment="1" applyProtection="1">
      <alignment horizontal="center" vertical="center" wrapText="1"/>
      <protection locked="0"/>
    </xf>
    <xf numFmtId="0" fontId="26" fillId="4" borderId="15" xfId="16" applyFont="1" applyFill="1" applyBorder="1" applyAlignment="1" applyProtection="1">
      <alignment horizontal="center"/>
      <protection locked="0"/>
    </xf>
    <xf numFmtId="0" fontId="26" fillId="4" borderId="16" xfId="16" applyFont="1" applyFill="1" applyBorder="1" applyAlignment="1" applyProtection="1">
      <alignment horizontal="center"/>
      <protection locked="0"/>
    </xf>
    <xf numFmtId="0" fontId="19" fillId="0" borderId="26" xfId="16" applyFont="1" applyFill="1" applyBorder="1" applyProtection="1">
      <protection locked="0"/>
    </xf>
    <xf numFmtId="0" fontId="19" fillId="0" borderId="5" xfId="16" applyFont="1" applyBorder="1" applyProtection="1">
      <protection locked="0"/>
    </xf>
    <xf numFmtId="9" fontId="19" fillId="2" borderId="18" xfId="21" applyFont="1" applyFill="1" applyBorder="1" applyAlignment="1" applyProtection="1">
      <alignment horizontal="center"/>
      <protection locked="0"/>
    </xf>
    <xf numFmtId="9" fontId="58" fillId="2" borderId="18" xfId="4" applyFont="1" applyFill="1" applyBorder="1" applyAlignment="1" applyProtection="1">
      <alignment horizontal="center"/>
      <protection locked="0"/>
    </xf>
    <xf numFmtId="37" fontId="19" fillId="0" borderId="2" xfId="5" applyNumberFormat="1" applyFont="1" applyBorder="1" applyAlignment="1" applyProtection="1">
      <alignment horizontal="center"/>
      <protection locked="0"/>
    </xf>
    <xf numFmtId="0" fontId="26" fillId="0" borderId="2" xfId="16" applyFont="1" applyBorder="1" applyProtection="1">
      <protection locked="0"/>
    </xf>
    <xf numFmtId="0" fontId="19" fillId="0" borderId="2" xfId="16" applyFont="1" applyBorder="1" applyProtection="1">
      <protection locked="0"/>
    </xf>
    <xf numFmtId="0" fontId="19" fillId="0" borderId="18" xfId="16" applyFont="1" applyFill="1" applyBorder="1" applyProtection="1">
      <protection locked="0"/>
    </xf>
    <xf numFmtId="0" fontId="19" fillId="0" borderId="27" xfId="16" applyFont="1" applyFill="1" applyBorder="1" applyProtection="1">
      <protection locked="0"/>
    </xf>
    <xf numFmtId="0" fontId="27" fillId="6" borderId="89" xfId="16" applyFont="1" applyFill="1" applyBorder="1" applyProtection="1">
      <protection locked="0"/>
    </xf>
    <xf numFmtId="0" fontId="26" fillId="0" borderId="89" xfId="16" applyFont="1" applyBorder="1" applyProtection="1">
      <protection locked="0"/>
    </xf>
    <xf numFmtId="0" fontId="62" fillId="21" borderId="89" xfId="16" applyFont="1" applyFill="1" applyBorder="1" applyProtection="1">
      <protection locked="0"/>
    </xf>
    <xf numFmtId="0" fontId="52" fillId="0" borderId="89" xfId="0" applyFont="1" applyBorder="1" applyAlignment="1" applyProtection="1">
      <alignment horizontal="justify" vertical="center"/>
      <protection locked="0"/>
    </xf>
    <xf numFmtId="3" fontId="58" fillId="0" borderId="89" xfId="4" applyNumberFormat="1" applyFont="1" applyBorder="1" applyAlignment="1" applyProtection="1">
      <alignment vertical="center"/>
      <protection locked="0"/>
    </xf>
    <xf numFmtId="10" fontId="58" fillId="0" borderId="89" xfId="4" applyNumberFormat="1" applyFont="1" applyBorder="1" applyAlignment="1" applyProtection="1">
      <alignment vertical="center"/>
      <protection locked="0"/>
    </xf>
    <xf numFmtId="0" fontId="58" fillId="0" borderId="89" xfId="0" applyFont="1" applyBorder="1" applyAlignment="1" applyProtection="1">
      <alignment vertical="top"/>
      <protection locked="0"/>
    </xf>
    <xf numFmtId="10" fontId="58" fillId="0" borderId="89" xfId="4" applyNumberFormat="1" applyFont="1" applyBorder="1" applyAlignment="1" applyProtection="1">
      <alignment horizontal="center" vertical="center"/>
      <protection locked="0"/>
    </xf>
    <xf numFmtId="4" fontId="58" fillId="3" borderId="89" xfId="4" applyNumberFormat="1" applyFont="1" applyFill="1" applyBorder="1" applyAlignment="1" applyProtection="1">
      <alignment vertical="center"/>
      <protection locked="0"/>
    </xf>
    <xf numFmtId="0" fontId="19" fillId="0" borderId="29" xfId="16" applyFont="1" applyFill="1" applyBorder="1" applyAlignment="1" applyProtection="1">
      <alignment horizontal="center"/>
      <protection locked="0"/>
    </xf>
    <xf numFmtId="0" fontId="26" fillId="0" borderId="23" xfId="16" applyFont="1" applyFill="1" applyBorder="1" applyProtection="1">
      <protection locked="0"/>
    </xf>
    <xf numFmtId="0" fontId="26" fillId="4" borderId="25" xfId="16" applyFont="1" applyFill="1" applyBorder="1" applyAlignment="1" applyProtection="1">
      <alignment horizontal="center"/>
      <protection locked="0"/>
    </xf>
    <xf numFmtId="0" fontId="26" fillId="4" borderId="16" xfId="16" applyFont="1" applyFill="1" applyBorder="1" applyAlignment="1" applyProtection="1">
      <alignment horizontal="center" vertical="center" wrapText="1"/>
      <protection locked="0"/>
    </xf>
    <xf numFmtId="0" fontId="19" fillId="0" borderId="69" xfId="16" applyFont="1" applyFill="1" applyBorder="1" applyProtection="1">
      <protection locked="0"/>
    </xf>
    <xf numFmtId="0" fontId="19" fillId="0" borderId="5" xfId="16" applyFont="1" applyFill="1" applyBorder="1" applyAlignment="1" applyProtection="1">
      <alignment horizontal="center"/>
      <protection locked="0"/>
    </xf>
    <xf numFmtId="0" fontId="19" fillId="0" borderId="30" xfId="16" applyFont="1" applyFill="1" applyBorder="1" applyProtection="1">
      <protection locked="0"/>
    </xf>
    <xf numFmtId="0" fontId="19" fillId="0" borderId="90" xfId="16" applyFont="1" applyFill="1" applyBorder="1" applyProtection="1">
      <protection locked="0"/>
    </xf>
    <xf numFmtId="0" fontId="19" fillId="0" borderId="42" xfId="16" applyFont="1" applyFill="1" applyBorder="1" applyAlignment="1" applyProtection="1">
      <alignment horizontal="left" vertical="center" wrapText="1"/>
      <protection locked="0"/>
    </xf>
    <xf numFmtId="0" fontId="19" fillId="0" borderId="8" xfId="16" applyFont="1" applyFill="1" applyBorder="1" applyAlignment="1" applyProtection="1">
      <alignment horizontal="center" vertical="center"/>
      <protection locked="0"/>
    </xf>
    <xf numFmtId="0" fontId="19" fillId="0" borderId="73" xfId="16" applyFont="1" applyFill="1" applyBorder="1" applyProtection="1">
      <protection locked="0"/>
    </xf>
    <xf numFmtId="0" fontId="19" fillId="0" borderId="8" xfId="16" applyFont="1" applyFill="1" applyBorder="1" applyAlignment="1" applyProtection="1">
      <alignment horizontal="center"/>
      <protection locked="0"/>
    </xf>
    <xf numFmtId="0" fontId="19" fillId="0" borderId="71" xfId="16" applyFont="1" applyFill="1" applyBorder="1" applyAlignment="1" applyProtection="1">
      <alignment horizontal="center"/>
      <protection locked="0"/>
    </xf>
    <xf numFmtId="0" fontId="19" fillId="0" borderId="75" xfId="16" applyFont="1" applyBorder="1" applyAlignment="1" applyProtection="1">
      <alignment horizontal="center"/>
      <protection locked="0"/>
    </xf>
    <xf numFmtId="0" fontId="19" fillId="0" borderId="0" xfId="16" applyFont="1" applyBorder="1" applyAlignment="1" applyProtection="1">
      <alignment horizontal="center"/>
      <protection locked="0"/>
    </xf>
    <xf numFmtId="0" fontId="26" fillId="0" borderId="1" xfId="16" applyFont="1" applyFill="1" applyBorder="1" applyAlignment="1" applyProtection="1">
      <alignment vertical="center"/>
      <protection locked="0"/>
    </xf>
    <xf numFmtId="0" fontId="26" fillId="0" borderId="1" xfId="16" applyFont="1" applyFill="1" applyBorder="1" applyAlignment="1" applyProtection="1">
      <alignment horizontal="center" vertical="center"/>
      <protection locked="0"/>
    </xf>
    <xf numFmtId="0" fontId="26" fillId="0" borderId="1" xfId="16" applyFont="1" applyBorder="1" applyAlignment="1" applyProtection="1">
      <alignment vertical="center" wrapText="1"/>
      <protection locked="0"/>
    </xf>
    <xf numFmtId="0" fontId="52" fillId="0" borderId="88" xfId="0" applyFont="1" applyBorder="1" applyAlignment="1" applyProtection="1">
      <alignment vertical="center"/>
      <protection locked="0"/>
    </xf>
    <xf numFmtId="0" fontId="19" fillId="0" borderId="84" xfId="16" applyFont="1" applyFill="1" applyBorder="1" applyAlignment="1" applyProtection="1">
      <alignment horizontal="center" wrapText="1"/>
      <protection locked="0"/>
    </xf>
    <xf numFmtId="0" fontId="19" fillId="0" borderId="87" xfId="16" applyFont="1" applyBorder="1" applyProtection="1">
      <protection locked="0"/>
    </xf>
    <xf numFmtId="0" fontId="19" fillId="0" borderId="0" xfId="16" applyNumberFormat="1" applyFont="1" applyProtection="1">
      <protection locked="0"/>
    </xf>
    <xf numFmtId="0" fontId="19" fillId="9" borderId="55" xfId="0" applyFont="1" applyFill="1" applyBorder="1" applyAlignment="1" applyProtection="1">
      <alignment horizontal="left" vertical="top" wrapText="1"/>
      <protection locked="0"/>
    </xf>
    <xf numFmtId="0" fontId="19" fillId="8" borderId="0" xfId="0" applyFont="1" applyFill="1" applyBorder="1" applyAlignment="1" applyProtection="1">
      <alignment horizontal="center"/>
      <protection locked="0"/>
    </xf>
    <xf numFmtId="0" fontId="19" fillId="8" borderId="0" xfId="0" applyFont="1" applyFill="1" applyBorder="1" applyAlignment="1" applyProtection="1">
      <alignment horizontal="center" vertical="top"/>
      <protection locked="0"/>
    </xf>
    <xf numFmtId="0" fontId="27" fillId="0" borderId="0" xfId="16" applyFont="1" applyFill="1" applyProtection="1">
      <protection hidden="1"/>
    </xf>
    <xf numFmtId="0" fontId="27" fillId="30" borderId="0" xfId="16" applyFont="1" applyFill="1" applyProtection="1">
      <protection hidden="1"/>
    </xf>
    <xf numFmtId="0" fontId="27" fillId="30" borderId="0" xfId="16" applyFont="1" applyFill="1" applyAlignment="1" applyProtection="1">
      <alignment horizontal="center"/>
      <protection hidden="1"/>
    </xf>
    <xf numFmtId="0" fontId="28" fillId="0" borderId="89" xfId="16" applyFont="1" applyBorder="1" applyAlignment="1" applyProtection="1">
      <alignment horizontal="center"/>
      <protection hidden="1"/>
    </xf>
    <xf numFmtId="0" fontId="48" fillId="0" borderId="0" xfId="16" applyFont="1"/>
    <xf numFmtId="0" fontId="67" fillId="0" borderId="80" xfId="0" applyFont="1" applyBorder="1" applyAlignment="1">
      <alignment horizontal="center" vertical="center"/>
    </xf>
    <xf numFmtId="0" fontId="67" fillId="0" borderId="40" xfId="0" applyFont="1" applyBorder="1" applyAlignment="1">
      <alignment vertical="center"/>
    </xf>
    <xf numFmtId="0" fontId="67" fillId="0" borderId="40" xfId="0" applyFont="1" applyBorder="1" applyAlignment="1">
      <alignment horizontal="center" vertical="center"/>
    </xf>
    <xf numFmtId="0" fontId="68" fillId="0" borderId="80" xfId="0" applyFont="1" applyBorder="1" applyAlignment="1">
      <alignment horizontal="center" vertical="center"/>
    </xf>
    <xf numFmtId="0" fontId="68" fillId="0" borderId="40" xfId="0" applyFont="1" applyBorder="1" applyAlignment="1">
      <alignment vertical="center" wrapText="1"/>
    </xf>
    <xf numFmtId="0" fontId="68" fillId="0" borderId="40" xfId="0" applyFont="1" applyBorder="1" applyAlignment="1">
      <alignment horizontal="center" vertical="center"/>
    </xf>
    <xf numFmtId="0" fontId="68" fillId="23" borderId="40" xfId="0" applyFont="1" applyFill="1" applyBorder="1" applyAlignment="1">
      <alignment horizontal="center" vertical="center"/>
    </xf>
    <xf numFmtId="0" fontId="68" fillId="0" borderId="40" xfId="0" applyFont="1" applyBorder="1" applyAlignment="1">
      <alignment vertical="center"/>
    </xf>
    <xf numFmtId="0" fontId="68" fillId="24" borderId="40" xfId="0" applyFont="1" applyFill="1" applyBorder="1" applyAlignment="1">
      <alignment horizontal="center" vertical="center"/>
    </xf>
    <xf numFmtId="0" fontId="68" fillId="23" borderId="36" xfId="0" applyFont="1" applyFill="1" applyBorder="1" applyAlignment="1">
      <alignment horizontal="center" vertical="center"/>
    </xf>
    <xf numFmtId="0" fontId="68" fillId="23" borderId="40" xfId="0" applyFont="1" applyFill="1" applyBorder="1" applyAlignment="1">
      <alignment horizontal="center" vertical="center" wrapText="1"/>
    </xf>
    <xf numFmtId="0" fontId="67" fillId="24" borderId="108" xfId="0" applyFont="1" applyFill="1" applyBorder="1" applyAlignment="1">
      <alignment horizontal="center" vertical="center" wrapText="1"/>
    </xf>
    <xf numFmtId="0" fontId="67" fillId="24" borderId="109" xfId="0" applyFont="1" applyFill="1" applyBorder="1" applyAlignment="1">
      <alignment vertical="center" wrapText="1"/>
    </xf>
    <xf numFmtId="0" fontId="67" fillId="24" borderId="109" xfId="0" applyFont="1" applyFill="1" applyBorder="1" applyAlignment="1">
      <alignment horizontal="center" vertical="center" wrapText="1"/>
    </xf>
    <xf numFmtId="0" fontId="68" fillId="24" borderId="108" xfId="0" applyFont="1" applyFill="1" applyBorder="1" applyAlignment="1">
      <alignment horizontal="center" vertical="center" wrapText="1"/>
    </xf>
    <xf numFmtId="0" fontId="68" fillId="24" borderId="109" xfId="0" applyFont="1" applyFill="1" applyBorder="1" applyAlignment="1">
      <alignment vertical="center" wrapText="1"/>
    </xf>
    <xf numFmtId="0" fontId="68" fillId="24" borderId="109" xfId="0" applyFont="1" applyFill="1" applyBorder="1" applyAlignment="1">
      <alignment horizontal="center" vertical="center" wrapText="1"/>
    </xf>
    <xf numFmtId="0" fontId="68" fillId="23" borderId="109" xfId="0" applyFont="1" applyFill="1" applyBorder="1" applyAlignment="1">
      <alignment horizontal="center" vertical="center" wrapText="1"/>
    </xf>
    <xf numFmtId="0" fontId="49" fillId="23" borderId="40" xfId="0" applyFont="1" applyFill="1" applyBorder="1" applyAlignment="1">
      <alignment vertical="center"/>
    </xf>
    <xf numFmtId="0" fontId="68" fillId="21" borderId="109" xfId="0" applyFont="1" applyFill="1" applyBorder="1" applyAlignment="1">
      <alignment horizontal="center" vertical="center" wrapText="1"/>
    </xf>
    <xf numFmtId="0" fontId="19" fillId="0" borderId="97" xfId="16" applyFont="1" applyBorder="1" applyAlignment="1" applyProtection="1">
      <alignment horizontal="center"/>
      <protection locked="0"/>
    </xf>
    <xf numFmtId="0" fontId="19" fillId="0" borderId="96" xfId="16" applyFont="1" applyBorder="1" applyAlignment="1" applyProtection="1">
      <alignment horizontal="center"/>
      <protection locked="0"/>
    </xf>
    <xf numFmtId="0" fontId="19" fillId="0" borderId="2" xfId="16" applyFont="1" applyBorder="1" applyAlignment="1" applyProtection="1">
      <alignment horizontal="center"/>
      <protection locked="0"/>
    </xf>
    <xf numFmtId="0" fontId="54" fillId="0" borderId="89" xfId="0" applyFont="1" applyBorder="1" applyAlignment="1" applyProtection="1">
      <alignment horizontal="justify" vertical="center"/>
      <protection locked="0"/>
    </xf>
    <xf numFmtId="0" fontId="28" fillId="0" borderId="0" xfId="16" applyFont="1" applyBorder="1" applyAlignment="1" applyProtection="1">
      <alignment horizontal="center"/>
      <protection hidden="1"/>
    </xf>
    <xf numFmtId="0" fontId="26" fillId="0" borderId="85" xfId="16" applyFont="1" applyBorder="1" applyProtection="1">
      <protection locked="0"/>
    </xf>
    <xf numFmtId="0" fontId="19" fillId="0" borderId="92" xfId="16" applyFont="1" applyFill="1" applyBorder="1" applyAlignment="1" applyProtection="1">
      <alignment horizontal="center"/>
      <protection locked="0"/>
    </xf>
    <xf numFmtId="0" fontId="26" fillId="0" borderId="67" xfId="16" applyFont="1" applyBorder="1" applyProtection="1">
      <protection locked="0"/>
    </xf>
    <xf numFmtId="0" fontId="19" fillId="21" borderId="0" xfId="16" applyFont="1" applyFill="1" applyBorder="1" applyProtection="1">
      <protection hidden="1"/>
    </xf>
    <xf numFmtId="168" fontId="49" fillId="2" borderId="2" xfId="5" applyNumberFormat="1" applyFont="1" applyFill="1" applyBorder="1" applyProtection="1"/>
    <xf numFmtId="164" fontId="47" fillId="2" borderId="2" xfId="0" applyNumberFormat="1" applyFont="1" applyFill="1" applyBorder="1" applyProtection="1"/>
    <xf numFmtId="0" fontId="49" fillId="0" borderId="89" xfId="0" applyFont="1" applyBorder="1" applyProtection="1"/>
    <xf numFmtId="0" fontId="47" fillId="0" borderId="89" xfId="0" applyFont="1" applyFill="1" applyBorder="1" applyAlignment="1" applyProtection="1">
      <alignment horizontal="right"/>
    </xf>
    <xf numFmtId="168" fontId="49" fillId="2" borderId="2" xfId="0" applyNumberFormat="1" applyFont="1" applyFill="1" applyBorder="1" applyProtection="1"/>
    <xf numFmtId="168" fontId="49" fillId="2" borderId="67" xfId="0" applyNumberFormat="1" applyFont="1" applyFill="1" applyBorder="1" applyProtection="1"/>
    <xf numFmtId="9" fontId="49" fillId="2" borderId="67" xfId="4" applyFont="1" applyFill="1" applyBorder="1" applyProtection="1"/>
    <xf numFmtId="0" fontId="49" fillId="0" borderId="2" xfId="0" applyFont="1" applyFill="1" applyBorder="1" applyProtection="1"/>
    <xf numFmtId="0" fontId="49" fillId="0" borderId="67" xfId="0" applyFont="1" applyFill="1" applyBorder="1" applyProtection="1"/>
    <xf numFmtId="0" fontId="28" fillId="31" borderId="89" xfId="16" applyFont="1" applyFill="1" applyBorder="1" applyProtection="1">
      <protection hidden="1"/>
    </xf>
    <xf numFmtId="10" fontId="49" fillId="2" borderId="2" xfId="22" applyNumberFormat="1" applyFont="1" applyFill="1" applyBorder="1" applyAlignment="1" applyProtection="1">
      <alignment vertical="center"/>
    </xf>
    <xf numFmtId="175" fontId="49" fillId="2" borderId="2" xfId="22" applyNumberFormat="1" applyFont="1" applyFill="1" applyBorder="1" applyAlignment="1" applyProtection="1">
      <alignment vertical="center"/>
    </xf>
    <xf numFmtId="0" fontId="28" fillId="0" borderId="96" xfId="16" applyFont="1" applyBorder="1" applyProtection="1">
      <protection locked="0"/>
    </xf>
    <xf numFmtId="39" fontId="19" fillId="2" borderId="89" xfId="16" applyNumberFormat="1" applyFont="1" applyFill="1" applyBorder="1" applyAlignment="1" applyProtection="1">
      <alignment horizontal="center"/>
      <protection locked="0"/>
    </xf>
    <xf numFmtId="39" fontId="19" fillId="2" borderId="89" xfId="16" applyNumberFormat="1" applyFont="1" applyFill="1" applyBorder="1" applyAlignment="1" applyProtection="1">
      <alignment horizontal="center" vertical="center"/>
      <protection locked="0"/>
    </xf>
    <xf numFmtId="0" fontId="49" fillId="0" borderId="0" xfId="0" applyFont="1" applyFill="1" applyProtection="1">
      <protection locked="0"/>
    </xf>
    <xf numFmtId="0" fontId="49" fillId="0" borderId="0" xfId="0" applyFont="1" applyProtection="1">
      <protection locked="0"/>
    </xf>
    <xf numFmtId="0" fontId="47" fillId="0" borderId="0" xfId="0" applyFont="1" applyProtection="1">
      <protection locked="0"/>
    </xf>
    <xf numFmtId="0" fontId="47" fillId="17" borderId="0" xfId="0" applyFont="1" applyFill="1" applyProtection="1">
      <protection locked="0"/>
    </xf>
    <xf numFmtId="0" fontId="49" fillId="0" borderId="89" xfId="0" applyFont="1" applyBorder="1" applyProtection="1">
      <protection locked="0"/>
    </xf>
    <xf numFmtId="0" fontId="47" fillId="14" borderId="0" xfId="0" applyFont="1" applyFill="1" applyProtection="1">
      <protection locked="0"/>
    </xf>
    <xf numFmtId="0" fontId="47" fillId="13" borderId="2" xfId="0" applyFont="1" applyFill="1" applyBorder="1" applyAlignment="1" applyProtection="1">
      <alignment horizontal="center" vertical="center" wrapText="1"/>
      <protection locked="0"/>
    </xf>
    <xf numFmtId="0" fontId="49" fillId="17" borderId="2" xfId="0" applyFont="1" applyFill="1" applyBorder="1" applyAlignment="1" applyProtection="1">
      <alignment horizontal="center"/>
      <protection locked="0"/>
    </xf>
    <xf numFmtId="168" fontId="49" fillId="2" borderId="89" xfId="0" applyNumberFormat="1" applyFont="1" applyFill="1" applyBorder="1" applyProtection="1">
      <protection locked="0"/>
    </xf>
    <xf numFmtId="0" fontId="49" fillId="17" borderId="89" xfId="0" applyFont="1" applyFill="1" applyBorder="1" applyAlignment="1" applyProtection="1">
      <alignment horizontal="center"/>
      <protection locked="0"/>
    </xf>
    <xf numFmtId="0" fontId="47" fillId="25" borderId="0" xfId="0" applyFont="1" applyFill="1" applyProtection="1">
      <protection locked="0"/>
    </xf>
    <xf numFmtId="0" fontId="47" fillId="0" borderId="14" xfId="0" applyFont="1" applyFill="1" applyBorder="1" applyAlignment="1" applyProtection="1">
      <alignment vertical="center"/>
      <protection locked="0"/>
    </xf>
    <xf numFmtId="0" fontId="47" fillId="0" borderId="50" xfId="0" applyFont="1" applyFill="1" applyBorder="1" applyAlignment="1" applyProtection="1">
      <alignment horizontal="center" vertical="center" wrapText="1"/>
      <protection locked="0"/>
    </xf>
    <xf numFmtId="0" fontId="47" fillId="0" borderId="15" xfId="0" applyFont="1" applyFill="1" applyBorder="1" applyAlignment="1" applyProtection="1">
      <alignment horizontal="center" vertical="center" wrapText="1"/>
      <protection locked="0"/>
    </xf>
    <xf numFmtId="0" fontId="47" fillId="0" borderId="16" xfId="0" applyFont="1" applyFill="1" applyBorder="1" applyAlignment="1" applyProtection="1">
      <alignment horizontal="center" vertical="center" wrapText="1"/>
      <protection locked="0"/>
    </xf>
    <xf numFmtId="0" fontId="49" fillId="0" borderId="0" xfId="0" applyFont="1" applyAlignment="1" applyProtection="1">
      <alignment vertical="center"/>
      <protection locked="0"/>
    </xf>
    <xf numFmtId="0" fontId="47" fillId="13" borderId="17" xfId="0" applyFont="1" applyFill="1" applyBorder="1" applyAlignment="1" applyProtection="1">
      <alignment horizontal="center" vertical="center" wrapText="1"/>
      <protection locked="0"/>
    </xf>
    <xf numFmtId="0" fontId="47" fillId="13" borderId="2" xfId="0" applyFont="1" applyFill="1" applyBorder="1" applyAlignment="1" applyProtection="1">
      <alignment horizontal="center" vertical="center"/>
      <protection locked="0"/>
    </xf>
    <xf numFmtId="0" fontId="49" fillId="0" borderId="17" xfId="0" applyFont="1" applyBorder="1" applyAlignment="1" applyProtection="1">
      <alignment horizontal="center"/>
      <protection locked="0"/>
    </xf>
    <xf numFmtId="0" fontId="49" fillId="2" borderId="2" xfId="0" applyFont="1" applyFill="1" applyBorder="1" applyAlignment="1" applyProtection="1">
      <alignment horizontal="center"/>
      <protection locked="0"/>
    </xf>
    <xf numFmtId="168" fontId="49" fillId="17" borderId="2" xfId="5" applyNumberFormat="1" applyFont="1" applyFill="1" applyBorder="1" applyAlignment="1" applyProtection="1">
      <alignment horizontal="center" vertical="center"/>
      <protection locked="0"/>
    </xf>
    <xf numFmtId="168" fontId="49" fillId="2" borderId="17" xfId="0" applyNumberFormat="1" applyFont="1" applyFill="1" applyBorder="1" applyProtection="1">
      <protection locked="0"/>
    </xf>
    <xf numFmtId="0" fontId="49" fillId="2" borderId="2" xfId="0" applyFont="1" applyFill="1" applyBorder="1" applyProtection="1">
      <protection locked="0"/>
    </xf>
    <xf numFmtId="168" fontId="49" fillId="2" borderId="18" xfId="0" applyNumberFormat="1" applyFont="1" applyFill="1" applyBorder="1" applyProtection="1">
      <protection locked="0"/>
    </xf>
    <xf numFmtId="0" fontId="49" fillId="2" borderId="18" xfId="0" applyFont="1" applyFill="1" applyBorder="1" applyProtection="1">
      <protection locked="0"/>
    </xf>
    <xf numFmtId="0" fontId="49" fillId="0" borderId="35" xfId="0" applyFont="1" applyBorder="1" applyProtection="1">
      <protection locked="0"/>
    </xf>
    <xf numFmtId="0" fontId="49" fillId="0" borderId="0" xfId="0" applyFont="1" applyBorder="1" applyProtection="1">
      <protection locked="0"/>
    </xf>
    <xf numFmtId="0" fontId="51" fillId="16" borderId="4" xfId="0" applyFont="1" applyFill="1" applyBorder="1" applyAlignment="1" applyProtection="1">
      <alignment horizontal="center"/>
      <protection locked="0"/>
    </xf>
    <xf numFmtId="0" fontId="49" fillId="0" borderId="19" xfId="0" applyFont="1" applyFill="1" applyBorder="1" applyAlignment="1" applyProtection="1">
      <alignment horizontal="center"/>
      <protection locked="0"/>
    </xf>
    <xf numFmtId="1" fontId="49" fillId="2" borderId="20" xfId="0" applyNumberFormat="1" applyFont="1" applyFill="1" applyBorder="1" applyAlignment="1" applyProtection="1">
      <alignment horizontal="center"/>
      <protection locked="0"/>
    </xf>
    <xf numFmtId="0" fontId="49" fillId="2" borderId="20" xfId="0" applyFont="1" applyFill="1" applyBorder="1" applyAlignment="1" applyProtection="1">
      <alignment horizontal="center"/>
      <protection locked="0"/>
    </xf>
    <xf numFmtId="0" fontId="49" fillId="2" borderId="20" xfId="0" applyFont="1" applyFill="1" applyBorder="1" applyAlignment="1" applyProtection="1">
      <alignment horizontal="center" vertical="center"/>
      <protection locked="0"/>
    </xf>
    <xf numFmtId="1" fontId="49" fillId="2" borderId="20" xfId="0" applyNumberFormat="1" applyFont="1" applyFill="1" applyBorder="1" applyAlignment="1" applyProtection="1">
      <alignment horizontal="center" vertical="center"/>
      <protection locked="0"/>
    </xf>
    <xf numFmtId="1" fontId="49" fillId="2" borderId="28" xfId="0" applyNumberFormat="1" applyFont="1" applyFill="1" applyBorder="1" applyAlignment="1" applyProtection="1">
      <alignment horizontal="center" vertical="center"/>
      <protection locked="0"/>
    </xf>
    <xf numFmtId="168" fontId="47" fillId="0" borderId="19" xfId="0" applyNumberFormat="1" applyFont="1" applyBorder="1" applyProtection="1">
      <protection locked="0"/>
    </xf>
    <xf numFmtId="168" fontId="47" fillId="0" borderId="20" xfId="0" applyNumberFormat="1" applyFont="1" applyBorder="1" applyProtection="1">
      <protection locked="0"/>
    </xf>
    <xf numFmtId="168" fontId="47" fillId="0" borderId="21" xfId="0" applyNumberFormat="1" applyFont="1" applyBorder="1" applyProtection="1">
      <protection locked="0"/>
    </xf>
    <xf numFmtId="168" fontId="55" fillId="0" borderId="21" xfId="0" applyNumberFormat="1" applyFont="1" applyBorder="1" applyProtection="1">
      <protection locked="0"/>
    </xf>
    <xf numFmtId="164" fontId="49" fillId="0" borderId="0" xfId="0" applyNumberFormat="1" applyFont="1" applyProtection="1">
      <protection locked="0"/>
    </xf>
    <xf numFmtId="168" fontId="49" fillId="0" borderId="0" xfId="0" applyNumberFormat="1" applyFont="1" applyProtection="1">
      <protection locked="0"/>
    </xf>
    <xf numFmtId="1" fontId="49" fillId="2" borderId="2" xfId="0" applyNumberFormat="1" applyFont="1" applyFill="1" applyBorder="1" applyAlignment="1" applyProtection="1">
      <alignment horizontal="center"/>
      <protection locked="0"/>
    </xf>
    <xf numFmtId="1" fontId="49" fillId="17" borderId="2" xfId="0" applyNumberFormat="1" applyFont="1" applyFill="1" applyBorder="1" applyAlignment="1" applyProtection="1">
      <alignment horizontal="center"/>
      <protection locked="0"/>
    </xf>
    <xf numFmtId="0" fontId="49" fillId="17" borderId="2" xfId="0" applyFont="1" applyFill="1" applyBorder="1" applyAlignment="1" applyProtection="1">
      <alignment horizontal="center" vertical="center"/>
      <protection locked="0"/>
    </xf>
    <xf numFmtId="0" fontId="49" fillId="0" borderId="0" xfId="0" applyFont="1" applyFill="1" applyBorder="1" applyProtection="1">
      <protection locked="0"/>
    </xf>
    <xf numFmtId="0" fontId="49" fillId="0" borderId="2" xfId="0" applyFont="1" applyFill="1" applyBorder="1" applyProtection="1">
      <protection locked="0"/>
    </xf>
    <xf numFmtId="0" fontId="49" fillId="0" borderId="0" xfId="0" applyFont="1" applyFill="1" applyBorder="1" applyAlignment="1" applyProtection="1">
      <protection locked="0"/>
    </xf>
    <xf numFmtId="0" fontId="47" fillId="0" borderId="0" xfId="0" applyFont="1" applyFill="1" applyBorder="1" applyAlignment="1" applyProtection="1">
      <protection locked="0"/>
    </xf>
    <xf numFmtId="0" fontId="49" fillId="0" borderId="0" xfId="0" applyFont="1" applyFill="1" applyBorder="1" applyAlignment="1" applyProtection="1">
      <alignment horizontal="center"/>
      <protection locked="0"/>
    </xf>
    <xf numFmtId="0" fontId="47" fillId="0" borderId="2" xfId="0" applyFont="1" applyFill="1" applyBorder="1" applyProtection="1">
      <protection locked="0"/>
    </xf>
    <xf numFmtId="0" fontId="48" fillId="0" borderId="2" xfId="16" applyFont="1" applyBorder="1" applyAlignment="1" applyProtection="1">
      <alignment horizontal="left"/>
      <protection locked="0"/>
    </xf>
    <xf numFmtId="0" fontId="48" fillId="0" borderId="2" xfId="16" applyFont="1" applyBorder="1" applyAlignment="1" applyProtection="1">
      <alignment horizontal="center"/>
      <protection locked="0"/>
    </xf>
    <xf numFmtId="0" fontId="48" fillId="0" borderId="0" xfId="16" applyFont="1" applyBorder="1" applyAlignment="1" applyProtection="1">
      <alignment horizontal="left"/>
      <protection locked="0"/>
    </xf>
    <xf numFmtId="1" fontId="49" fillId="0" borderId="0" xfId="0" applyNumberFormat="1" applyFont="1" applyFill="1" applyBorder="1" applyAlignment="1" applyProtection="1">
      <alignment horizontal="center"/>
      <protection locked="0"/>
    </xf>
    <xf numFmtId="0" fontId="47" fillId="13" borderId="2" xfId="0" applyFont="1" applyFill="1" applyBorder="1" applyAlignment="1" applyProtection="1">
      <alignment horizontal="left" vertical="center"/>
      <protection locked="0"/>
    </xf>
    <xf numFmtId="0" fontId="47" fillId="0" borderId="67" xfId="0" applyFont="1" applyFill="1" applyBorder="1" applyProtection="1">
      <protection locked="0"/>
    </xf>
    <xf numFmtId="168" fontId="48" fillId="2" borderId="2" xfId="16" applyNumberFormat="1" applyFont="1" applyFill="1" applyBorder="1" applyAlignment="1" applyProtection="1">
      <alignment horizontal="left"/>
      <protection locked="0"/>
    </xf>
    <xf numFmtId="0" fontId="47" fillId="13" borderId="67" xfId="0" applyFont="1" applyFill="1" applyBorder="1" applyAlignment="1" applyProtection="1">
      <alignment horizontal="left" vertical="center"/>
      <protection locked="0"/>
    </xf>
    <xf numFmtId="0" fontId="47" fillId="13" borderId="67" xfId="0" applyFont="1" applyFill="1" applyBorder="1" applyAlignment="1" applyProtection="1">
      <alignment horizontal="center" vertical="center"/>
      <protection locked="0"/>
    </xf>
    <xf numFmtId="0" fontId="49" fillId="0" borderId="0" xfId="0" applyFont="1" applyFill="1" applyBorder="1" applyAlignment="1" applyProtection="1">
      <alignment horizontal="left"/>
      <protection locked="0"/>
    </xf>
    <xf numFmtId="0" fontId="48" fillId="0" borderId="2" xfId="16" applyFont="1" applyFill="1" applyBorder="1" applyAlignment="1" applyProtection="1">
      <alignment horizontal="left"/>
      <protection locked="0"/>
    </xf>
    <xf numFmtId="0" fontId="48" fillId="0" borderId="2" xfId="16" applyFont="1" applyBorder="1" applyAlignment="1" applyProtection="1">
      <alignment horizontal="left" vertical="center"/>
      <protection locked="0"/>
    </xf>
    <xf numFmtId="0" fontId="49" fillId="0" borderId="2" xfId="0" applyFont="1" applyFill="1" applyBorder="1" applyAlignment="1" applyProtection="1">
      <alignment horizontal="center"/>
      <protection locked="0"/>
    </xf>
    <xf numFmtId="0" fontId="48" fillId="0" borderId="2" xfId="16" applyFont="1" applyBorder="1" applyAlignment="1" applyProtection="1">
      <alignment horizontal="left" vertical="center" wrapText="1"/>
      <protection locked="0"/>
    </xf>
    <xf numFmtId="0" fontId="49" fillId="0" borderId="2" xfId="0" applyFont="1" applyFill="1" applyBorder="1" applyAlignment="1" applyProtection="1">
      <alignment horizontal="center" vertical="center"/>
      <protection locked="0"/>
    </xf>
    <xf numFmtId="0" fontId="49" fillId="0" borderId="67" xfId="0" applyFont="1" applyFill="1" applyBorder="1" applyProtection="1">
      <protection locked="0"/>
    </xf>
    <xf numFmtId="0" fontId="48" fillId="0" borderId="67" xfId="16" applyFont="1" applyBorder="1" applyAlignment="1" applyProtection="1">
      <alignment horizontal="left" vertical="center" wrapText="1"/>
      <protection locked="0"/>
    </xf>
    <xf numFmtId="0" fontId="49" fillId="0" borderId="67" xfId="0" applyFont="1" applyFill="1" applyBorder="1" applyAlignment="1" applyProtection="1">
      <alignment horizontal="center" vertical="center"/>
      <protection locked="0"/>
    </xf>
    <xf numFmtId="0" fontId="50" fillId="0" borderId="2" xfId="16" applyFont="1" applyBorder="1" applyAlignment="1" applyProtection="1">
      <alignment horizontal="left" vertical="center" wrapText="1"/>
      <protection locked="0"/>
    </xf>
    <xf numFmtId="37" fontId="48" fillId="0" borderId="2" xfId="5" applyNumberFormat="1" applyFont="1" applyBorder="1" applyAlignment="1" applyProtection="1">
      <alignment horizontal="center" vertical="center" wrapText="1"/>
      <protection locked="0"/>
    </xf>
    <xf numFmtId="1" fontId="49" fillId="0" borderId="0" xfId="5" applyNumberFormat="1" applyFont="1" applyFill="1" applyBorder="1" applyAlignment="1" applyProtection="1">
      <alignment horizontal="center"/>
      <protection locked="0"/>
    </xf>
    <xf numFmtId="0" fontId="48" fillId="5" borderId="2" xfId="16" applyFont="1" applyFill="1" applyBorder="1" applyAlignment="1" applyProtection="1">
      <alignment horizontal="left"/>
      <protection locked="0"/>
    </xf>
    <xf numFmtId="0" fontId="48" fillId="18" borderId="2" xfId="16" applyFont="1" applyFill="1" applyBorder="1" applyAlignment="1" applyProtection="1">
      <alignment horizontal="center"/>
      <protection locked="0"/>
    </xf>
    <xf numFmtId="168" fontId="48" fillId="18" borderId="2" xfId="5" applyNumberFormat="1" applyFont="1" applyFill="1" applyBorder="1" applyAlignment="1" applyProtection="1">
      <alignment horizontal="left"/>
      <protection locked="0"/>
    </xf>
    <xf numFmtId="0" fontId="47" fillId="0" borderId="2" xfId="0" quotePrefix="1" applyFont="1" applyFill="1" applyBorder="1" applyProtection="1">
      <protection locked="0"/>
    </xf>
    <xf numFmtId="0" fontId="47" fillId="0" borderId="89" xfId="0" applyFont="1" applyFill="1" applyBorder="1" applyProtection="1">
      <protection locked="0"/>
    </xf>
    <xf numFmtId="0" fontId="49" fillId="0" borderId="89" xfId="0" applyFont="1" applyFill="1" applyBorder="1" applyProtection="1">
      <protection locked="0"/>
    </xf>
    <xf numFmtId="1" fontId="47" fillId="0" borderId="0" xfId="0" applyNumberFormat="1" applyFont="1" applyFill="1" applyBorder="1" applyAlignment="1" applyProtection="1">
      <alignment horizontal="center" wrapText="1"/>
      <protection locked="0"/>
    </xf>
    <xf numFmtId="0" fontId="48" fillId="0" borderId="2" xfId="16" applyFont="1" applyBorder="1" applyProtection="1">
      <protection locked="0"/>
    </xf>
    <xf numFmtId="2" fontId="47" fillId="0" borderId="0" xfId="5" applyNumberFormat="1" applyFont="1" applyFill="1" applyBorder="1" applyAlignment="1" applyProtection="1">
      <alignment horizontal="center" vertical="center"/>
      <protection locked="0"/>
    </xf>
    <xf numFmtId="1" fontId="47" fillId="0" borderId="0" xfId="0" applyNumberFormat="1" applyFont="1" applyFill="1" applyBorder="1" applyAlignment="1" applyProtection="1">
      <alignment horizontal="center"/>
      <protection locked="0"/>
    </xf>
    <xf numFmtId="0" fontId="47" fillId="0" borderId="0" xfId="0" applyFont="1" applyFill="1" applyBorder="1" applyProtection="1">
      <protection locked="0"/>
    </xf>
    <xf numFmtId="1" fontId="49" fillId="0" borderId="0" xfId="0" applyNumberFormat="1" applyFont="1" applyFill="1" applyBorder="1" applyProtection="1">
      <protection locked="0"/>
    </xf>
    <xf numFmtId="0" fontId="48" fillId="0" borderId="2" xfId="16" applyFont="1" applyFill="1" applyBorder="1" applyProtection="1">
      <protection locked="0"/>
    </xf>
    <xf numFmtId="10" fontId="49" fillId="0" borderId="0" xfId="0" applyNumberFormat="1" applyFont="1" applyFill="1" applyBorder="1" applyProtection="1">
      <protection locked="0"/>
    </xf>
    <xf numFmtId="10" fontId="47" fillId="0" borderId="0" xfId="4" applyNumberFormat="1" applyFont="1" applyFill="1" applyBorder="1" applyAlignment="1" applyProtection="1">
      <alignment horizontal="center" vertical="center"/>
      <protection locked="0"/>
    </xf>
    <xf numFmtId="0" fontId="48" fillId="0" borderId="89" xfId="16" applyFont="1" applyFill="1" applyBorder="1" applyProtection="1">
      <protection locked="0"/>
    </xf>
    <xf numFmtId="175" fontId="49" fillId="0" borderId="2" xfId="22" applyNumberFormat="1" applyFont="1" applyFill="1" applyBorder="1" applyAlignment="1" applyProtection="1">
      <alignment vertical="center"/>
      <protection locked="0"/>
    </xf>
    <xf numFmtId="0" fontId="49" fillId="0" borderId="0" xfId="0" applyFont="1" applyFill="1" applyAlignment="1" applyProtection="1">
      <alignment horizontal="center" vertical="center"/>
      <protection locked="0"/>
    </xf>
    <xf numFmtId="3" fontId="48" fillId="31" borderId="2" xfId="16" applyNumberFormat="1" applyFont="1" applyFill="1" applyBorder="1" applyProtection="1"/>
    <xf numFmtId="0" fontId="49" fillId="0" borderId="2" xfId="0" applyFont="1" applyBorder="1" applyProtection="1"/>
    <xf numFmtId="3" fontId="48" fillId="32" borderId="2" xfId="16" applyNumberFormat="1" applyFont="1" applyFill="1" applyBorder="1" applyProtection="1"/>
    <xf numFmtId="3" fontId="48" fillId="2" borderId="2" xfId="16" applyNumberFormat="1" applyFont="1" applyFill="1" applyBorder="1" applyProtection="1"/>
    <xf numFmtId="0" fontId="47" fillId="0" borderId="2" xfId="0" applyFont="1" applyBorder="1" applyProtection="1"/>
    <xf numFmtId="0" fontId="49" fillId="2" borderId="2" xfId="0" applyFont="1" applyFill="1" applyBorder="1" applyProtection="1"/>
    <xf numFmtId="9" fontId="49" fillId="2" borderId="2" xfId="0" applyNumberFormat="1" applyFont="1" applyFill="1" applyBorder="1" applyProtection="1"/>
    <xf numFmtId="0" fontId="47" fillId="0" borderId="2" xfId="0" applyFont="1" applyFill="1" applyBorder="1" applyProtection="1"/>
    <xf numFmtId="164" fontId="49" fillId="0" borderId="89" xfId="0" applyNumberFormat="1" applyFont="1" applyFill="1" applyBorder="1" applyProtection="1"/>
    <xf numFmtId="168" fontId="49" fillId="3" borderId="2" xfId="5" applyNumberFormat="1" applyFont="1" applyFill="1" applyBorder="1" applyProtection="1">
      <protection locked="0"/>
    </xf>
    <xf numFmtId="10" fontId="49" fillId="2" borderId="67" xfId="4" applyNumberFormat="1" applyFont="1" applyFill="1" applyBorder="1" applyProtection="1"/>
    <xf numFmtId="0" fontId="69" fillId="0" borderId="0" xfId="0" applyFont="1"/>
    <xf numFmtId="9" fontId="69" fillId="0" borderId="0" xfId="0" applyNumberFormat="1" applyFont="1"/>
    <xf numFmtId="10" fontId="69" fillId="0" borderId="0" xfId="0" applyNumberFormat="1" applyFont="1"/>
    <xf numFmtId="164" fontId="69" fillId="0" borderId="0" xfId="0" applyNumberFormat="1" applyFont="1"/>
    <xf numFmtId="0" fontId="52" fillId="0" borderId="0" xfId="0" applyFont="1" applyBorder="1" applyAlignment="1" applyProtection="1">
      <alignment horizontal="left" vertical="center"/>
      <protection locked="0"/>
    </xf>
    <xf numFmtId="0" fontId="1" fillId="21" borderId="74" xfId="1" applyFont="1" applyFill="1" applyBorder="1" applyProtection="1">
      <protection locked="0"/>
    </xf>
    <xf numFmtId="0" fontId="54" fillId="0" borderId="104" xfId="0" applyFont="1" applyBorder="1" applyAlignment="1" applyProtection="1">
      <alignment horizontal="justify" vertical="center"/>
      <protection locked="0"/>
    </xf>
    <xf numFmtId="168" fontId="52" fillId="0" borderId="104" xfId="5" applyNumberFormat="1" applyFont="1" applyBorder="1" applyAlignment="1" applyProtection="1">
      <alignment horizontal="left" vertical="center"/>
      <protection locked="0"/>
    </xf>
    <xf numFmtId="0" fontId="54" fillId="0" borderId="104" xfId="0" applyFont="1" applyBorder="1" applyAlignment="1" applyProtection="1">
      <alignment horizontal="left" vertical="center"/>
      <protection locked="0"/>
    </xf>
    <xf numFmtId="10" fontId="58" fillId="0" borderId="104" xfId="4" applyNumberFormat="1" applyFont="1" applyBorder="1" applyAlignment="1" applyProtection="1">
      <alignment horizontal="center" vertical="center"/>
      <protection locked="0"/>
    </xf>
    <xf numFmtId="0" fontId="70" fillId="0" borderId="0" xfId="16" applyFont="1" applyFill="1" applyProtection="1">
      <protection hidden="1"/>
    </xf>
    <xf numFmtId="0" fontId="26" fillId="22" borderId="89" xfId="16" applyFont="1" applyFill="1" applyBorder="1" applyProtection="1">
      <protection locked="0"/>
    </xf>
    <xf numFmtId="0" fontId="28" fillId="21" borderId="0" xfId="16" applyFont="1" applyFill="1" applyBorder="1" applyProtection="1">
      <protection hidden="1"/>
    </xf>
    <xf numFmtId="0" fontId="19" fillId="0" borderId="70" xfId="16" applyFont="1" applyFill="1" applyBorder="1" applyAlignment="1" applyProtection="1">
      <alignment horizontal="left" vertical="top" wrapText="1"/>
      <protection locked="0"/>
    </xf>
    <xf numFmtId="0" fontId="19" fillId="0" borderId="70" xfId="16" applyFont="1" applyFill="1" applyBorder="1" applyAlignment="1" applyProtection="1">
      <alignment horizontal="left" vertical="center" wrapText="1"/>
      <protection locked="0"/>
    </xf>
    <xf numFmtId="0" fontId="19" fillId="0" borderId="18" xfId="16" quotePrefix="1" applyFont="1" applyBorder="1" applyAlignment="1" applyProtection="1">
      <alignment horizontal="left" wrapText="1"/>
      <protection locked="0"/>
    </xf>
    <xf numFmtId="0" fontId="19" fillId="0" borderId="18" xfId="16" quotePrefix="1" applyFont="1" applyBorder="1" applyAlignment="1" applyProtection="1">
      <alignment horizontal="left"/>
      <protection locked="0"/>
    </xf>
    <xf numFmtId="0" fontId="19" fillId="0" borderId="72" xfId="16" quotePrefix="1" applyFont="1" applyBorder="1" applyAlignment="1" applyProtection="1">
      <alignment horizontal="left" wrapText="1"/>
      <protection locked="0"/>
    </xf>
    <xf numFmtId="0" fontId="19" fillId="0" borderId="72" xfId="16" quotePrefix="1" applyFont="1" applyBorder="1" applyAlignment="1" applyProtection="1">
      <alignment horizontal="left"/>
      <protection locked="0"/>
    </xf>
    <xf numFmtId="0" fontId="19" fillId="0" borderId="76" xfId="16" applyFont="1" applyBorder="1" applyAlignment="1" applyProtection="1">
      <alignment horizontal="left"/>
      <protection locked="0"/>
    </xf>
    <xf numFmtId="2" fontId="32" fillId="10" borderId="31" xfId="16" applyNumberFormat="1" applyFont="1" applyFill="1" applyBorder="1" applyAlignment="1" applyProtection="1">
      <alignment horizontal="center"/>
      <protection hidden="1"/>
    </xf>
    <xf numFmtId="10" fontId="58" fillId="0" borderId="0" xfId="4" applyNumberFormat="1" applyFont="1" applyAlignment="1" applyProtection="1">
      <alignment horizontal="left"/>
      <protection locked="0"/>
    </xf>
    <xf numFmtId="0" fontId="19" fillId="0" borderId="55" xfId="16" applyFont="1" applyBorder="1" applyAlignment="1" applyProtection="1">
      <alignment horizontal="left"/>
      <protection locked="0"/>
    </xf>
    <xf numFmtId="39" fontId="19" fillId="2" borderId="89" xfId="16" applyNumberFormat="1" applyFont="1" applyFill="1" applyBorder="1" applyAlignment="1" applyProtection="1">
      <alignment horizontal="left"/>
      <protection locked="0"/>
    </xf>
    <xf numFmtId="168" fontId="49" fillId="2" borderId="89" xfId="0" applyNumberFormat="1" applyFont="1" applyFill="1" applyBorder="1" applyProtection="1"/>
    <xf numFmtId="9" fontId="8" fillId="2" borderId="0" xfId="4" applyFill="1" applyProtection="1">
      <protection locked="0"/>
    </xf>
    <xf numFmtId="10" fontId="49" fillId="32" borderId="0" xfId="4" applyNumberFormat="1" applyFont="1" applyFill="1" applyProtection="1">
      <protection locked="0"/>
    </xf>
    <xf numFmtId="0" fontId="17" fillId="0" borderId="0" xfId="8" applyFont="1" applyBorder="1" applyAlignment="1">
      <alignment horizontal="center" vertical="top"/>
    </xf>
    <xf numFmtId="2" fontId="15" fillId="0" borderId="0" xfId="8" applyNumberFormat="1" applyFont="1" applyBorder="1" applyAlignment="1">
      <alignment horizontal="center" vertical="top"/>
    </xf>
    <xf numFmtId="0" fontId="15" fillId="0" borderId="0" xfId="8" applyFont="1" applyBorder="1" applyAlignment="1">
      <alignment horizontal="center" vertical="top"/>
    </xf>
    <xf numFmtId="0" fontId="5" fillId="0" borderId="0" xfId="8" applyFont="1" applyBorder="1" applyAlignment="1">
      <alignment horizontal="center" vertical="top"/>
    </xf>
    <xf numFmtId="2" fontId="5" fillId="0" borderId="0" xfId="8" applyNumberFormat="1" applyFont="1" applyBorder="1" applyAlignment="1">
      <alignment horizontal="center" vertical="top"/>
    </xf>
    <xf numFmtId="0" fontId="14" fillId="0" borderId="0" xfId="8" applyBorder="1" applyAlignment="1">
      <alignment horizontal="center" vertical="top"/>
    </xf>
    <xf numFmtId="2" fontId="14" fillId="0" borderId="0" xfId="8" applyNumberFormat="1" applyBorder="1" applyAlignment="1">
      <alignment horizontal="center" vertical="top"/>
    </xf>
    <xf numFmtId="0" fontId="21" fillId="0" borderId="0" xfId="17" applyFont="1" applyAlignment="1">
      <alignment horizontal="center" vertical="top"/>
    </xf>
    <xf numFmtId="0" fontId="5" fillId="0" borderId="0" xfId="17" applyFont="1" applyBorder="1" applyAlignment="1">
      <alignment horizontal="center"/>
    </xf>
    <xf numFmtId="0" fontId="47" fillId="0" borderId="77" xfId="0" applyFont="1" applyBorder="1" applyAlignment="1">
      <alignment horizontal="left"/>
    </xf>
    <xf numFmtId="0" fontId="47" fillId="0" borderId="78" xfId="0" applyFont="1" applyBorder="1" applyAlignment="1">
      <alignment horizontal="left"/>
    </xf>
    <xf numFmtId="0" fontId="47" fillId="0" borderId="79" xfId="0" applyFont="1" applyBorder="1" applyAlignment="1">
      <alignment horizontal="left"/>
    </xf>
    <xf numFmtId="0" fontId="62" fillId="4" borderId="97" xfId="26" applyFont="1" applyFill="1" applyBorder="1" applyAlignment="1">
      <alignment horizontal="center"/>
    </xf>
    <xf numFmtId="0" fontId="19" fillId="0" borderId="5" xfId="16" applyFont="1" applyBorder="1" applyAlignment="1" applyProtection="1">
      <alignment horizontal="center"/>
      <protection locked="0"/>
    </xf>
    <xf numFmtId="0" fontId="19" fillId="0" borderId="4" xfId="16" applyFont="1" applyBorder="1" applyAlignment="1" applyProtection="1">
      <alignment horizontal="center"/>
      <protection locked="0"/>
    </xf>
    <xf numFmtId="0" fontId="19" fillId="0" borderId="3" xfId="16" applyFont="1" applyBorder="1" applyAlignment="1" applyProtection="1">
      <alignment horizontal="center"/>
      <protection locked="0"/>
    </xf>
    <xf numFmtId="0" fontId="19" fillId="0" borderId="5" xfId="16" applyFont="1" applyBorder="1" applyAlignment="1" applyProtection="1">
      <alignment horizontal="left"/>
      <protection locked="0"/>
    </xf>
    <xf numFmtId="0" fontId="19" fillId="0" borderId="4" xfId="16" applyFont="1" applyBorder="1" applyAlignment="1" applyProtection="1">
      <alignment horizontal="left"/>
      <protection locked="0"/>
    </xf>
    <xf numFmtId="0" fontId="19" fillId="0" borderId="3" xfId="16" applyFont="1" applyBorder="1" applyAlignment="1" applyProtection="1">
      <alignment horizontal="left"/>
      <protection locked="0"/>
    </xf>
    <xf numFmtId="0" fontId="52" fillId="0" borderId="95" xfId="0" applyFont="1" applyBorder="1" applyAlignment="1" applyProtection="1">
      <alignment horizontal="center" vertical="center"/>
      <protection locked="0"/>
    </xf>
    <xf numFmtId="0" fontId="52" fillId="0" borderId="97" xfId="0" applyFont="1" applyBorder="1" applyAlignment="1" applyProtection="1">
      <alignment horizontal="center" vertical="center"/>
      <protection locked="0"/>
    </xf>
    <xf numFmtId="0" fontId="52" fillId="0" borderId="96" xfId="0" applyFont="1" applyBorder="1" applyAlignment="1" applyProtection="1">
      <alignment horizontal="center" vertical="center"/>
      <protection locked="0"/>
    </xf>
    <xf numFmtId="0" fontId="26" fillId="0" borderId="5" xfId="16" applyFont="1" applyBorder="1" applyAlignment="1" applyProtection="1">
      <alignment horizontal="center"/>
      <protection locked="0"/>
    </xf>
    <xf numFmtId="0" fontId="26" fillId="0" borderId="4" xfId="16" applyFont="1" applyBorder="1" applyAlignment="1" applyProtection="1">
      <alignment horizontal="center"/>
      <protection locked="0"/>
    </xf>
    <xf numFmtId="0" fontId="26" fillId="0" borderId="3" xfId="16" applyFont="1" applyBorder="1" applyAlignment="1" applyProtection="1">
      <alignment horizontal="center"/>
      <protection locked="0"/>
    </xf>
    <xf numFmtId="0" fontId="19" fillId="0" borderId="5" xfId="16" applyFont="1" applyBorder="1" applyAlignment="1" applyProtection="1">
      <alignment horizontal="left" wrapText="1"/>
      <protection locked="0"/>
    </xf>
    <xf numFmtId="2" fontId="19" fillId="0" borderId="5" xfId="16" applyNumberFormat="1" applyFont="1" applyBorder="1" applyAlignment="1" applyProtection="1">
      <alignment horizontal="left"/>
      <protection locked="0"/>
    </xf>
    <xf numFmtId="2" fontId="19" fillId="0" borderId="4" xfId="16" applyNumberFormat="1" applyFont="1" applyBorder="1" applyAlignment="1" applyProtection="1">
      <alignment horizontal="left"/>
      <protection locked="0"/>
    </xf>
    <xf numFmtId="2" fontId="19" fillId="0" borderId="3" xfId="16" applyNumberFormat="1" applyFont="1" applyBorder="1" applyAlignment="1" applyProtection="1">
      <alignment horizontal="left"/>
      <protection locked="0"/>
    </xf>
    <xf numFmtId="0" fontId="71" fillId="8" borderId="55" xfId="28" applyFill="1" applyBorder="1" applyAlignment="1" applyProtection="1">
      <alignment horizontal="left" vertical="top"/>
      <protection locked="0"/>
    </xf>
    <xf numFmtId="0" fontId="19" fillId="8" borderId="55" xfId="0" applyFont="1" applyFill="1" applyBorder="1" applyAlignment="1" applyProtection="1">
      <alignment horizontal="left" vertical="top"/>
      <protection locked="0"/>
    </xf>
    <xf numFmtId="0" fontId="19" fillId="3" borderId="8" xfId="16" applyFont="1" applyFill="1" applyBorder="1" applyAlignment="1" applyProtection="1">
      <alignment horizontal="center"/>
      <protection locked="0"/>
    </xf>
    <xf numFmtId="0" fontId="19" fillId="3" borderId="9" xfId="16" applyFont="1" applyFill="1" applyBorder="1" applyAlignment="1" applyProtection="1">
      <alignment horizontal="center"/>
      <protection locked="0"/>
    </xf>
    <xf numFmtId="0" fontId="19" fillId="3" borderId="46" xfId="16" applyFont="1" applyFill="1" applyBorder="1" applyAlignment="1" applyProtection="1">
      <alignment horizontal="center"/>
      <protection locked="0"/>
    </xf>
    <xf numFmtId="0" fontId="19" fillId="3" borderId="11" xfId="16" applyFont="1" applyFill="1" applyBorder="1" applyAlignment="1" applyProtection="1">
      <alignment horizontal="center"/>
      <protection locked="0"/>
    </xf>
    <xf numFmtId="0" fontId="19" fillId="3" borderId="0" xfId="16" applyFont="1" applyFill="1" applyBorder="1" applyAlignment="1" applyProtection="1">
      <alignment horizontal="center"/>
      <protection locked="0"/>
    </xf>
    <xf numFmtId="0" fontId="19" fillId="3" borderId="36" xfId="16" applyFont="1" applyFill="1" applyBorder="1" applyAlignment="1" applyProtection="1">
      <alignment horizontal="center"/>
      <protection locked="0"/>
    </xf>
    <xf numFmtId="0" fontId="19" fillId="3" borderId="45" xfId="16" applyFont="1" applyFill="1" applyBorder="1" applyAlignment="1" applyProtection="1">
      <alignment horizontal="center"/>
      <protection locked="0"/>
    </xf>
    <xf numFmtId="0" fontId="19" fillId="3" borderId="31" xfId="16" applyFont="1" applyFill="1" applyBorder="1" applyAlignment="1" applyProtection="1">
      <alignment horizontal="center"/>
      <protection locked="0"/>
    </xf>
    <xf numFmtId="0" fontId="19" fillId="3" borderId="40" xfId="16" applyFont="1" applyFill="1" applyBorder="1" applyAlignment="1" applyProtection="1">
      <alignment horizontal="center"/>
      <protection locked="0"/>
    </xf>
    <xf numFmtId="0" fontId="26" fillId="0" borderId="41" xfId="16" applyFont="1" applyBorder="1" applyAlignment="1" applyProtection="1">
      <alignment horizontal="left"/>
      <protection locked="0"/>
    </xf>
    <xf numFmtId="0" fontId="26" fillId="0" borderId="38" xfId="16" applyFont="1" applyBorder="1" applyAlignment="1" applyProtection="1">
      <alignment horizontal="left"/>
      <protection locked="0"/>
    </xf>
    <xf numFmtId="0" fontId="26" fillId="0" borderId="2" xfId="16" applyFont="1" applyBorder="1" applyAlignment="1" applyProtection="1">
      <alignment horizontal="left"/>
      <protection locked="0"/>
    </xf>
    <xf numFmtId="0" fontId="19" fillId="0" borderId="2" xfId="16" applyFont="1" applyBorder="1" applyAlignment="1" applyProtection="1">
      <alignment horizontal="left" wrapText="1"/>
      <protection locked="0"/>
    </xf>
    <xf numFmtId="0" fontId="19" fillId="0" borderId="2" xfId="16" applyFont="1" applyBorder="1" applyAlignment="1" applyProtection="1">
      <alignment horizontal="left"/>
      <protection locked="0"/>
    </xf>
    <xf numFmtId="0" fontId="54" fillId="28" borderId="89" xfId="0" applyFont="1" applyFill="1" applyBorder="1" applyAlignment="1" applyProtection="1">
      <alignment horizontal="left" vertical="top" wrapText="1"/>
      <protection locked="0"/>
    </xf>
    <xf numFmtId="0" fontId="52" fillId="28" borderId="89" xfId="0" applyFont="1" applyFill="1" applyBorder="1" applyAlignment="1" applyProtection="1">
      <alignment horizontal="left" vertical="top" wrapText="1"/>
      <protection locked="0"/>
    </xf>
    <xf numFmtId="0" fontId="27" fillId="6" borderId="0" xfId="16" applyFont="1" applyFill="1" applyAlignment="1" applyProtection="1">
      <alignment horizontal="center"/>
      <protection locked="0"/>
    </xf>
    <xf numFmtId="0" fontId="28" fillId="14" borderId="5" xfId="16" applyFont="1" applyFill="1" applyBorder="1" applyAlignment="1" applyProtection="1">
      <alignment horizontal="left" vertical="center" wrapText="1"/>
      <protection locked="0"/>
    </xf>
    <xf numFmtId="0" fontId="28" fillId="14" borderId="4" xfId="16" applyFont="1" applyFill="1" applyBorder="1" applyAlignment="1" applyProtection="1">
      <alignment horizontal="left" vertical="center"/>
      <protection locked="0"/>
    </xf>
    <xf numFmtId="0" fontId="28" fillId="14" borderId="3" xfId="16" applyFont="1" applyFill="1" applyBorder="1" applyAlignment="1" applyProtection="1">
      <alignment horizontal="left" vertical="center"/>
      <protection locked="0"/>
    </xf>
    <xf numFmtId="0" fontId="28" fillId="14" borderId="52" xfId="16" applyFont="1" applyFill="1" applyBorder="1" applyAlignment="1" applyProtection="1">
      <alignment horizontal="left" vertical="center" wrapText="1"/>
      <protection locked="0"/>
    </xf>
    <xf numFmtId="0" fontId="28" fillId="14" borderId="53" xfId="16" applyFont="1" applyFill="1" applyBorder="1" applyAlignment="1" applyProtection="1">
      <alignment horizontal="left" vertical="center" wrapText="1"/>
      <protection locked="0"/>
    </xf>
    <xf numFmtId="0" fontId="28" fillId="14" borderId="54" xfId="16" applyFont="1" applyFill="1" applyBorder="1" applyAlignment="1" applyProtection="1">
      <alignment horizontal="left" vertical="center" wrapText="1"/>
      <protection locked="0"/>
    </xf>
    <xf numFmtId="0" fontId="26" fillId="4" borderId="85" xfId="16" applyFont="1" applyFill="1" applyBorder="1" applyAlignment="1" applyProtection="1">
      <alignment horizontal="center"/>
      <protection locked="0"/>
    </xf>
    <xf numFmtId="0" fontId="26" fillId="4" borderId="86" xfId="16" applyFont="1" applyFill="1" applyBorder="1" applyAlignment="1" applyProtection="1">
      <alignment horizontal="center"/>
      <protection locked="0"/>
    </xf>
    <xf numFmtId="0" fontId="28" fillId="14" borderId="53" xfId="16" applyFont="1" applyFill="1" applyBorder="1" applyAlignment="1" applyProtection="1">
      <alignment horizontal="left" vertical="center"/>
      <protection locked="0"/>
    </xf>
    <xf numFmtId="0" fontId="28" fillId="14" borderId="54" xfId="16" applyFont="1" applyFill="1" applyBorder="1" applyAlignment="1" applyProtection="1">
      <alignment horizontal="left" vertical="center"/>
      <protection locked="0"/>
    </xf>
    <xf numFmtId="0" fontId="57" fillId="14" borderId="52" xfId="16" applyFont="1" applyFill="1" applyBorder="1" applyAlignment="1" applyProtection="1">
      <alignment horizontal="left" vertical="center" wrapText="1"/>
      <protection locked="0"/>
    </xf>
    <xf numFmtId="0" fontId="57" fillId="14" borderId="53" xfId="16" applyFont="1" applyFill="1" applyBorder="1" applyAlignment="1" applyProtection="1">
      <alignment horizontal="left" vertical="center" wrapText="1"/>
      <protection locked="0"/>
    </xf>
    <xf numFmtId="0" fontId="57" fillId="14" borderId="54" xfId="16" applyFont="1" applyFill="1" applyBorder="1" applyAlignment="1" applyProtection="1">
      <alignment horizontal="left" vertical="center" wrapText="1"/>
      <protection locked="0"/>
    </xf>
    <xf numFmtId="1" fontId="28" fillId="14" borderId="5" xfId="16" applyNumberFormat="1" applyFont="1" applyFill="1" applyBorder="1" applyAlignment="1" applyProtection="1">
      <alignment horizontal="left" vertical="center" wrapText="1"/>
      <protection locked="0"/>
    </xf>
    <xf numFmtId="1" fontId="28" fillId="14" borderId="4" xfId="16" applyNumberFormat="1" applyFont="1" applyFill="1" applyBorder="1" applyAlignment="1" applyProtection="1">
      <alignment horizontal="left" vertical="center"/>
      <protection locked="0"/>
    </xf>
    <xf numFmtId="1" fontId="28" fillId="14" borderId="3" xfId="16" applyNumberFormat="1" applyFont="1" applyFill="1" applyBorder="1" applyAlignment="1" applyProtection="1">
      <alignment horizontal="left" vertical="center"/>
      <protection locked="0"/>
    </xf>
    <xf numFmtId="14" fontId="28" fillId="14" borderId="7" xfId="16" applyNumberFormat="1" applyFont="1" applyFill="1" applyBorder="1" applyAlignment="1" applyProtection="1">
      <alignment horizontal="left" vertical="center" wrapText="1"/>
      <protection locked="0"/>
    </xf>
    <xf numFmtId="0" fontId="57" fillId="0" borderId="61" xfId="16" applyFont="1" applyBorder="1" applyAlignment="1" applyProtection="1">
      <alignment horizontal="left" vertical="top" wrapText="1"/>
      <protection locked="0"/>
    </xf>
    <xf numFmtId="0" fontId="57" fillId="0" borderId="62" xfId="16" applyFont="1" applyBorder="1" applyAlignment="1" applyProtection="1">
      <alignment horizontal="left" vertical="top" wrapText="1"/>
      <protection locked="0"/>
    </xf>
    <xf numFmtId="0" fontId="57" fillId="0" borderId="63" xfId="16" applyFont="1" applyBorder="1" applyAlignment="1" applyProtection="1">
      <alignment horizontal="left" vertical="top" wrapText="1"/>
      <protection locked="0"/>
    </xf>
    <xf numFmtId="0" fontId="57" fillId="0" borderId="64" xfId="16" applyFont="1" applyBorder="1" applyAlignment="1" applyProtection="1">
      <alignment horizontal="left" vertical="top" wrapText="1"/>
      <protection locked="0"/>
    </xf>
    <xf numFmtId="0" fontId="57" fillId="0" borderId="0" xfId="16" applyFont="1" applyBorder="1" applyAlignment="1" applyProtection="1">
      <alignment horizontal="left" vertical="top" wrapText="1"/>
      <protection locked="0"/>
    </xf>
    <xf numFmtId="0" fontId="57" fillId="0" borderId="59" xfId="16" applyFont="1" applyBorder="1" applyAlignment="1" applyProtection="1">
      <alignment horizontal="left" vertical="top" wrapText="1"/>
      <protection locked="0"/>
    </xf>
    <xf numFmtId="0" fontId="57" fillId="0" borderId="60" xfId="16" applyFont="1" applyBorder="1" applyAlignment="1" applyProtection="1">
      <alignment horizontal="left" vertical="top" wrapText="1"/>
      <protection locked="0"/>
    </xf>
    <xf numFmtId="0" fontId="57" fillId="0" borderId="65" xfId="16" applyFont="1" applyBorder="1" applyAlignment="1" applyProtection="1">
      <alignment horizontal="left" vertical="top" wrapText="1"/>
      <protection locked="0"/>
    </xf>
    <xf numFmtId="0" fontId="57" fillId="0" borderId="66" xfId="16" applyFont="1" applyBorder="1" applyAlignment="1" applyProtection="1">
      <alignment horizontal="left" vertical="top" wrapText="1"/>
      <protection locked="0"/>
    </xf>
    <xf numFmtId="0" fontId="19" fillId="0" borderId="52" xfId="16" applyFont="1" applyBorder="1" applyAlignment="1" applyProtection="1">
      <alignment horizontal="left" wrapText="1"/>
      <protection locked="0"/>
    </xf>
    <xf numFmtId="0" fontId="19" fillId="0" borderId="54" xfId="16" applyFont="1" applyBorder="1" applyAlignment="1" applyProtection="1">
      <alignment horizontal="left"/>
      <protection locked="0"/>
    </xf>
    <xf numFmtId="0" fontId="19" fillId="0" borderId="52" xfId="16" applyFont="1" applyBorder="1" applyAlignment="1" applyProtection="1">
      <alignment horizontal="center"/>
      <protection locked="0"/>
    </xf>
    <xf numFmtId="0" fontId="19" fillId="0" borderId="54" xfId="16" applyFont="1" applyBorder="1" applyAlignment="1" applyProtection="1">
      <alignment horizontal="center"/>
      <protection locked="0"/>
    </xf>
    <xf numFmtId="0" fontId="53" fillId="0" borderId="52" xfId="16" applyFont="1" applyBorder="1" applyAlignment="1" applyProtection="1">
      <alignment horizontal="left"/>
      <protection locked="0"/>
    </xf>
    <xf numFmtId="0" fontId="53" fillId="0" borderId="54" xfId="16" applyFont="1" applyBorder="1" applyAlignment="1" applyProtection="1">
      <alignment horizontal="left"/>
      <protection locked="0"/>
    </xf>
    <xf numFmtId="0" fontId="26" fillId="27" borderId="67" xfId="16" applyFont="1" applyFill="1" applyBorder="1" applyAlignment="1" applyProtection="1">
      <alignment horizontal="center" vertical="center"/>
      <protection locked="0"/>
    </xf>
    <xf numFmtId="0" fontId="26" fillId="4" borderId="44" xfId="16" applyFont="1" applyFill="1" applyBorder="1" applyAlignment="1" applyProtection="1">
      <alignment horizontal="center" vertical="center" wrapText="1"/>
      <protection locked="0"/>
    </xf>
    <xf numFmtId="0" fontId="26" fillId="4" borderId="33" xfId="16" applyFont="1" applyFill="1" applyBorder="1" applyAlignment="1" applyProtection="1">
      <alignment horizontal="center" vertical="center" wrapText="1"/>
      <protection locked="0"/>
    </xf>
    <xf numFmtId="0" fontId="26" fillId="4" borderId="34" xfId="16" applyFont="1" applyFill="1" applyBorder="1" applyAlignment="1" applyProtection="1">
      <alignment horizontal="center" vertical="center" wrapText="1"/>
      <protection locked="0"/>
    </xf>
    <xf numFmtId="0" fontId="19" fillId="0" borderId="95" xfId="16" applyFont="1" applyBorder="1" applyAlignment="1" applyProtection="1">
      <alignment horizontal="center"/>
      <protection locked="0"/>
    </xf>
    <xf numFmtId="0" fontId="19" fillId="0" borderId="97" xfId="16" applyFont="1" applyBorder="1" applyAlignment="1" applyProtection="1">
      <alignment horizontal="center"/>
      <protection locked="0"/>
    </xf>
    <xf numFmtId="0" fontId="19" fillId="0" borderId="96" xfId="16" applyFont="1" applyBorder="1" applyAlignment="1" applyProtection="1">
      <alignment horizontal="center"/>
      <protection locked="0"/>
    </xf>
    <xf numFmtId="2" fontId="19" fillId="0" borderId="5" xfId="16" applyNumberFormat="1" applyFont="1" applyBorder="1" applyAlignment="1" applyProtection="1">
      <alignment horizontal="left" wrapText="1"/>
      <protection locked="0"/>
    </xf>
    <xf numFmtId="0" fontId="19" fillId="0" borderId="2" xfId="16" applyFont="1" applyBorder="1" applyAlignment="1" applyProtection="1">
      <alignment horizontal="center"/>
      <protection locked="0"/>
    </xf>
    <xf numFmtId="0" fontId="52" fillId="0" borderId="89" xfId="0" applyFont="1" applyBorder="1" applyAlignment="1" applyProtection="1">
      <alignment horizontal="left" vertical="center"/>
      <protection locked="0"/>
    </xf>
    <xf numFmtId="0" fontId="54" fillId="0" borderId="89" xfId="0" applyFont="1" applyBorder="1" applyAlignment="1" applyProtection="1">
      <alignment horizontal="justify" vertical="center"/>
      <protection locked="0"/>
    </xf>
    <xf numFmtId="0" fontId="52" fillId="0" borderId="89" xfId="0" applyFont="1" applyBorder="1" applyAlignment="1" applyProtection="1">
      <alignment horizontal="left" vertical="center" wrapText="1"/>
      <protection locked="0"/>
    </xf>
    <xf numFmtId="0" fontId="52" fillId="0" borderId="89" xfId="0" applyFont="1" applyBorder="1" applyAlignment="1" applyProtection="1">
      <alignment horizontal="left" vertical="top" wrapText="1"/>
      <protection locked="0"/>
    </xf>
    <xf numFmtId="0" fontId="47" fillId="0" borderId="89" xfId="0" applyFont="1" applyFill="1" applyBorder="1" applyAlignment="1" applyProtection="1">
      <alignment horizontal="center" vertical="center"/>
      <protection locked="0"/>
    </xf>
    <xf numFmtId="0" fontId="47" fillId="0" borderId="95" xfId="0" applyFont="1" applyFill="1" applyBorder="1" applyAlignment="1" applyProtection="1">
      <alignment horizontal="center" vertical="center"/>
      <protection locked="0"/>
    </xf>
    <xf numFmtId="0" fontId="47" fillId="0" borderId="97" xfId="0" applyFont="1" applyFill="1" applyBorder="1" applyAlignment="1" applyProtection="1">
      <alignment horizontal="center" vertical="center"/>
      <protection locked="0"/>
    </xf>
    <xf numFmtId="0" fontId="47" fillId="0" borderId="96" xfId="0" applyFont="1" applyFill="1" applyBorder="1" applyAlignment="1" applyProtection="1">
      <alignment horizontal="center" vertical="center"/>
      <protection locked="0"/>
    </xf>
    <xf numFmtId="10" fontId="47" fillId="31" borderId="37" xfId="4" applyNumberFormat="1" applyFont="1" applyFill="1" applyBorder="1" applyAlignment="1" applyProtection="1">
      <alignment horizontal="center" vertical="center"/>
    </xf>
    <xf numFmtId="10" fontId="47" fillId="31" borderId="31" xfId="4" applyNumberFormat="1" applyFont="1" applyFill="1" applyBorder="1" applyAlignment="1" applyProtection="1">
      <alignment horizontal="center" vertical="center"/>
    </xf>
    <xf numFmtId="10" fontId="47" fillId="31" borderId="40" xfId="4" applyNumberFormat="1" applyFont="1" applyFill="1" applyBorder="1" applyAlignment="1" applyProtection="1">
      <alignment horizontal="center" vertical="center"/>
    </xf>
    <xf numFmtId="0" fontId="48" fillId="0" borderId="2" xfId="16" applyFont="1" applyBorder="1" applyAlignment="1" applyProtection="1">
      <alignment horizontal="center"/>
      <protection locked="0"/>
    </xf>
    <xf numFmtId="0" fontId="47" fillId="0" borderId="47" xfId="0" applyFont="1" applyFill="1" applyBorder="1" applyAlignment="1" applyProtection="1">
      <alignment horizontal="center" vertical="center"/>
      <protection locked="0"/>
    </xf>
    <xf numFmtId="0" fontId="47" fillId="0" borderId="48" xfId="0" applyFont="1" applyFill="1" applyBorder="1" applyAlignment="1" applyProtection="1">
      <alignment horizontal="center" vertical="center"/>
      <protection locked="0"/>
    </xf>
    <xf numFmtId="0" fontId="47" fillId="0" borderId="49" xfId="0" applyFont="1" applyFill="1" applyBorder="1" applyAlignment="1" applyProtection="1">
      <alignment horizontal="center" vertical="center"/>
      <protection locked="0"/>
    </xf>
    <xf numFmtId="0" fontId="51" fillId="16" borderId="4" xfId="0" applyFont="1" applyFill="1" applyBorder="1" applyAlignment="1" applyProtection="1">
      <alignment horizontal="center"/>
      <protection locked="0"/>
    </xf>
    <xf numFmtId="0" fontId="51" fillId="16" borderId="3" xfId="0" applyFont="1" applyFill="1" applyBorder="1" applyAlignment="1" applyProtection="1">
      <alignment horizontal="center"/>
      <protection locked="0"/>
    </xf>
    <xf numFmtId="0" fontId="50" fillId="0" borderId="2" xfId="16" applyFont="1" applyBorder="1" applyAlignment="1" applyProtection="1">
      <alignment horizontal="left" vertical="center"/>
      <protection locked="0"/>
    </xf>
    <xf numFmtId="0" fontId="47" fillId="13" borderId="8" xfId="0" applyFont="1" applyFill="1" applyBorder="1" applyAlignment="1" applyProtection="1">
      <alignment horizontal="center" vertical="center"/>
      <protection locked="0"/>
    </xf>
    <xf numFmtId="0" fontId="47" fillId="13" borderId="9" xfId="0" applyFont="1" applyFill="1" applyBorder="1" applyAlignment="1" applyProtection="1">
      <alignment horizontal="center" vertical="center"/>
      <protection locked="0"/>
    </xf>
    <xf numFmtId="0" fontId="47" fillId="13" borderId="10" xfId="0" applyFont="1" applyFill="1" applyBorder="1" applyAlignment="1" applyProtection="1">
      <alignment horizontal="center" vertical="center"/>
      <protection locked="0"/>
    </xf>
    <xf numFmtId="9" fontId="49" fillId="2" borderId="2" xfId="4" applyFont="1" applyFill="1" applyBorder="1" applyAlignment="1" applyProtection="1">
      <alignment horizontal="center" vertical="center"/>
    </xf>
    <xf numFmtId="0" fontId="48" fillId="18" borderId="2" xfId="16" applyFont="1" applyFill="1" applyBorder="1" applyAlignment="1" applyProtection="1">
      <alignment horizontal="center"/>
      <protection locked="0"/>
    </xf>
    <xf numFmtId="1" fontId="47" fillId="0" borderId="32" xfId="0" applyNumberFormat="1" applyFont="1" applyFill="1" applyBorder="1" applyAlignment="1" applyProtection="1">
      <alignment horizontal="center" wrapText="1"/>
      <protection locked="0"/>
    </xf>
    <xf numFmtId="1" fontId="47" fillId="0" borderId="33" xfId="0" applyNumberFormat="1" applyFont="1" applyFill="1" applyBorder="1" applyAlignment="1" applyProtection="1">
      <alignment horizontal="center" wrapText="1"/>
      <protection locked="0"/>
    </xf>
    <xf numFmtId="1" fontId="47" fillId="0" borderId="34" xfId="0" applyNumberFormat="1" applyFont="1" applyFill="1" applyBorder="1" applyAlignment="1" applyProtection="1">
      <alignment horizontal="center" wrapText="1"/>
      <protection locked="0"/>
    </xf>
    <xf numFmtId="2" fontId="47" fillId="0" borderId="37" xfId="5" applyNumberFormat="1" applyFont="1" applyFill="1" applyBorder="1" applyAlignment="1" applyProtection="1">
      <alignment horizontal="center" vertical="center"/>
    </xf>
    <xf numFmtId="2" fontId="47" fillId="0" borderId="31" xfId="5" applyNumberFormat="1" applyFont="1" applyFill="1" applyBorder="1" applyAlignment="1" applyProtection="1">
      <alignment horizontal="center" vertical="center"/>
    </xf>
    <xf numFmtId="2" fontId="47" fillId="0" borderId="40" xfId="5" applyNumberFormat="1" applyFont="1" applyFill="1" applyBorder="1" applyAlignment="1" applyProtection="1">
      <alignment horizontal="center" vertical="center"/>
    </xf>
    <xf numFmtId="0" fontId="47" fillId="13" borderId="51" xfId="0" applyFont="1" applyFill="1" applyBorder="1" applyAlignment="1" applyProtection="1">
      <alignment horizontal="center" vertical="center"/>
      <protection locked="0"/>
    </xf>
    <xf numFmtId="0" fontId="47" fillId="13" borderId="4" xfId="0" applyFont="1" applyFill="1" applyBorder="1" applyAlignment="1" applyProtection="1">
      <alignment horizontal="center" vertical="center"/>
      <protection locked="0"/>
    </xf>
    <xf numFmtId="0" fontId="47" fillId="13" borderId="39" xfId="0" applyFont="1" applyFill="1" applyBorder="1" applyAlignment="1" applyProtection="1">
      <alignment horizontal="center" vertical="center"/>
      <protection locked="0"/>
    </xf>
    <xf numFmtId="0" fontId="47" fillId="0" borderId="47" xfId="0" applyFont="1" applyFill="1" applyBorder="1" applyAlignment="1" applyProtection="1">
      <alignment horizontal="center" vertical="center" wrapText="1"/>
      <protection locked="0"/>
    </xf>
    <xf numFmtId="0" fontId="47" fillId="0" borderId="48" xfId="0" applyFont="1" applyFill="1" applyBorder="1" applyAlignment="1" applyProtection="1">
      <alignment horizontal="center" vertical="center" wrapText="1"/>
      <protection locked="0"/>
    </xf>
    <xf numFmtId="0" fontId="47" fillId="0" borderId="49" xfId="0" applyFont="1" applyFill="1" applyBorder="1" applyAlignment="1" applyProtection="1">
      <alignment horizontal="center" vertical="center" wrapText="1"/>
      <protection locked="0"/>
    </xf>
    <xf numFmtId="0" fontId="47" fillId="0" borderId="58" xfId="0" applyFont="1" applyFill="1" applyBorder="1" applyAlignment="1" applyProtection="1">
      <alignment horizontal="center" vertical="center" wrapText="1"/>
      <protection locked="0"/>
    </xf>
    <xf numFmtId="0" fontId="51" fillId="16" borderId="57" xfId="0" applyFont="1" applyFill="1" applyBorder="1" applyAlignment="1" applyProtection="1">
      <alignment horizontal="center"/>
      <protection locked="0"/>
    </xf>
    <xf numFmtId="0" fontId="51" fillId="16" borderId="9" xfId="0" applyFont="1" applyFill="1" applyBorder="1" applyAlignment="1" applyProtection="1">
      <alignment horizontal="center"/>
      <protection locked="0"/>
    </xf>
    <xf numFmtId="0" fontId="51" fillId="15" borderId="5" xfId="0" applyFont="1" applyFill="1" applyBorder="1" applyAlignment="1" applyProtection="1">
      <alignment horizontal="center"/>
      <protection locked="0"/>
    </xf>
    <xf numFmtId="0" fontId="51" fillId="15" borderId="4" xfId="0" applyFont="1" applyFill="1" applyBorder="1" applyAlignment="1" applyProtection="1">
      <alignment horizontal="center"/>
      <protection locked="0"/>
    </xf>
    <xf numFmtId="0" fontId="51" fillId="15" borderId="39" xfId="0" applyFont="1" applyFill="1" applyBorder="1" applyAlignment="1" applyProtection="1">
      <alignment horizontal="center"/>
      <protection locked="0"/>
    </xf>
    <xf numFmtId="0" fontId="38" fillId="3" borderId="89" xfId="16" applyFont="1" applyFill="1" applyBorder="1" applyAlignment="1">
      <alignment horizontal="left"/>
    </xf>
    <xf numFmtId="0" fontId="65" fillId="0" borderId="62" xfId="0" applyFont="1" applyBorder="1" applyAlignment="1">
      <alignment horizontal="left"/>
    </xf>
    <xf numFmtId="0" fontId="65" fillId="0" borderId="63" xfId="0" applyFont="1" applyBorder="1" applyAlignment="1">
      <alignment horizontal="left"/>
    </xf>
    <xf numFmtId="0" fontId="38" fillId="3" borderId="89" xfId="16" applyFont="1" applyFill="1" applyBorder="1" applyAlignment="1" applyProtection="1">
      <alignment horizontal="left"/>
    </xf>
    <xf numFmtId="0" fontId="33" fillId="9" borderId="0" xfId="16" applyFont="1" applyFill="1" applyAlignment="1" applyProtection="1">
      <alignment horizontal="center" vertical="top" wrapText="1"/>
    </xf>
    <xf numFmtId="169" fontId="32" fillId="10" borderId="95" xfId="16" applyNumberFormat="1" applyFont="1" applyFill="1" applyBorder="1" applyAlignment="1" applyProtection="1">
      <alignment horizontal="center"/>
      <protection hidden="1"/>
    </xf>
    <xf numFmtId="169" fontId="32" fillId="10" borderId="96" xfId="16" applyNumberFormat="1" applyFont="1" applyFill="1" applyBorder="1" applyAlignment="1" applyProtection="1">
      <alignment horizontal="center"/>
      <protection hidden="1"/>
    </xf>
    <xf numFmtId="1" fontId="32" fillId="10" borderId="95" xfId="16" applyNumberFormat="1" applyFont="1" applyFill="1" applyBorder="1" applyAlignment="1" applyProtection="1">
      <alignment horizontal="center"/>
      <protection hidden="1"/>
    </xf>
    <xf numFmtId="1" fontId="32" fillId="10" borderId="96" xfId="16" applyNumberFormat="1" applyFont="1" applyFill="1" applyBorder="1" applyAlignment="1" applyProtection="1">
      <alignment horizontal="center"/>
      <protection hidden="1"/>
    </xf>
    <xf numFmtId="0" fontId="59" fillId="0" borderId="77" xfId="0" applyFont="1" applyBorder="1" applyAlignment="1" applyProtection="1">
      <alignment horizontal="center"/>
      <protection locked="0"/>
    </xf>
    <xf numFmtId="0" fontId="59" fillId="0" borderId="79" xfId="0" applyFont="1" applyBorder="1" applyAlignment="1" applyProtection="1">
      <alignment horizontal="center"/>
      <protection locked="0"/>
    </xf>
    <xf numFmtId="0" fontId="59" fillId="0" borderId="77" xfId="0" quotePrefix="1" applyFont="1" applyBorder="1" applyAlignment="1" applyProtection="1">
      <alignment horizontal="center"/>
      <protection locked="0"/>
    </xf>
    <xf numFmtId="0" fontId="33" fillId="0" borderId="33" xfId="16" applyFont="1" applyBorder="1" applyAlignment="1" applyProtection="1">
      <alignment horizontal="center"/>
    </xf>
    <xf numFmtId="0" fontId="32" fillId="12" borderId="77" xfId="16" applyFont="1" applyFill="1" applyBorder="1" applyAlignment="1" applyProtection="1">
      <alignment horizontal="center"/>
      <protection locked="0"/>
    </xf>
    <xf numFmtId="0" fontId="32" fillId="12" borderId="79" xfId="16" applyFont="1" applyFill="1" applyBorder="1" applyAlignment="1" applyProtection="1">
      <alignment horizontal="center"/>
      <protection locked="0"/>
    </xf>
    <xf numFmtId="0" fontId="33" fillId="0" borderId="31" xfId="16" applyFont="1" applyBorder="1" applyAlignment="1" applyProtection="1">
      <alignment horizontal="center"/>
    </xf>
    <xf numFmtId="0" fontId="32" fillId="12" borderId="78" xfId="16" applyFont="1" applyFill="1" applyBorder="1" applyAlignment="1" applyProtection="1">
      <alignment horizontal="center"/>
      <protection locked="0"/>
    </xf>
    <xf numFmtId="0" fontId="33" fillId="0" borderId="31" xfId="16" applyFont="1" applyFill="1" applyBorder="1" applyAlignment="1" applyProtection="1">
      <alignment horizontal="center"/>
    </xf>
    <xf numFmtId="2" fontId="32" fillId="10" borderId="93" xfId="16" applyNumberFormat="1" applyFont="1" applyFill="1" applyBorder="1" applyAlignment="1" applyProtection="1">
      <alignment horizontal="center"/>
      <protection hidden="1"/>
    </xf>
    <xf numFmtId="2" fontId="32" fillId="10" borderId="94" xfId="16" applyNumberFormat="1" applyFont="1" applyFill="1" applyBorder="1" applyAlignment="1" applyProtection="1">
      <alignment horizontal="center"/>
      <protection hidden="1"/>
    </xf>
    <xf numFmtId="0" fontId="32" fillId="10" borderId="93" xfId="16" applyFont="1" applyFill="1" applyBorder="1" applyAlignment="1" applyProtection="1">
      <alignment horizontal="center"/>
      <protection hidden="1"/>
    </xf>
    <xf numFmtId="0" fontId="32" fillId="10" borderId="94" xfId="16" applyFont="1" applyFill="1" applyBorder="1" applyAlignment="1" applyProtection="1">
      <alignment horizontal="center"/>
      <protection hidden="1"/>
    </xf>
    <xf numFmtId="0" fontId="59" fillId="0" borderId="33" xfId="0" applyFont="1" applyBorder="1" applyAlignment="1" applyProtection="1">
      <protection locked="0"/>
    </xf>
    <xf numFmtId="0" fontId="59" fillId="0" borderId="48" xfId="0" quotePrefix="1" applyFont="1" applyBorder="1" applyAlignment="1" applyProtection="1">
      <alignment horizontal="center"/>
      <protection locked="0"/>
    </xf>
    <xf numFmtId="0" fontId="59" fillId="0" borderId="48" xfId="0" applyFont="1" applyBorder="1" applyAlignment="1" applyProtection="1">
      <alignment horizontal="center"/>
      <protection locked="0"/>
    </xf>
    <xf numFmtId="0" fontId="32" fillId="12" borderId="31" xfId="16" applyFont="1" applyFill="1" applyBorder="1" applyAlignment="1" applyProtection="1">
      <alignment horizontal="center"/>
      <protection locked="0"/>
    </xf>
    <xf numFmtId="0" fontId="59" fillId="0" borderId="77" xfId="0" applyFont="1" applyBorder="1" applyAlignment="1" applyProtection="1">
      <protection locked="0"/>
    </xf>
    <xf numFmtId="0" fontId="59" fillId="0" borderId="79" xfId="0" applyFont="1" applyBorder="1" applyAlignment="1" applyProtection="1">
      <protection locked="0"/>
    </xf>
    <xf numFmtId="1" fontId="32" fillId="10" borderId="93" xfId="16" applyNumberFormat="1" applyFont="1" applyFill="1" applyBorder="1" applyAlignment="1" applyProtection="1">
      <alignment horizontal="center"/>
      <protection hidden="1"/>
    </xf>
    <xf numFmtId="1" fontId="32" fillId="10" borderId="94" xfId="16" applyNumberFormat="1" applyFont="1" applyFill="1" applyBorder="1" applyAlignment="1" applyProtection="1">
      <alignment horizontal="center"/>
      <protection hidden="1"/>
    </xf>
    <xf numFmtId="0" fontId="32" fillId="12" borderId="31" xfId="16" applyFont="1" applyFill="1" applyBorder="1" applyAlignment="1" applyProtection="1">
      <protection locked="0"/>
    </xf>
    <xf numFmtId="0" fontId="59" fillId="0" borderId="33" xfId="0" quotePrefix="1" applyFont="1" applyBorder="1" applyAlignment="1" applyProtection="1">
      <alignment horizontal="center"/>
      <protection locked="0"/>
    </xf>
    <xf numFmtId="0" fontId="59" fillId="0" borderId="33" xfId="0" applyFont="1" applyBorder="1" applyAlignment="1" applyProtection="1">
      <alignment horizontal="center"/>
      <protection locked="0"/>
    </xf>
    <xf numFmtId="0" fontId="32" fillId="12" borderId="33" xfId="16" applyFont="1" applyFill="1" applyBorder="1" applyAlignment="1" applyProtection="1">
      <alignment horizontal="center"/>
      <protection locked="0"/>
    </xf>
    <xf numFmtId="0" fontId="67" fillId="24" borderId="105" xfId="0" applyFont="1" applyFill="1" applyBorder="1" applyAlignment="1">
      <alignment horizontal="center" vertical="center" wrapText="1"/>
    </xf>
    <xf numFmtId="0" fontId="67" fillId="24" borderId="106" xfId="0" applyFont="1" applyFill="1" applyBorder="1" applyAlignment="1">
      <alignment horizontal="center" vertical="center" wrapText="1"/>
    </xf>
    <xf numFmtId="0" fontId="67" fillId="24" borderId="107" xfId="0" applyFont="1" applyFill="1" applyBorder="1" applyAlignment="1">
      <alignment horizontal="center" vertical="center" wrapText="1"/>
    </xf>
    <xf numFmtId="0" fontId="68" fillId="0" borderId="82" xfId="0" applyFont="1" applyBorder="1" applyAlignment="1">
      <alignment horizontal="center" vertical="center"/>
    </xf>
    <xf numFmtId="0" fontId="68" fillId="0" borderId="81" xfId="0" applyFont="1" applyBorder="1" applyAlignment="1">
      <alignment horizontal="center" vertical="center"/>
    </xf>
    <xf numFmtId="0" fontId="68" fillId="0" borderId="80" xfId="0" applyFont="1" applyBorder="1" applyAlignment="1">
      <alignment horizontal="center" vertical="center"/>
    </xf>
    <xf numFmtId="0" fontId="68" fillId="0" borderId="82" xfId="0" applyFont="1" applyBorder="1" applyAlignment="1">
      <alignment vertical="center"/>
    </xf>
    <xf numFmtId="0" fontId="68" fillId="0" borderId="81" xfId="0" applyFont="1" applyBorder="1" applyAlignment="1">
      <alignment vertical="center"/>
    </xf>
    <xf numFmtId="0" fontId="68" fillId="0" borderId="80" xfId="0" applyFont="1" applyBorder="1" applyAlignment="1">
      <alignment vertical="center"/>
    </xf>
    <xf numFmtId="0" fontId="67" fillId="0" borderId="77" xfId="0" applyFont="1" applyBorder="1" applyAlignment="1">
      <alignment horizontal="center" vertical="center"/>
    </xf>
    <xf numFmtId="0" fontId="67" fillId="0" borderId="78" xfId="0" applyFont="1" applyBorder="1" applyAlignment="1">
      <alignment horizontal="center" vertical="center"/>
    </xf>
    <xf numFmtId="0" fontId="67" fillId="0" borderId="79" xfId="0" applyFont="1" applyBorder="1" applyAlignment="1">
      <alignment horizontal="center" vertical="center"/>
    </xf>
    <xf numFmtId="0" fontId="68" fillId="23" borderId="82" xfId="0" applyFont="1" applyFill="1" applyBorder="1" applyAlignment="1">
      <alignment horizontal="center" vertical="center"/>
    </xf>
    <xf numFmtId="0" fontId="68" fillId="23" borderId="80" xfId="0" applyFont="1" applyFill="1" applyBorder="1" applyAlignment="1">
      <alignment horizontal="center" vertical="center"/>
    </xf>
    <xf numFmtId="1" fontId="5" fillId="0" borderId="2" xfId="0" applyNumberFormat="1" applyFont="1" applyBorder="1" applyAlignment="1">
      <alignment horizontal="center"/>
    </xf>
    <xf numFmtId="1" fontId="25" fillId="0" borderId="2" xfId="0" applyNumberFormat="1" applyFont="1" applyFill="1" applyBorder="1" applyAlignment="1">
      <alignment horizontal="center" vertical="top"/>
    </xf>
    <xf numFmtId="1" fontId="5" fillId="0" borderId="5" xfId="0" applyNumberFormat="1" applyFont="1" applyBorder="1" applyAlignment="1">
      <alignment horizontal="center"/>
    </xf>
    <xf numFmtId="1" fontId="5" fillId="0" borderId="4" xfId="0" applyNumberFormat="1" applyFont="1" applyBorder="1" applyAlignment="1">
      <alignment horizontal="center"/>
    </xf>
    <xf numFmtId="1" fontId="5" fillId="0" borderId="3" xfId="0" applyNumberFormat="1" applyFont="1" applyBorder="1" applyAlignment="1">
      <alignment horizontal="center"/>
    </xf>
    <xf numFmtId="0" fontId="10" fillId="0" borderId="2" xfId="6" applyFont="1" applyBorder="1" applyAlignment="1">
      <alignment horizontal="center"/>
    </xf>
    <xf numFmtId="168" fontId="5" fillId="0" borderId="5" xfId="5" applyNumberFormat="1" applyFont="1" applyBorder="1" applyAlignment="1">
      <alignment horizontal="center"/>
    </xf>
    <xf numFmtId="168" fontId="5" fillId="0" borderId="3" xfId="5" applyNumberFormat="1" applyFont="1" applyBorder="1" applyAlignment="1">
      <alignment horizontal="center"/>
    </xf>
    <xf numFmtId="168" fontId="5" fillId="0" borderId="2" xfId="5" applyNumberFormat="1" applyFont="1" applyBorder="1" applyAlignment="1">
      <alignment horizontal="center"/>
    </xf>
    <xf numFmtId="0" fontId="5" fillId="0" borderId="0" xfId="3" applyFont="1" applyAlignment="1">
      <alignment horizontal="center"/>
    </xf>
    <xf numFmtId="0" fontId="8" fillId="0" borderId="0" xfId="3" applyAlignment="1">
      <alignment horizontal="center"/>
    </xf>
    <xf numFmtId="0" fontId="11" fillId="0" borderId="2" xfId="0" applyFont="1" applyBorder="1" applyAlignment="1">
      <alignment horizontal="center"/>
    </xf>
    <xf numFmtId="0" fontId="11" fillId="0" borderId="2" xfId="0" applyFont="1" applyBorder="1" applyAlignment="1">
      <alignment horizontal="center" wrapText="1"/>
    </xf>
    <xf numFmtId="168" fontId="11" fillId="0" borderId="2" xfId="5" applyNumberFormat="1" applyFont="1" applyBorder="1" applyAlignment="1">
      <alignment horizontal="center"/>
    </xf>
    <xf numFmtId="168" fontId="11" fillId="0" borderId="5" xfId="5" applyNumberFormat="1" applyFont="1" applyBorder="1" applyAlignment="1">
      <alignment horizontal="center"/>
    </xf>
    <xf numFmtId="168" fontId="11" fillId="0" borderId="4" xfId="5" applyNumberFormat="1" applyFont="1" applyBorder="1" applyAlignment="1">
      <alignment horizontal="center"/>
    </xf>
    <xf numFmtId="168" fontId="11" fillId="0" borderId="3" xfId="5" applyNumberFormat="1" applyFont="1" applyBorder="1" applyAlignment="1">
      <alignment horizontal="center"/>
    </xf>
    <xf numFmtId="0" fontId="5" fillId="0" borderId="2" xfId="0" applyFont="1" applyBorder="1" applyAlignment="1">
      <alignment horizontal="center"/>
    </xf>
    <xf numFmtId="0" fontId="0" fillId="0" borderId="0" xfId="0" applyAlignment="1">
      <alignment horizontal="center"/>
    </xf>
  </cellXfs>
  <cellStyles count="29">
    <cellStyle name="Comma" xfId="5" builtinId="3"/>
    <cellStyle name="Comma 2" xfId="10" xr:uid="{00000000-0005-0000-0000-000001000000}"/>
    <cellStyle name="Comma 2 2" xfId="11" xr:uid="{00000000-0005-0000-0000-000002000000}"/>
    <cellStyle name="Comma 2 2 2" xfId="12" xr:uid="{00000000-0005-0000-0000-000003000000}"/>
    <cellStyle name="Comma 2 3" xfId="13" xr:uid="{00000000-0005-0000-0000-000004000000}"/>
    <cellStyle name="Comma 2 4" xfId="14" xr:uid="{00000000-0005-0000-0000-000005000000}"/>
    <cellStyle name="Comma 3" xfId="20" xr:uid="{00000000-0005-0000-0000-000006000000}"/>
    <cellStyle name="Comma 4" xfId="15" xr:uid="{00000000-0005-0000-0000-000007000000}"/>
    <cellStyle name="Comma 4 2" xfId="22" xr:uid="{00000000-0005-0000-0000-000008000000}"/>
    <cellStyle name="Comma 5" xfId="27" xr:uid="{00000000-0005-0000-0000-000009000000}"/>
    <cellStyle name="Hyperlink" xfId="28" builtinId="8"/>
    <cellStyle name="Normal" xfId="0" builtinId="0"/>
    <cellStyle name="Normal 2" xfId="1" xr:uid="{00000000-0005-0000-0000-00000C000000}"/>
    <cellStyle name="Normal 2 2" xfId="6" xr:uid="{00000000-0005-0000-0000-00000D000000}"/>
    <cellStyle name="Normal 2_ATBL WC RENEWAL 12-13" xfId="16" xr:uid="{00000000-0005-0000-0000-00000E000000}"/>
    <cellStyle name="Normal 3" xfId="2" xr:uid="{00000000-0005-0000-0000-00000F000000}"/>
    <cellStyle name="Normal 3 2" xfId="17" xr:uid="{00000000-0005-0000-0000-000010000000}"/>
    <cellStyle name="Normal 3 2 2" xfId="23" xr:uid="{00000000-0005-0000-0000-000011000000}"/>
    <cellStyle name="Normal 4" xfId="3" xr:uid="{00000000-0005-0000-0000-000012000000}"/>
    <cellStyle name="Normal 5" xfId="8" xr:uid="{00000000-0005-0000-0000-000013000000}"/>
    <cellStyle name="Normal 6" xfId="24" xr:uid="{00000000-0005-0000-0000-000014000000}"/>
    <cellStyle name="Normal 7" xfId="26" xr:uid="{00000000-0005-0000-0000-000015000000}"/>
    <cellStyle name="Percent" xfId="4" builtinId="5"/>
    <cellStyle name="Percent 2" xfId="7" xr:uid="{00000000-0005-0000-0000-000017000000}"/>
    <cellStyle name="Percent 3" xfId="9" xr:uid="{00000000-0005-0000-0000-000018000000}"/>
    <cellStyle name="Percent 4" xfId="21" xr:uid="{00000000-0005-0000-0000-000019000000}"/>
    <cellStyle name="Percent 5" xfId="25" xr:uid="{00000000-0005-0000-0000-00001A000000}"/>
    <cellStyle name="Style 1" xfId="18" xr:uid="{00000000-0005-0000-0000-00001B000000}"/>
    <cellStyle name="Style 2" xfId="19" xr:uid="{00000000-0005-0000-0000-00001C000000}"/>
  </cellStyles>
  <dxfs count="20">
    <dxf>
      <fill>
        <patternFill>
          <bgColor rgb="FF92D05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03027891/Downloads/LAP_CET_UMA%20CHARITABLE%20SOCIETY_13.11.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ikram%20Rathi%20Data%20Backup/BIL/Final%20Copy%20of%20CET%20Version%20May_1%20B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shwini_212606068/Documents/Data%20To%20Be%20transferred/Chandigarh/EDI/GURU%20TEG%20BAHADUR/Guru%20Teg%20Bahadur%20Social%20Educational%20And%20Welfaer%20Society%20%20%20%20CA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302005851/Downloads/Policy%20and%20Other%20Docs/Policy/by%20Kaushik/Retail%20Approval%20Mem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212606067/AppData/Local/Microsoft/Windows/Temporary%20Internet%20Files/Content.IE5/GFFWX2WS/ffinal%20Copy%20of%20CET%20Version%20May_1%20B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er's International"/>
      <sheetName val="Klarke Facility Management"/>
      <sheetName val="Pharmer"/>
      <sheetName val="FNS International"/>
      <sheetName val="Alaric Score"/>
      <sheetName val="Customer Details"/>
      <sheetName val="CAM"/>
      <sheetName val="Fin-1"/>
      <sheetName val="Fin-2"/>
      <sheetName val="Fin-3"/>
      <sheetName val="DSCR"/>
      <sheetName val="Banking"/>
      <sheetName val="Existing Loans"/>
      <sheetName val="Industry Margin"/>
      <sheetName val="VAT"/>
      <sheetName val="Deviation Sheet"/>
      <sheetName val="Sheet1"/>
      <sheetName val="Sheet3"/>
      <sheetName val="Sheet2"/>
      <sheetName val="Sheet4"/>
      <sheetName val="Sheet5"/>
      <sheetName val="Scorecard"/>
      <sheetName val="Sheet8"/>
      <sheetName val="Sheet6"/>
      <sheetName val="Sheet7"/>
      <sheetName val="Sheet9"/>
    </sheetNames>
    <sheetDataSet>
      <sheetData sheetId="0"/>
      <sheetData sheetId="1"/>
      <sheetData sheetId="2"/>
      <sheetData sheetId="3"/>
      <sheetData sheetId="4"/>
      <sheetData sheetId="5">
        <row r="8">
          <cell r="B8" t="str">
            <v>UMA CHARITABLE SOCIETY</v>
          </cell>
          <cell r="U8" t="str">
            <v>Chandigarh</v>
          </cell>
          <cell r="V8" t="str">
            <v>Normal Income Programme</v>
          </cell>
          <cell r="W8" t="str">
            <v>Home Equity</v>
          </cell>
        </row>
        <row r="9">
          <cell r="B9" t="str">
            <v>BRAHAM SINGH BHATTI</v>
          </cell>
          <cell r="U9" t="str">
            <v>Delhi</v>
          </cell>
          <cell r="V9" t="str">
            <v>Banking Programme</v>
          </cell>
          <cell r="W9" t="str">
            <v>Trade Finance</v>
          </cell>
        </row>
        <row r="10">
          <cell r="B10" t="str">
            <v>SANTRA DEVI</v>
          </cell>
          <cell r="U10" t="str">
            <v>Mumbai</v>
          </cell>
          <cell r="V10" t="str">
            <v>LIP Programme</v>
          </cell>
          <cell r="W10" t="str">
            <v>Business Loan</v>
          </cell>
        </row>
        <row r="11">
          <cell r="B11">
            <v>0</v>
          </cell>
          <cell r="U11" t="str">
            <v>Banglore</v>
          </cell>
          <cell r="V11" t="str">
            <v>Industry Margin Programme</v>
          </cell>
        </row>
        <row r="12">
          <cell r="B12">
            <v>0</v>
          </cell>
        </row>
        <row r="13">
          <cell r="B13">
            <v>0</v>
          </cell>
        </row>
        <row r="14">
          <cell r="U14" t="str">
            <v>Chennai</v>
          </cell>
        </row>
        <row r="15">
          <cell r="U15" t="str">
            <v>Hyderabad</v>
          </cell>
        </row>
        <row r="16">
          <cell r="U16" t="str">
            <v>Any Other</v>
          </cell>
        </row>
      </sheetData>
      <sheetData sheetId="6"/>
      <sheetData sheetId="7"/>
      <sheetData sheetId="8"/>
      <sheetData sheetId="9"/>
      <sheetData sheetId="10"/>
      <sheetData sheetId="11">
        <row r="16">
          <cell r="Z16" t="str">
            <v xml:space="preserve">Current Account </v>
          </cell>
        </row>
        <row r="17">
          <cell r="Z17" t="str">
            <v>CC/OD Account</v>
          </cell>
          <cell r="AB17" t="str">
            <v>Y</v>
          </cell>
        </row>
        <row r="18">
          <cell r="Z18" t="str">
            <v>Saving Account</v>
          </cell>
          <cell r="AB18" t="str">
            <v>N</v>
          </cell>
        </row>
      </sheetData>
      <sheetData sheetId="12">
        <row r="9">
          <cell r="AE9" t="str">
            <v>Auto Loan (Non Commercial)</v>
          </cell>
          <cell r="AF9" t="str">
            <v>Secured</v>
          </cell>
        </row>
        <row r="10">
          <cell r="AE10" t="str">
            <v>Auto Loan (Commercial)</v>
          </cell>
          <cell r="AF10" t="str">
            <v>Unsecured</v>
          </cell>
        </row>
        <row r="11">
          <cell r="AE11" t="str">
            <v>Business Loan</v>
          </cell>
        </row>
        <row r="12">
          <cell r="AE12" t="str">
            <v>Commercial Vehicle</v>
          </cell>
        </row>
        <row r="13">
          <cell r="AE13" t="str">
            <v>Currency Loan</v>
          </cell>
        </row>
        <row r="14">
          <cell r="AE14" t="str">
            <v>Equipment Loan</v>
          </cell>
          <cell r="AF14" t="str">
            <v>Live</v>
          </cell>
        </row>
        <row r="15">
          <cell r="AE15" t="str">
            <v>Home Loan</v>
          </cell>
          <cell r="AF15" t="str">
            <v>BT - Takeover</v>
          </cell>
        </row>
        <row r="16">
          <cell r="AE16" t="str">
            <v>Letter of Credit</v>
          </cell>
          <cell r="AF16" t="str">
            <v>Closed</v>
          </cell>
        </row>
        <row r="17">
          <cell r="AE17" t="str">
            <v>Loan Against Receivables</v>
          </cell>
          <cell r="AF17" t="str">
            <v>Will be closed</v>
          </cell>
        </row>
        <row r="18">
          <cell r="AE18" t="str">
            <v>Mortgage Loan (LAP)</v>
          </cell>
          <cell r="AF18" t="str">
            <v>Not to be obligated</v>
          </cell>
        </row>
        <row r="19">
          <cell r="AE19" t="str">
            <v>CC/OD Limit</v>
          </cell>
        </row>
        <row r="20">
          <cell r="AE20" t="str">
            <v>Personal Loan</v>
          </cell>
        </row>
        <row r="21">
          <cell r="AE21" t="str">
            <v>Term Loan (Prin + Int)</v>
          </cell>
        </row>
        <row r="22">
          <cell r="AE22" t="str">
            <v>Education Loan</v>
          </cell>
        </row>
        <row r="23">
          <cell r="AE23" t="str">
            <v>Moratorium Loan</v>
          </cell>
        </row>
        <row r="24">
          <cell r="AE24" t="str">
            <v>Structured Loan/Graded EMI</v>
          </cell>
        </row>
        <row r="25">
          <cell r="AE25" t="str">
            <v>Others</v>
          </cell>
        </row>
      </sheetData>
      <sheetData sheetId="13">
        <row r="1">
          <cell r="C1" t="str">
            <v>Manufacturer</v>
          </cell>
          <cell r="D1" t="str">
            <v>Wholesaler</v>
          </cell>
          <cell r="E1" t="str">
            <v>Retailer</v>
          </cell>
          <cell r="F1" t="str">
            <v>Services</v>
          </cell>
        </row>
        <row r="2">
          <cell r="B2" t="str">
            <v>Milling Product</v>
          </cell>
        </row>
        <row r="3">
          <cell r="A3" t="str">
            <v>Agriculture</v>
          </cell>
          <cell r="B3" t="str">
            <v>Spices and Grams</v>
          </cell>
        </row>
        <row r="4">
          <cell r="A4" t="str">
            <v>Agriculture</v>
          </cell>
          <cell r="B4" t="str">
            <v>Dry Fruits</v>
          </cell>
        </row>
        <row r="5">
          <cell r="A5" t="str">
            <v>Agriculture</v>
          </cell>
          <cell r="B5" t="str">
            <v>Fruits and Nurts and Vegatables</v>
          </cell>
        </row>
        <row r="6">
          <cell r="A6" t="str">
            <v>Agriculture</v>
          </cell>
          <cell r="B6" t="str">
            <v>Floriculture</v>
          </cell>
        </row>
        <row r="7">
          <cell r="A7" t="str">
            <v>Agriculture</v>
          </cell>
          <cell r="B7" t="str">
            <v>Spices and Grams</v>
          </cell>
        </row>
        <row r="8">
          <cell r="A8" t="str">
            <v>Agriculture</v>
          </cell>
          <cell r="B8" t="str">
            <v>Seed Related</v>
          </cell>
        </row>
        <row r="9">
          <cell r="A9" t="str">
            <v>Auto_Ancilliaries</v>
          </cell>
          <cell r="B9" t="str">
            <v>Auto Ancilliaries</v>
          </cell>
        </row>
        <row r="10">
          <cell r="A10" t="str">
            <v>Auto_Ancilliaries</v>
          </cell>
          <cell r="B10" t="str">
            <v>Bearings</v>
          </cell>
        </row>
        <row r="11">
          <cell r="A11" t="str">
            <v>Auto_Ancilliaries</v>
          </cell>
          <cell r="B11" t="str">
            <v>Storage Batteries</v>
          </cell>
        </row>
        <row r="12">
          <cell r="A12" t="str">
            <v>Auto_Ancilliaries</v>
          </cell>
          <cell r="B12" t="str">
            <v>Valves</v>
          </cell>
        </row>
        <row r="13">
          <cell r="A13" t="str">
            <v>Automobile_2W</v>
          </cell>
          <cell r="B13" t="str">
            <v>2 wheeler dealers and manufacturers including scooters, bikes etc</v>
          </cell>
        </row>
        <row r="14">
          <cell r="A14" t="str">
            <v>Automobile_4W</v>
          </cell>
          <cell r="B14" t="str">
            <v>Authorised car dealers, servicing, manufacturers</v>
          </cell>
        </row>
        <row r="15">
          <cell r="A15" t="str">
            <v>Aviation</v>
          </cell>
          <cell r="B15" t="str">
            <v>Maintenance and overhauling servicesl ground handling</v>
          </cell>
        </row>
        <row r="16">
          <cell r="A16" t="str">
            <v>Aviation</v>
          </cell>
          <cell r="B16" t="str">
            <v>Flight operator</v>
          </cell>
        </row>
        <row r="17">
          <cell r="A17" t="str">
            <v>Bicycle</v>
          </cell>
          <cell r="B17" t="str">
            <v>Cycle and Accessories</v>
          </cell>
        </row>
        <row r="18">
          <cell r="A18" t="str">
            <v>Cable_TV</v>
          </cell>
          <cell r="B18" t="str">
            <v>Cable and other pay TV services</v>
          </cell>
        </row>
        <row r="19">
          <cell r="A19" t="str">
            <v>Casting_and_Forgings</v>
          </cell>
          <cell r="B19" t="str">
            <v>Castings and Forgings</v>
          </cell>
        </row>
        <row r="20">
          <cell r="A20" t="str">
            <v>Cement</v>
          </cell>
          <cell r="B20" t="str">
            <v>Cement and Asbestos Products</v>
          </cell>
        </row>
        <row r="21">
          <cell r="A21" t="str">
            <v>Chemical_Machinery</v>
          </cell>
          <cell r="B21" t="str">
            <v>Industrial Machincery - Chemicals</v>
          </cell>
        </row>
        <row r="22">
          <cell r="A22" t="str">
            <v>Chemicals</v>
          </cell>
          <cell r="B22" t="str">
            <v>Chemicals, petrochemicals, specility chemicals</v>
          </cell>
        </row>
        <row r="23">
          <cell r="A23" t="str">
            <v>Chemicals</v>
          </cell>
          <cell r="B23" t="str">
            <v>Carbon black</v>
          </cell>
        </row>
        <row r="24">
          <cell r="A24" t="str">
            <v>Chemicals</v>
          </cell>
          <cell r="B24" t="str">
            <v>Caustic Soda</v>
          </cell>
        </row>
        <row r="25">
          <cell r="A25" t="str">
            <v>Chemicals</v>
          </cell>
          <cell r="B25" t="str">
            <v>Inorganic and Organic Chemicals</v>
          </cell>
        </row>
        <row r="26">
          <cell r="A26" t="str">
            <v>Coal</v>
          </cell>
          <cell r="B26" t="str">
            <v>Coal and Lignite, Minerals</v>
          </cell>
        </row>
        <row r="27">
          <cell r="A27" t="str">
            <v>Coffee</v>
          </cell>
          <cell r="B27" t="str">
            <v>Coffee Producers and coffee chains</v>
          </cell>
        </row>
        <row r="28">
          <cell r="A28" t="str">
            <v>Cold_Storage</v>
          </cell>
          <cell r="B28" t="str">
            <v>Cold storage chains</v>
          </cell>
        </row>
        <row r="29">
          <cell r="A29" t="str">
            <v>Commercial_Vehicle</v>
          </cell>
          <cell r="B29" t="str">
            <v>LCV, HCV, Commercial Vehicles</v>
          </cell>
        </row>
        <row r="30">
          <cell r="A30" t="str">
            <v>Computer_and_Peripherals</v>
          </cell>
          <cell r="B30" t="str">
            <v>Computers - Hardware Sales and service, networking and peripheral sales like UPS monitor etc</v>
          </cell>
        </row>
        <row r="31">
          <cell r="A31" t="str">
            <v>Computer_and_Peripherals</v>
          </cell>
          <cell r="B31" t="str">
            <v>Office Equipment, Networking</v>
          </cell>
        </row>
        <row r="32">
          <cell r="A32" t="str">
            <v>Construction</v>
          </cell>
          <cell r="B32" t="str">
            <v>Contractor</v>
          </cell>
        </row>
        <row r="33">
          <cell r="A33" t="str">
            <v>Construction</v>
          </cell>
          <cell r="B33" t="str">
            <v>Structurals</v>
          </cell>
        </row>
        <row r="34">
          <cell r="A34" t="str">
            <v>Construction</v>
          </cell>
          <cell r="B34" t="str">
            <v>Turnkey Services</v>
          </cell>
        </row>
        <row r="35">
          <cell r="A35" t="str">
            <v>Construction_Equipment</v>
          </cell>
          <cell r="B35" t="str">
            <v>Construction Equipment</v>
          </cell>
        </row>
        <row r="36">
          <cell r="A36" t="str">
            <v>Construction_Equipment</v>
          </cell>
          <cell r="B36" t="str">
            <v>Prime Movers</v>
          </cell>
        </row>
        <row r="37">
          <cell r="A37" t="str">
            <v>Consumer_Durables</v>
          </cell>
          <cell r="B37" t="str">
            <v>Electronic Equipment</v>
          </cell>
        </row>
        <row r="38">
          <cell r="A38" t="str">
            <v>Consumer_Durables</v>
          </cell>
          <cell r="B38" t="str">
            <v>Consumer Electronic Spares / Components</v>
          </cell>
        </row>
        <row r="39">
          <cell r="A39" t="str">
            <v>Cosmetics_and_Toiletries</v>
          </cell>
          <cell r="B39" t="str">
            <v>Perfumes, cosmetics, toiletries, hair oil, cream</v>
          </cell>
        </row>
        <row r="40">
          <cell r="A40" t="str">
            <v>Drug_Stores</v>
          </cell>
          <cell r="B40" t="str">
            <v>Drugs and pharmaceuticals, drug proprietaries and druggists sundries</v>
          </cell>
        </row>
        <row r="41">
          <cell r="A41" t="str">
            <v>Dyes_and_Pigments</v>
          </cell>
          <cell r="B41" t="str">
            <v>Dyes and Pigments</v>
          </cell>
        </row>
        <row r="42">
          <cell r="A42" t="str">
            <v>Edible_Oils</v>
          </cell>
          <cell r="B42" t="str">
            <v>Edible Oils</v>
          </cell>
        </row>
        <row r="43">
          <cell r="A43" t="str">
            <v>Education</v>
          </cell>
          <cell r="B43" t="str">
            <v>Education</v>
          </cell>
        </row>
        <row r="44">
          <cell r="A44" t="str">
            <v>Education</v>
          </cell>
          <cell r="B44" t="str">
            <v>Coaching Classes</v>
          </cell>
        </row>
        <row r="45">
          <cell r="A45" t="str">
            <v>Education</v>
          </cell>
          <cell r="B45" t="str">
            <v>Education Consulting</v>
          </cell>
        </row>
        <row r="46">
          <cell r="A46" t="str">
            <v>Electricals</v>
          </cell>
          <cell r="B46" t="str">
            <v>Electrical good and equipments</v>
          </cell>
        </row>
        <row r="47">
          <cell r="A47" t="str">
            <v>Electricals</v>
          </cell>
          <cell r="B47" t="str">
            <v>Electrical equipments</v>
          </cell>
        </row>
        <row r="48">
          <cell r="A48" t="str">
            <v>Engineering</v>
          </cell>
          <cell r="B48" t="str">
            <v>Engineering</v>
          </cell>
        </row>
        <row r="49">
          <cell r="A49" t="str">
            <v>Engineering</v>
          </cell>
          <cell r="B49" t="str">
            <v>Precision Dyes and Parts, Fasteners</v>
          </cell>
        </row>
        <row r="50">
          <cell r="A50" t="str">
            <v>Engineering</v>
          </cell>
          <cell r="B50" t="str">
            <v>Safety Prodycts</v>
          </cell>
        </row>
        <row r="51">
          <cell r="A51" t="str">
            <v>Entertainment_and_Leisure</v>
          </cell>
          <cell r="B51" t="str">
            <v>Recreation and Amusement parks, event management; gyms</v>
          </cell>
        </row>
        <row r="52">
          <cell r="A52" t="str">
            <v>Fertiliser</v>
          </cell>
          <cell r="B52" t="str">
            <v>Fertilisers</v>
          </cell>
        </row>
        <row r="53">
          <cell r="A53" t="str">
            <v>Film_Industry</v>
          </cell>
          <cell r="B53" t="str">
            <v>Entertainment and Medic content provider, motion picture production, distribution, exhibition</v>
          </cell>
        </row>
        <row r="54">
          <cell r="A54" t="str">
            <v>Financial_Services</v>
          </cell>
          <cell r="B54" t="str">
            <v>Finance relared companies and consultancies; advisory firms</v>
          </cell>
        </row>
        <row r="55">
          <cell r="A55" t="str">
            <v>FMCG</v>
          </cell>
          <cell r="B55" t="str">
            <v>Wholesales of food products</v>
          </cell>
        </row>
        <row r="56">
          <cell r="A56" t="str">
            <v>FMCG</v>
          </cell>
          <cell r="B56" t="str">
            <v>Disributor/Dealers</v>
          </cell>
        </row>
        <row r="57">
          <cell r="A57" t="str">
            <v>Food_Processing</v>
          </cell>
          <cell r="B57" t="str">
            <v>Grocery and starch related products</v>
          </cell>
        </row>
        <row r="58">
          <cell r="A58" t="str">
            <v>Food_Processing</v>
          </cell>
          <cell r="B58" t="str">
            <v>Soft drinks, bottled water, Non-alcoholic beverages</v>
          </cell>
        </row>
        <row r="59">
          <cell r="A59" t="str">
            <v>Food_Processing</v>
          </cell>
          <cell r="B59" t="str">
            <v>Food processing</v>
          </cell>
        </row>
        <row r="60">
          <cell r="A60" t="str">
            <v>Food_Processing</v>
          </cell>
          <cell r="B60" t="str">
            <v>Cocoa, Confectionary, Dairy packaged food, bakery</v>
          </cell>
        </row>
        <row r="61">
          <cell r="A61" t="str">
            <v>Food_Processing</v>
          </cell>
          <cell r="B61" t="str">
            <v>Food other than poultary and meat</v>
          </cell>
        </row>
        <row r="62">
          <cell r="A62" t="str">
            <v>Food_Processing</v>
          </cell>
          <cell r="B62" t="str">
            <v>Marine Foods, Soya bean products</v>
          </cell>
        </row>
        <row r="63">
          <cell r="A63" t="str">
            <v>Future_Rentals</v>
          </cell>
          <cell r="B63" t="str">
            <v>LRD, lease rentals, rental income</v>
          </cell>
        </row>
        <row r="64">
          <cell r="A64" t="str">
            <v>Gems_and_Jewellery</v>
          </cell>
          <cell r="B64" t="str">
            <v>Gems and jewellery</v>
          </cell>
        </row>
        <row r="65">
          <cell r="A65" t="str">
            <v>Glass</v>
          </cell>
          <cell r="B65" t="str">
            <v>Glass and Glass Products</v>
          </cell>
        </row>
        <row r="66">
          <cell r="A66" t="str">
            <v>Glass</v>
          </cell>
          <cell r="B66" t="str">
            <v>Glass and Glass Products - Labware</v>
          </cell>
        </row>
        <row r="67">
          <cell r="A67" t="str">
            <v>Handicrafts</v>
          </cell>
          <cell r="B67" t="str">
            <v>Manufacturing of handicrafts and selling of same; art work</v>
          </cell>
        </row>
        <row r="68">
          <cell r="A68" t="str">
            <v>Hospitals_and_Clinics</v>
          </cell>
          <cell r="B68" t="str">
            <v>Diagnostic Centre, Hospitals / Gyms / health Centre</v>
          </cell>
        </row>
        <row r="69">
          <cell r="A69" t="str">
            <v>Hotel_and_Restaurants</v>
          </cell>
          <cell r="B69" t="str">
            <v>Hotels and Restaurants</v>
          </cell>
        </row>
        <row r="70">
          <cell r="A70" t="str">
            <v>Industrial_Equipment_or_Machinery</v>
          </cell>
          <cell r="B70" t="str">
            <v>Refactory and Intermediates</v>
          </cell>
        </row>
        <row r="71">
          <cell r="A71" t="str">
            <v>Industrial_Equipment_or_Machinery</v>
          </cell>
          <cell r="B71" t="str">
            <v>Compressors</v>
          </cell>
        </row>
        <row r="72">
          <cell r="A72" t="str">
            <v>Industrial_Equipment_or_Machinery</v>
          </cell>
          <cell r="B72" t="str">
            <v>Industrial Machinery</v>
          </cell>
        </row>
        <row r="73">
          <cell r="A73" t="str">
            <v>Industrial_Equipment_or_Machinery</v>
          </cell>
          <cell r="B73" t="str">
            <v>Machine Tools</v>
          </cell>
        </row>
        <row r="74">
          <cell r="A74" t="str">
            <v>Industrial_Equipment_or_Machinery</v>
          </cell>
          <cell r="B74" t="str">
            <v>Pharma Machinery</v>
          </cell>
        </row>
        <row r="75">
          <cell r="A75" t="str">
            <v>Industrial_Equipment_or_Machinery</v>
          </cell>
          <cell r="B75" t="str">
            <v>Abrasives and Grinding</v>
          </cell>
        </row>
        <row r="76">
          <cell r="A76" t="str">
            <v>Industrial_Equipment_or_Machinery</v>
          </cell>
          <cell r="B76" t="str">
            <v>Engines</v>
          </cell>
        </row>
        <row r="77">
          <cell r="A77" t="str">
            <v>Industrial_Equipment_or_Machinery</v>
          </cell>
          <cell r="B77" t="str">
            <v>Industrial Furnaces</v>
          </cell>
        </row>
        <row r="78">
          <cell r="A78" t="str">
            <v>Industrial_Equipment_or_Machinery</v>
          </cell>
          <cell r="B78" t="str">
            <v>Material Handling Equipment</v>
          </cell>
        </row>
        <row r="79">
          <cell r="A79" t="str">
            <v>Industrial_Equipment_or_Machinery</v>
          </cell>
          <cell r="B79" t="str">
            <v>Switching Appratus</v>
          </cell>
        </row>
        <row r="80">
          <cell r="A80" t="str">
            <v>Industrial_Equipment_or_Machinery</v>
          </cell>
          <cell r="B80" t="str">
            <v>Pumps</v>
          </cell>
        </row>
        <row r="81">
          <cell r="A81" t="str">
            <v>Industrial_Equipment_or_Machinery</v>
          </cell>
          <cell r="B81" t="str">
            <v>Welding Machinery</v>
          </cell>
        </row>
        <row r="82">
          <cell r="A82" t="str">
            <v>Industrial_Equipment_or_Machinery</v>
          </cell>
          <cell r="B82" t="str">
            <v>Electrodes and Graphite</v>
          </cell>
        </row>
        <row r="83">
          <cell r="A83" t="str">
            <v>Industrial_Equipment_or_Machinery</v>
          </cell>
          <cell r="B83" t="str">
            <v>General Purpose Machinery</v>
          </cell>
        </row>
        <row r="84">
          <cell r="A84" t="str">
            <v>Internet_or_Broadband_Services</v>
          </cell>
          <cell r="B84" t="str">
            <v>Internet Services, Others</v>
          </cell>
        </row>
        <row r="85">
          <cell r="A85" t="str">
            <v>IT_or_Software_or_ITES_or_BPO_or_KPO</v>
          </cell>
          <cell r="B85" t="str">
            <v>Computer Software and Education and post production animation</v>
          </cell>
        </row>
        <row r="86">
          <cell r="A86" t="str">
            <v>IT_or_Software_or_ITES_or_BPO_or_KPO</v>
          </cell>
          <cell r="B86" t="str">
            <v>ITES / Call Centres</v>
          </cell>
        </row>
        <row r="87">
          <cell r="A87" t="str">
            <v>IT_or_Software_or_ITES_or_BPO_or_KPO</v>
          </cell>
          <cell r="B87" t="str">
            <v>ERP / any type of protecting systems / anti virus</v>
          </cell>
        </row>
        <row r="88">
          <cell r="A88" t="str">
            <v>Jute</v>
          </cell>
          <cell r="B88" t="str">
            <v>Jute</v>
          </cell>
        </row>
        <row r="89">
          <cell r="A89" t="str">
            <v>Laundary_and_Surface_Care</v>
          </cell>
          <cell r="B89" t="str">
            <v>Laundary services and management of washing etc</v>
          </cell>
        </row>
        <row r="90">
          <cell r="A90" t="str">
            <v>Leather</v>
          </cell>
          <cell r="B90" t="str">
            <v>Foorwear bags</v>
          </cell>
        </row>
        <row r="91">
          <cell r="A91" t="str">
            <v>Leather</v>
          </cell>
          <cell r="B91" t="str">
            <v>Luggage and Leather Goods / other leather prodycts</v>
          </cell>
        </row>
        <row r="92">
          <cell r="A92" t="str">
            <v>Liquor_or_Breweries_or_imfi</v>
          </cell>
          <cell r="B92" t="str">
            <v>Beer, Wine and Distilled Alcoholic Beverages</v>
          </cell>
        </row>
        <row r="93">
          <cell r="A93" t="str">
            <v>Liquor_or_Breweries_or_imfi</v>
          </cell>
          <cell r="B93" t="str">
            <v>Breweries, Distilleries</v>
          </cell>
        </row>
        <row r="94">
          <cell r="A94" t="str">
            <v>Live_Stock</v>
          </cell>
          <cell r="B94" t="str">
            <v>Animal Feed</v>
          </cell>
        </row>
        <row r="95">
          <cell r="A95" t="str">
            <v>Logistics</v>
          </cell>
          <cell r="B95" t="str">
            <v>Courier - MNC Cos/</v>
          </cell>
        </row>
        <row r="96">
          <cell r="A96" t="str">
            <v>Logistics</v>
          </cell>
          <cell r="B96" t="str">
            <v>Courier - Local</v>
          </cell>
        </row>
        <row r="97">
          <cell r="A97" t="str">
            <v>Media_or_Entertainment_TV_Broadcasting</v>
          </cell>
          <cell r="B97" t="str">
            <v>Media, Advertising and Broadcasting, Animation and Post production</v>
          </cell>
        </row>
        <row r="98">
          <cell r="A98" t="str">
            <v>Medical_or_Pharma_Equipments</v>
          </cell>
          <cell r="B98" t="str">
            <v>Medical Equipment</v>
          </cell>
        </row>
        <row r="99">
          <cell r="A99" t="str">
            <v>Medical_or_Pharma_Equipments</v>
          </cell>
          <cell r="B99" t="str">
            <v>Medical Supplies</v>
          </cell>
        </row>
        <row r="100">
          <cell r="A100" t="str">
            <v>Metals_aluminium</v>
          </cell>
          <cell r="B100" t="str">
            <v>Aluminium and Aluminium Products (manufacturers)</v>
          </cell>
        </row>
        <row r="101">
          <cell r="A101" t="str">
            <v>Metals_copper</v>
          </cell>
          <cell r="B101" t="str">
            <v>Copper and Copper Products</v>
          </cell>
        </row>
        <row r="102">
          <cell r="A102" t="str">
            <v>Metals_Iron_and_Steel</v>
          </cell>
          <cell r="B102" t="str">
            <v>Iron, Steel &amp; Steel Alloys, Wires and Cables</v>
          </cell>
        </row>
        <row r="103">
          <cell r="A103" t="str">
            <v>Metals_others</v>
          </cell>
          <cell r="B103" t="str">
            <v>other than iron and steel, zince, copper aluminium</v>
          </cell>
        </row>
        <row r="104">
          <cell r="A104" t="str">
            <v>Metals_zinc</v>
          </cell>
          <cell r="B104" t="str">
            <v>Zinc</v>
          </cell>
        </row>
        <row r="105">
          <cell r="A105" t="str">
            <v>Mining</v>
          </cell>
          <cell r="B105" t="str">
            <v>Mining</v>
          </cell>
        </row>
        <row r="106">
          <cell r="A106" t="str">
            <v>Others</v>
          </cell>
          <cell r="B106" t="str">
            <v>Industries not classified elsewhere</v>
          </cell>
        </row>
        <row r="107">
          <cell r="A107" t="str">
            <v>Pollution</v>
          </cell>
          <cell r="B107" t="str">
            <v>Pollution Control</v>
          </cell>
        </row>
        <row r="108">
          <cell r="A108" t="str">
            <v>Packaging</v>
          </cell>
          <cell r="B108" t="str">
            <v>Packaging Material</v>
          </cell>
        </row>
        <row r="109">
          <cell r="A109" t="str">
            <v>Packaging</v>
          </cell>
          <cell r="B109" t="str">
            <v>Plastic Packaging Goods</v>
          </cell>
        </row>
        <row r="110">
          <cell r="A110" t="str">
            <v>Paints</v>
          </cell>
          <cell r="B110" t="str">
            <v>Paints and Varnishes</v>
          </cell>
        </row>
        <row r="111">
          <cell r="A111" t="str">
            <v>Paints</v>
          </cell>
          <cell r="B111" t="str">
            <v>Paints Equipment</v>
          </cell>
        </row>
        <row r="112">
          <cell r="A112" t="str">
            <v>Paper</v>
          </cell>
          <cell r="B112" t="str">
            <v>Paper and Paper Products</v>
          </cell>
        </row>
        <row r="113">
          <cell r="A113" t="str">
            <v>Pesticides</v>
          </cell>
          <cell r="B113" t="str">
            <v>Pesticied</v>
          </cell>
        </row>
        <row r="114">
          <cell r="A114" t="str">
            <v>Petroleum_Productdealer</v>
          </cell>
          <cell r="B114" t="str">
            <v>Crude Oil and Natural Gas</v>
          </cell>
        </row>
        <row r="115">
          <cell r="A115" t="str">
            <v>Petroleum_Productdealer</v>
          </cell>
          <cell r="B115" t="str">
            <v>Petroleum Products, LPG Dealers</v>
          </cell>
        </row>
        <row r="116">
          <cell r="A116" t="str">
            <v>Petroleum_Productdealer</v>
          </cell>
          <cell r="B116" t="str">
            <v>Lubricants / Gas Cyliners</v>
          </cell>
        </row>
        <row r="117">
          <cell r="A117" t="str">
            <v>Pharmaceuticals</v>
          </cell>
          <cell r="B117" t="str">
            <v>Biotech, Research</v>
          </cell>
        </row>
        <row r="118">
          <cell r="A118" t="str">
            <v>Pharmaceuticals</v>
          </cell>
          <cell r="B118" t="str">
            <v>CRAMS / Formulations / API / Ayurveda / Bulk Drugs</v>
          </cell>
        </row>
        <row r="119">
          <cell r="A119" t="str">
            <v>Photographic_and_Allied_Products</v>
          </cell>
          <cell r="B119" t="str">
            <v>Photgraphic and Allied Products</v>
          </cell>
        </row>
        <row r="120">
          <cell r="A120" t="str">
            <v>Pipes</v>
          </cell>
          <cell r="B120" t="str">
            <v>Manufacturing and sales of pipes, PVC including dealers</v>
          </cell>
        </row>
        <row r="121">
          <cell r="A121" t="str">
            <v>Plastics</v>
          </cell>
          <cell r="B121" t="str">
            <v>Polymers</v>
          </cell>
        </row>
        <row r="122">
          <cell r="A122" t="str">
            <v>Plastics</v>
          </cell>
          <cell r="B122" t="str">
            <v>Plastic, Films</v>
          </cell>
        </row>
        <row r="123">
          <cell r="A123" t="str">
            <v>Plastics</v>
          </cell>
          <cell r="B123" t="str">
            <v>Plastic tubes and sheets and other plastic products, plastic resins, thermoplastics</v>
          </cell>
        </row>
        <row r="124">
          <cell r="A124" t="str">
            <v>Poultry</v>
          </cell>
          <cell r="B124" t="str">
            <v>Poultry and Meat Products</v>
          </cell>
        </row>
        <row r="125">
          <cell r="A125" t="str">
            <v>Power</v>
          </cell>
          <cell r="B125" t="str">
            <v>Motors, Generator and pumps and other power equipments</v>
          </cell>
        </row>
        <row r="126">
          <cell r="A126" t="str">
            <v>Power</v>
          </cell>
          <cell r="B126" t="str">
            <v>Transformers</v>
          </cell>
        </row>
        <row r="127">
          <cell r="A127" t="str">
            <v>Power</v>
          </cell>
          <cell r="B127" t="str">
            <v>Transmission line towers and equipment</v>
          </cell>
        </row>
        <row r="128">
          <cell r="A128" t="str">
            <v>Printing_and_Publishing</v>
          </cell>
          <cell r="B128" t="str">
            <v>Printing machinery</v>
          </cell>
        </row>
        <row r="129">
          <cell r="A129" t="str">
            <v>Printing_and_Publishing</v>
          </cell>
          <cell r="B129" t="str">
            <v>Publishing</v>
          </cell>
        </row>
        <row r="130">
          <cell r="A130" t="str">
            <v>Professional_Services</v>
          </cell>
          <cell r="B130" t="str">
            <v>Legal Services, Solicitor firms, Public Relations, Professional / Consultants / specialised dance schools</v>
          </cell>
        </row>
        <row r="131">
          <cell r="A131" t="str">
            <v>Professional_Services</v>
          </cell>
          <cell r="B131" t="str">
            <v>Technical Consultancy and Engg services, IT consulting, salaried employees, doctors, only rental income</v>
          </cell>
        </row>
        <row r="132">
          <cell r="A132" t="str">
            <v>Professional_Services</v>
          </cell>
          <cell r="B132" t="str">
            <v>Executive search / manpower servicess, hostel management</v>
          </cell>
        </row>
        <row r="133">
          <cell r="A133" t="str">
            <v>Professional_Services</v>
          </cell>
          <cell r="B133" t="str">
            <v>Tax &amp; Audit, Architects</v>
          </cell>
        </row>
        <row r="134">
          <cell r="A134" t="str">
            <v>Professional_Services</v>
          </cell>
          <cell r="B134" t="str">
            <v>HR &amp; A / Medical Transcriptions</v>
          </cell>
        </row>
        <row r="135">
          <cell r="A135" t="str">
            <v>Real_Estate</v>
          </cell>
          <cell r="B135" t="str">
            <v>Commercial residential industrial buildings</v>
          </cell>
        </row>
        <row r="136">
          <cell r="A136" t="str">
            <v>Real_Estate</v>
          </cell>
          <cell r="B136" t="str">
            <v>Brokers and Agents</v>
          </cell>
        </row>
        <row r="137">
          <cell r="A137" t="str">
            <v>Retail</v>
          </cell>
          <cell r="B137" t="str">
            <v>Multibrand Stores</v>
          </cell>
        </row>
        <row r="138">
          <cell r="A138" t="str">
            <v>Retail</v>
          </cell>
          <cell r="B138" t="str">
            <v>General Merchandise Stores / Kiryana Stores, grocery stores etc</v>
          </cell>
        </row>
        <row r="139">
          <cell r="A139" t="str">
            <v>Retail</v>
          </cell>
          <cell r="B139" t="str">
            <v>General Merchandise stores</v>
          </cell>
        </row>
        <row r="140">
          <cell r="A140" t="str">
            <v>Rubber_Natural</v>
          </cell>
          <cell r="B140" t="str">
            <v>Rubber and Rubber products</v>
          </cell>
        </row>
        <row r="141">
          <cell r="A141" t="str">
            <v>Soaps_and_Detergents</v>
          </cell>
          <cell r="B141" t="str">
            <v>Detergent and intermediaries</v>
          </cell>
        </row>
        <row r="142">
          <cell r="A142" t="str">
            <v>Soaps_and_Detergents</v>
          </cell>
          <cell r="B142" t="str">
            <v>Personal Care</v>
          </cell>
        </row>
        <row r="143">
          <cell r="A143" t="str">
            <v>Soaps_and_Detergents</v>
          </cell>
          <cell r="B143" t="str">
            <v>Manufacturers of toiler soaps, detergents, shampoos, toothpaste, shaving products, shoe polish and household accessories</v>
          </cell>
        </row>
        <row r="144">
          <cell r="A144" t="str">
            <v>Speciality</v>
          </cell>
          <cell r="B144" t="str">
            <v>Books, office supplies and stationery</v>
          </cell>
        </row>
        <row r="145">
          <cell r="A145" t="str">
            <v>Speciality</v>
          </cell>
          <cell r="B145" t="str">
            <v>Hobby, Toy, Game, Camera and Photographic Supply Stores</v>
          </cell>
        </row>
        <row r="146">
          <cell r="A146" t="str">
            <v>Speciality</v>
          </cell>
          <cell r="B146" t="str">
            <v>Sports Goods, Sports Academy</v>
          </cell>
        </row>
        <row r="147">
          <cell r="A147" t="str">
            <v>Speciality</v>
          </cell>
          <cell r="B147" t="str">
            <v>Home Furnishing / Kitchen and household hardware</v>
          </cell>
        </row>
        <row r="148">
          <cell r="A148" t="str">
            <v>Speciality</v>
          </cell>
          <cell r="B148" t="str">
            <v>Opticians</v>
          </cell>
        </row>
        <row r="149">
          <cell r="A149" t="str">
            <v>Speciality</v>
          </cell>
          <cell r="B149" t="str">
            <v>Home Appliances / Kitchen Appliances</v>
          </cell>
        </row>
        <row r="150">
          <cell r="A150" t="str">
            <v>Sugar</v>
          </cell>
          <cell r="B150" t="str">
            <v>Sugar</v>
          </cell>
        </row>
        <row r="151">
          <cell r="A151" t="str">
            <v>Tea</v>
          </cell>
          <cell r="B151" t="str">
            <v>Tea</v>
          </cell>
        </row>
        <row r="152">
          <cell r="A152" t="str">
            <v>Telecom_and_Telecom_Products</v>
          </cell>
          <cell r="B152" t="str">
            <v>Other communication services (telex, wireless, fax, pager, other telephone / communication services) mobile phones retail wholesale seller</v>
          </cell>
        </row>
        <row r="153">
          <cell r="A153" t="str">
            <v>Textile_Machinery</v>
          </cell>
          <cell r="B153" t="str">
            <v>Textile machinery</v>
          </cell>
        </row>
        <row r="154">
          <cell r="A154" t="str">
            <v>Textile_Furnishing</v>
          </cell>
          <cell r="B154" t="str">
            <v>Home furnishing</v>
          </cell>
        </row>
        <row r="155">
          <cell r="A155" t="str">
            <v>Textile_Processing</v>
          </cell>
          <cell r="B155" t="str">
            <v>Dyeing, cutting, stitching, any other process</v>
          </cell>
        </row>
        <row r="156">
          <cell r="A156" t="str">
            <v>Textile_Yarn</v>
          </cell>
          <cell r="B156" t="str">
            <v>Textiles, Blended Yarn</v>
          </cell>
        </row>
        <row r="157">
          <cell r="A157" t="str">
            <v>Textile_Garments_and_Apparels</v>
          </cell>
          <cell r="B157" t="str">
            <v>Readymade garments</v>
          </cell>
        </row>
        <row r="158">
          <cell r="A158" t="str">
            <v>Textile_Fabric</v>
          </cell>
          <cell r="B158" t="str">
            <v>Cotton, synthetic, blended, knitted and silk fabric or cloth</v>
          </cell>
        </row>
        <row r="159">
          <cell r="A159" t="str">
            <v>Textile_Ginning</v>
          </cell>
          <cell r="B159" t="str">
            <v>Ginning of cotton</v>
          </cell>
        </row>
        <row r="160">
          <cell r="A160" t="str">
            <v>Textile_Others</v>
          </cell>
          <cell r="B160" t="str">
            <v>Textile other than mentioned above</v>
          </cell>
        </row>
        <row r="161">
          <cell r="A161" t="str">
            <v>Textile_Synthetic</v>
          </cell>
          <cell r="B161" t="str">
            <v>Silk, PSF, VSF, nylon</v>
          </cell>
        </row>
        <row r="162">
          <cell r="A162" t="str">
            <v>Textile_Synthetic</v>
          </cell>
          <cell r="B162" t="str">
            <v>Woolen</v>
          </cell>
        </row>
        <row r="163">
          <cell r="A163" t="str">
            <v>Tiles_Ceramic_or_Building_Construction_Material</v>
          </cell>
          <cell r="B163" t="str">
            <v>Construction materials, ceramic tiles</v>
          </cell>
        </row>
        <row r="164">
          <cell r="A164" t="str">
            <v>Tiles_Ceramic_or_Building_Construction_Material</v>
          </cell>
          <cell r="B164" t="str">
            <v>Marble and Granite</v>
          </cell>
        </row>
        <row r="165">
          <cell r="A165" t="str">
            <v>Timber_and_Timber_Products</v>
          </cell>
          <cell r="B165" t="str">
            <v>Wood and wood products - including furnitures</v>
          </cell>
        </row>
        <row r="166">
          <cell r="A166" t="str">
            <v>Tobacco</v>
          </cell>
          <cell r="B166" t="str">
            <v>Tobacco Products</v>
          </cell>
        </row>
        <row r="167">
          <cell r="A167" t="str">
            <v>Tours_and_Travels</v>
          </cell>
          <cell r="B167" t="str">
            <v>Passenger Transport Services (Road)</v>
          </cell>
        </row>
        <row r="168">
          <cell r="A168" t="str">
            <v>Tours_and_Travels</v>
          </cell>
          <cell r="B168" t="str">
            <v>Ticketing and Taxi Services</v>
          </cell>
        </row>
        <row r="169">
          <cell r="A169" t="str">
            <v>Tours_and_Travels</v>
          </cell>
          <cell r="B169" t="str">
            <v>Taxi / Car Rental</v>
          </cell>
        </row>
        <row r="170">
          <cell r="A170" t="str">
            <v>Tractors</v>
          </cell>
          <cell r="B170" t="str">
            <v>Tractors</v>
          </cell>
        </row>
        <row r="171">
          <cell r="A171" t="str">
            <v>Transport_Road</v>
          </cell>
          <cell r="B171" t="str">
            <v>Goods Transport Services (Road)</v>
          </cell>
        </row>
        <row r="172">
          <cell r="A172" t="str">
            <v>Tyres</v>
          </cell>
          <cell r="B172" t="str">
            <v>Tyres</v>
          </cell>
        </row>
        <row r="173">
          <cell r="A173" t="str">
            <v>Warehousing</v>
          </cell>
          <cell r="B173" t="str">
            <v>Clearing and Forwarding, Storage &amp; Warehouding agents</v>
          </cell>
        </row>
        <row r="174">
          <cell r="A174" t="str">
            <v>Watches</v>
          </cell>
          <cell r="B174" t="str">
            <v>Clocks and Watches</v>
          </cell>
        </row>
      </sheetData>
      <sheetData sheetId="14">
        <row r="4">
          <cell r="I4" t="str">
            <v>Monthly</v>
          </cell>
        </row>
        <row r="5">
          <cell r="I5" t="str">
            <v>Quarterly</v>
          </cell>
        </row>
      </sheetData>
      <sheetData sheetId="15"/>
      <sheetData sheetId="16">
        <row r="3">
          <cell r="F3" t="str">
            <v>Main Applicant</v>
          </cell>
        </row>
        <row r="4">
          <cell r="F4" t="str">
            <v xml:space="preserve">Co Applicant </v>
          </cell>
        </row>
        <row r="5">
          <cell r="F5" t="str">
            <v>Guarantor</v>
          </cell>
          <cell r="H5" t="str">
            <v>Partnership Firm</v>
          </cell>
          <cell r="K5" t="str">
            <v>Positve</v>
          </cell>
        </row>
        <row r="6">
          <cell r="H6" t="str">
            <v>Partner</v>
          </cell>
          <cell r="K6" t="str">
            <v>Negative</v>
          </cell>
        </row>
        <row r="7">
          <cell r="H7" t="str">
            <v>Partner</v>
          </cell>
          <cell r="K7" t="str">
            <v>Not Applicable</v>
          </cell>
        </row>
        <row r="8">
          <cell r="H8" t="str">
            <v>Proprietor</v>
          </cell>
          <cell r="K8" t="str">
            <v xml:space="preserve">Referred </v>
          </cell>
        </row>
        <row r="9">
          <cell r="H9" t="str">
            <v>Director</v>
          </cell>
        </row>
        <row r="10">
          <cell r="H10" t="str">
            <v>Spouse</v>
          </cell>
        </row>
        <row r="11">
          <cell r="H11" t="str">
            <v>Brother</v>
          </cell>
        </row>
        <row r="12">
          <cell r="H12" t="str">
            <v>Father</v>
          </cell>
        </row>
        <row r="13">
          <cell r="H13" t="str">
            <v>Mother</v>
          </cell>
        </row>
        <row r="14">
          <cell r="H14" t="str">
            <v>Other</v>
          </cell>
        </row>
        <row r="16">
          <cell r="J16" t="str">
            <v>Positive</v>
          </cell>
        </row>
        <row r="17">
          <cell r="J17" t="str">
            <v>Negative</v>
          </cell>
        </row>
        <row r="18">
          <cell r="J18" t="str">
            <v>Waived</v>
          </cell>
        </row>
        <row r="19">
          <cell r="J19" t="str">
            <v xml:space="preserve">Refered </v>
          </cell>
        </row>
        <row r="20">
          <cell r="J20" t="str">
            <v>NA</v>
          </cell>
        </row>
      </sheetData>
      <sheetData sheetId="17"/>
      <sheetData sheetId="18">
        <row r="7">
          <cell r="J7" t="str">
            <v>Yes</v>
          </cell>
        </row>
        <row r="8">
          <cell r="J8" t="str">
            <v>No</v>
          </cell>
        </row>
      </sheetData>
      <sheetData sheetId="19"/>
      <sheetData sheetId="20">
        <row r="3">
          <cell r="J3" t="str">
            <v>Yes</v>
          </cell>
        </row>
        <row r="4">
          <cell r="J4" t="str">
            <v>No</v>
          </cell>
        </row>
      </sheetData>
      <sheetData sheetId="21"/>
      <sheetData sheetId="22">
        <row r="2">
          <cell r="B2" t="str">
            <v>Bounce</v>
          </cell>
          <cell r="D2" t="str">
            <v>Proprietorship</v>
          </cell>
        </row>
        <row r="3">
          <cell r="B3" t="str">
            <v>Cleared</v>
          </cell>
          <cell r="D3" t="str">
            <v>Trust</v>
          </cell>
        </row>
        <row r="4">
          <cell r="D4" t="str">
            <v>Society</v>
          </cell>
        </row>
        <row r="5">
          <cell r="D5" t="str">
            <v>AOP</v>
          </cell>
        </row>
        <row r="6">
          <cell r="D6" t="str">
            <v>Partnership</v>
          </cell>
        </row>
        <row r="7">
          <cell r="D7" t="str">
            <v>LLP</v>
          </cell>
        </row>
        <row r="8">
          <cell r="D8" t="str">
            <v>PVT</v>
          </cell>
        </row>
        <row r="9">
          <cell r="D9" t="str">
            <v>Public</v>
          </cell>
        </row>
      </sheetData>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Details"/>
      <sheetName val="CAM"/>
      <sheetName val="Fin-1"/>
      <sheetName val="Fin-2"/>
      <sheetName val="Fin-3"/>
      <sheetName val="DSCR"/>
      <sheetName val="Banking"/>
      <sheetName val="Existing Loans"/>
      <sheetName val="Industry Margin"/>
      <sheetName val="VAT"/>
      <sheetName val="Deviation Sheet"/>
      <sheetName val="Sheet1"/>
      <sheetName val="Sheet3"/>
      <sheetName val="Sheet2"/>
      <sheetName val="Sheet4"/>
    </sheetNames>
    <sheetDataSet>
      <sheetData sheetId="0">
        <row r="8">
          <cell r="B8" t="str">
            <v>ABC</v>
          </cell>
        </row>
        <row r="9">
          <cell r="B9" t="str">
            <v>a</v>
          </cell>
        </row>
        <row r="10">
          <cell r="B10" t="str">
            <v>B</v>
          </cell>
        </row>
        <row r="11">
          <cell r="B11" t="str">
            <v>c</v>
          </cell>
        </row>
        <row r="12">
          <cell r="B12" t="str">
            <v>d</v>
          </cell>
        </row>
        <row r="13">
          <cell r="B13" t="str">
            <v>e</v>
          </cell>
        </row>
      </sheetData>
      <sheetData sheetId="1"/>
      <sheetData sheetId="2"/>
      <sheetData sheetId="3"/>
      <sheetData sheetId="4"/>
      <sheetData sheetId="5"/>
      <sheetData sheetId="6"/>
      <sheetData sheetId="7">
        <row r="9">
          <cell r="AE9" t="str">
            <v>Auto Loan (Non Commercial)</v>
          </cell>
          <cell r="AF9" t="str">
            <v>Secured</v>
          </cell>
        </row>
        <row r="10">
          <cell r="AE10" t="str">
            <v>Auto Loan (Commercial)</v>
          </cell>
          <cell r="AF10" t="str">
            <v>Unsecured</v>
          </cell>
        </row>
        <row r="11">
          <cell r="AE11" t="str">
            <v>Bill Discounted</v>
          </cell>
        </row>
        <row r="12">
          <cell r="AE12" t="str">
            <v>Business Loan</v>
          </cell>
        </row>
        <row r="13">
          <cell r="AE13" t="str">
            <v>Commercial Vehicle</v>
          </cell>
        </row>
        <row r="14">
          <cell r="AE14" t="str">
            <v>Currency Loan</v>
          </cell>
        </row>
        <row r="15">
          <cell r="AE15" t="str">
            <v>Equipment Loan</v>
          </cell>
          <cell r="AF15" t="str">
            <v>Live</v>
          </cell>
        </row>
        <row r="16">
          <cell r="AE16" t="str">
            <v>Home Loan</v>
          </cell>
          <cell r="AF16" t="str">
            <v>BT - Takeover</v>
          </cell>
        </row>
        <row r="17">
          <cell r="AE17" t="str">
            <v>Letter of Credit</v>
          </cell>
          <cell r="AF17" t="str">
            <v>Closed</v>
          </cell>
        </row>
        <row r="18">
          <cell r="AE18" t="str">
            <v>Loan Against Receivables</v>
          </cell>
          <cell r="AF18" t="str">
            <v>Will be closed</v>
          </cell>
        </row>
        <row r="19">
          <cell r="AE19" t="str">
            <v>Mortgage Loan (LAP)</v>
          </cell>
          <cell r="AF19" t="str">
            <v>Not to be obligated</v>
          </cell>
        </row>
        <row r="20">
          <cell r="AE20" t="str">
            <v>CC/OD Limit</v>
          </cell>
        </row>
        <row r="21">
          <cell r="AE21" t="str">
            <v>Personal Loan</v>
          </cell>
        </row>
        <row r="22">
          <cell r="AE22" t="str">
            <v>Term Loan (EMI)</v>
          </cell>
        </row>
        <row r="23">
          <cell r="AE23" t="str">
            <v>Term Loan (Prin + Int)</v>
          </cell>
        </row>
        <row r="24">
          <cell r="AE24" t="str">
            <v>Education Loan</v>
          </cell>
        </row>
        <row r="25">
          <cell r="AE25" t="str">
            <v>Moratorium Loan</v>
          </cell>
        </row>
        <row r="26">
          <cell r="AE26" t="str">
            <v>Structured Loan/Graded EMI</v>
          </cell>
        </row>
        <row r="27">
          <cell r="AE27" t="str">
            <v>Others</v>
          </cell>
        </row>
      </sheetData>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er's International"/>
      <sheetName val="Klarke Facility Management"/>
      <sheetName val="Pharmer"/>
      <sheetName val="FNS International"/>
      <sheetName val="Alaric Score"/>
      <sheetName val="Customer Details"/>
      <sheetName val="CAM"/>
      <sheetName val="Fin-1"/>
      <sheetName val="Fin-2"/>
      <sheetName val="Fin-3"/>
      <sheetName val="DSCR"/>
      <sheetName val="Banking"/>
      <sheetName val="Existing Loans"/>
      <sheetName val="Industry Margin"/>
      <sheetName val="VAT"/>
      <sheetName val="Deviation Sheet"/>
      <sheetName val="Sheet1"/>
      <sheetName val="Sheet3"/>
      <sheetName val="Sheet2"/>
      <sheetName val="Sheet4"/>
      <sheetName val="Sheet5"/>
      <sheetName val="Scorecard"/>
      <sheetName val="Sheet8"/>
      <sheetName val="Sheet6"/>
      <sheetName val="Working -1"/>
      <sheetName val="Working -2"/>
      <sheetName val="Working -3"/>
      <sheetName val="Working -4"/>
      <sheetName val="Working -5"/>
    </sheetNames>
    <sheetDataSet>
      <sheetData sheetId="0"/>
      <sheetData sheetId="1"/>
      <sheetData sheetId="2"/>
      <sheetData sheetId="3"/>
      <sheetData sheetId="4"/>
      <sheetData sheetId="5">
        <row r="8">
          <cell r="B8" t="str">
            <v>Guru Teg Bahadur Social Educational And Welfare Society</v>
          </cell>
        </row>
        <row r="9">
          <cell r="B9" t="str">
            <v>Sanjay Sharma</v>
          </cell>
        </row>
        <row r="10">
          <cell r="B10" t="str">
            <v>Himani Sharma</v>
          </cell>
        </row>
        <row r="11">
          <cell r="B11" t="str">
            <v>Jiwan Jot Public School Management Committee</v>
          </cell>
        </row>
        <row r="12">
          <cell r="B12">
            <v>0</v>
          </cell>
        </row>
        <row r="13">
          <cell r="B13">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7">
          <cell r="I7" t="str">
            <v>Positive</v>
          </cell>
        </row>
      </sheetData>
      <sheetData sheetId="2">
        <row r="5">
          <cell r="H5" t="str">
            <v>NCM</v>
          </cell>
        </row>
        <row r="6">
          <cell r="H6" t="str">
            <v>ZCM</v>
          </cell>
        </row>
        <row r="7">
          <cell r="H7" t="str">
            <v>RCM</v>
          </cell>
        </row>
        <row r="8">
          <cell r="H8" t="str">
            <v>CM</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Details"/>
      <sheetName val="CAM"/>
      <sheetName val="Fin-1"/>
      <sheetName val="Fin-2"/>
      <sheetName val="Fin-3"/>
      <sheetName val="DSCR"/>
      <sheetName val="Banking"/>
      <sheetName val="Existing Loans"/>
      <sheetName val="Industry Margin"/>
      <sheetName val="VAT"/>
      <sheetName val="Deviation Sheet"/>
      <sheetName val="Sheet1"/>
      <sheetName val="Sheet3"/>
      <sheetName val="Sheet2"/>
      <sheetName val="Sheet4"/>
    </sheetNames>
    <sheetDataSet>
      <sheetData sheetId="0"/>
      <sheetData sheetId="1"/>
      <sheetData sheetId="2"/>
      <sheetData sheetId="3"/>
      <sheetData sheetId="4"/>
      <sheetData sheetId="5">
        <row r="2">
          <cell r="J2" t="str">
            <v>Yes</v>
          </cell>
        </row>
        <row r="3">
          <cell r="J3" t="str">
            <v>No</v>
          </cell>
        </row>
      </sheetData>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57"/>
  <sheetViews>
    <sheetView workbookViewId="0">
      <selection activeCell="F13" sqref="F13"/>
    </sheetView>
  </sheetViews>
  <sheetFormatPr defaultRowHeight="12.75"/>
  <cols>
    <col min="1" max="1" width="4.85546875" style="249" customWidth="1"/>
    <col min="2" max="2" width="14.5703125" style="249" customWidth="1"/>
    <col min="3" max="3" width="12.5703125" style="249" customWidth="1"/>
    <col min="4" max="4" width="11" style="249" customWidth="1"/>
    <col min="5" max="5" width="15.85546875" style="249" customWidth="1"/>
    <col min="6" max="6" width="10" style="249" bestFit="1" customWidth="1"/>
    <col min="7" max="7" width="9.5703125" style="249" bestFit="1" customWidth="1"/>
    <col min="8" max="16384" width="9.140625" style="249"/>
  </cols>
  <sheetData>
    <row r="2" spans="1:2">
      <c r="A2" s="249" t="s">
        <v>692</v>
      </c>
    </row>
    <row r="4" spans="1:2">
      <c r="A4" s="249">
        <v>1</v>
      </c>
      <c r="B4" s="249" t="s">
        <v>740</v>
      </c>
    </row>
    <row r="5" spans="1:2">
      <c r="A5" s="249">
        <f t="shared" ref="A5:A25" si="0">+A4+1</f>
        <v>2</v>
      </c>
      <c r="B5" s="249" t="s">
        <v>693</v>
      </c>
    </row>
    <row r="6" spans="1:2">
      <c r="A6" s="249">
        <f t="shared" si="0"/>
        <v>3</v>
      </c>
      <c r="B6" s="249" t="s">
        <v>741</v>
      </c>
    </row>
    <row r="7" spans="1:2">
      <c r="A7" s="249">
        <f t="shared" si="0"/>
        <v>4</v>
      </c>
      <c r="B7" s="249" t="s">
        <v>695</v>
      </c>
    </row>
    <row r="8" spans="1:2">
      <c r="A8" s="249">
        <f t="shared" si="0"/>
        <v>5</v>
      </c>
      <c r="B8" s="249" t="s">
        <v>694</v>
      </c>
    </row>
    <row r="9" spans="1:2">
      <c r="A9" s="249">
        <f t="shared" si="0"/>
        <v>6</v>
      </c>
      <c r="B9" s="249" t="s">
        <v>696</v>
      </c>
    </row>
    <row r="10" spans="1:2">
      <c r="A10" s="249">
        <f t="shared" si="0"/>
        <v>7</v>
      </c>
      <c r="B10" s="249" t="s">
        <v>697</v>
      </c>
    </row>
    <row r="11" spans="1:2">
      <c r="A11" s="249">
        <f t="shared" si="0"/>
        <v>8</v>
      </c>
      <c r="B11" s="249" t="s">
        <v>698</v>
      </c>
    </row>
    <row r="12" spans="1:2">
      <c r="A12" s="249">
        <f>A11+1</f>
        <v>9</v>
      </c>
      <c r="B12" s="249" t="s">
        <v>699</v>
      </c>
    </row>
    <row r="13" spans="1:2">
      <c r="A13" s="249">
        <f t="shared" si="0"/>
        <v>10</v>
      </c>
      <c r="B13" s="249" t="s">
        <v>700</v>
      </c>
    </row>
    <row r="14" spans="1:2">
      <c r="A14" s="249">
        <f t="shared" si="0"/>
        <v>11</v>
      </c>
      <c r="B14" s="249" t="s">
        <v>702</v>
      </c>
    </row>
    <row r="15" spans="1:2">
      <c r="A15" s="249">
        <f t="shared" si="0"/>
        <v>12</v>
      </c>
      <c r="B15" s="249" t="s">
        <v>701</v>
      </c>
    </row>
    <row r="16" spans="1:2">
      <c r="A16" s="249">
        <f t="shared" si="0"/>
        <v>13</v>
      </c>
      <c r="B16" s="249" t="s">
        <v>704</v>
      </c>
    </row>
    <row r="17" spans="1:5">
      <c r="A17" s="249">
        <f t="shared" si="0"/>
        <v>14</v>
      </c>
      <c r="B17" s="249" t="s">
        <v>703</v>
      </c>
    </row>
    <row r="18" spans="1:5">
      <c r="A18" s="249">
        <f t="shared" si="0"/>
        <v>15</v>
      </c>
      <c r="B18" s="249" t="s">
        <v>705</v>
      </c>
    </row>
    <row r="19" spans="1:5">
      <c r="A19" s="249">
        <f t="shared" si="0"/>
        <v>16</v>
      </c>
      <c r="B19" s="249" t="s">
        <v>706</v>
      </c>
    </row>
    <row r="20" spans="1:5">
      <c r="A20" s="249">
        <f t="shared" si="0"/>
        <v>17</v>
      </c>
      <c r="B20" s="249" t="s">
        <v>707</v>
      </c>
    </row>
    <row r="21" spans="1:5">
      <c r="A21" s="249">
        <f t="shared" si="0"/>
        <v>18</v>
      </c>
      <c r="B21" s="249" t="s">
        <v>708</v>
      </c>
    </row>
    <row r="22" spans="1:5">
      <c r="A22" s="249">
        <f t="shared" si="0"/>
        <v>19</v>
      </c>
      <c r="B22" s="249" t="s">
        <v>709</v>
      </c>
    </row>
    <row r="23" spans="1:5">
      <c r="A23" s="249">
        <f t="shared" si="0"/>
        <v>20</v>
      </c>
      <c r="B23" s="249" t="s">
        <v>710</v>
      </c>
    </row>
    <row r="24" spans="1:5">
      <c r="A24" s="249">
        <f t="shared" si="0"/>
        <v>21</v>
      </c>
      <c r="B24" s="249" t="s">
        <v>735</v>
      </c>
    </row>
    <row r="25" spans="1:5">
      <c r="A25" s="249">
        <f t="shared" si="0"/>
        <v>22</v>
      </c>
      <c r="B25" s="249" t="s">
        <v>711</v>
      </c>
    </row>
    <row r="26" spans="1:5">
      <c r="C26" s="287" t="s">
        <v>712</v>
      </c>
      <c r="D26" s="287" t="s">
        <v>360</v>
      </c>
    </row>
    <row r="27" spans="1:5">
      <c r="C27" s="249" t="s">
        <v>73</v>
      </c>
      <c r="D27" s="300">
        <f>+'FA Schedule'!K11/100000</f>
        <v>1488</v>
      </c>
      <c r="E27" s="249" t="s">
        <v>715</v>
      </c>
    </row>
    <row r="28" spans="1:5">
      <c r="C28" s="249" t="s">
        <v>66</v>
      </c>
      <c r="D28" s="300">
        <f>+'FA Schedule'!E21/100000</f>
        <v>1993.1486</v>
      </c>
    </row>
    <row r="29" spans="1:5">
      <c r="C29" s="249" t="s">
        <v>65</v>
      </c>
      <c r="D29" s="300">
        <f>+'FA Schedule'!K21/100000</f>
        <v>50</v>
      </c>
    </row>
    <row r="30" spans="1:5">
      <c r="C30" s="249" t="s">
        <v>64</v>
      </c>
      <c r="D30" s="300">
        <f>+'FA Schedule'!E31/100000</f>
        <v>200</v>
      </c>
    </row>
    <row r="31" spans="1:5">
      <c r="C31" s="249" t="s">
        <v>63</v>
      </c>
      <c r="D31" s="300">
        <f>+'FA Schedule'!K31/100000</f>
        <v>80</v>
      </c>
    </row>
    <row r="32" spans="1:5">
      <c r="C32" s="249" t="s">
        <v>62</v>
      </c>
      <c r="D32" s="300">
        <f>+'FA Schedule'!E41/100000</f>
        <v>205</v>
      </c>
    </row>
    <row r="33" spans="1:4">
      <c r="C33" s="249" t="s">
        <v>61</v>
      </c>
      <c r="D33" s="300">
        <f>'FA Schedule'!K41/100000</f>
        <v>850</v>
      </c>
    </row>
    <row r="34" spans="1:4">
      <c r="C34" s="249" t="s">
        <v>58</v>
      </c>
      <c r="D34" s="300">
        <f>'FA Schedule'!E51/100000</f>
        <v>900</v>
      </c>
    </row>
    <row r="35" spans="1:4">
      <c r="C35" s="249" t="s">
        <v>725</v>
      </c>
      <c r="D35" s="300">
        <f>'FA Schedule'!K51/100000</f>
        <v>1415</v>
      </c>
    </row>
    <row r="36" spans="1:4">
      <c r="D36" s="300"/>
    </row>
    <row r="37" spans="1:4">
      <c r="A37" s="249">
        <f>+A25+1</f>
        <v>23</v>
      </c>
      <c r="B37" s="249" t="s">
        <v>713</v>
      </c>
    </row>
    <row r="38" spans="1:4">
      <c r="C38" s="287" t="s">
        <v>712</v>
      </c>
      <c r="D38" s="287" t="s">
        <v>360</v>
      </c>
    </row>
    <row r="39" spans="1:4">
      <c r="C39" s="290" t="s">
        <v>73</v>
      </c>
      <c r="D39" s="301">
        <f>+'BANK CMA'!D187</f>
        <v>310</v>
      </c>
    </row>
    <row r="40" spans="1:4">
      <c r="C40" s="290" t="s">
        <v>66</v>
      </c>
      <c r="D40" s="301">
        <f>+'BANK CMA'!E187</f>
        <v>750</v>
      </c>
    </row>
    <row r="41" spans="1:4">
      <c r="C41" s="290" t="s">
        <v>65</v>
      </c>
      <c r="D41" s="301">
        <f>+'BANK CMA'!F187</f>
        <v>750</v>
      </c>
    </row>
    <row r="42" spans="1:4">
      <c r="C42" s="290" t="s">
        <v>64</v>
      </c>
      <c r="D42" s="301">
        <f>+'BANK CMA'!G187</f>
        <v>750</v>
      </c>
    </row>
    <row r="43" spans="1:4">
      <c r="C43" s="290" t="s">
        <v>63</v>
      </c>
      <c r="D43" s="301">
        <f>+'BANK CMA'!H187</f>
        <v>750</v>
      </c>
    </row>
    <row r="44" spans="1:4">
      <c r="C44" s="290" t="s">
        <v>62</v>
      </c>
      <c r="D44" s="301">
        <f>+'BANK CMA'!I187</f>
        <v>750</v>
      </c>
    </row>
    <row r="45" spans="1:4">
      <c r="C45" s="290" t="s">
        <v>61</v>
      </c>
      <c r="D45" s="301">
        <f>+'BANK CMA'!I187</f>
        <v>750</v>
      </c>
    </row>
    <row r="46" spans="1:4">
      <c r="C46" s="290" t="s">
        <v>58</v>
      </c>
      <c r="D46" s="301">
        <f>+'BANK CMA'!J187</f>
        <v>750</v>
      </c>
    </row>
    <row r="47" spans="1:4">
      <c r="C47" s="290" t="s">
        <v>725</v>
      </c>
      <c r="D47" s="301">
        <f>+'BANK CMA'!K187</f>
        <v>750</v>
      </c>
    </row>
    <row r="48" spans="1:4">
      <c r="C48" s="290"/>
      <c r="D48" s="301"/>
    </row>
    <row r="49" spans="1:7">
      <c r="A49" s="249">
        <f>+A37+1</f>
        <v>24</v>
      </c>
      <c r="B49" s="249" t="s">
        <v>714</v>
      </c>
    </row>
    <row r="51" spans="1:7">
      <c r="A51" s="249">
        <v>26</v>
      </c>
      <c r="B51" s="249" t="s">
        <v>736</v>
      </c>
    </row>
    <row r="53" spans="1:7">
      <c r="B53" s="92" t="s">
        <v>0</v>
      </c>
      <c r="C53" s="92" t="s">
        <v>360</v>
      </c>
      <c r="D53" s="92" t="s">
        <v>737</v>
      </c>
      <c r="E53" s="92" t="s">
        <v>0</v>
      </c>
      <c r="F53" s="92" t="s">
        <v>360</v>
      </c>
      <c r="G53" s="92" t="s">
        <v>737</v>
      </c>
    </row>
    <row r="54" spans="1:7">
      <c r="B54" s="94" t="s">
        <v>56</v>
      </c>
      <c r="C54" s="94">
        <f>75000000</f>
        <v>75000000</v>
      </c>
      <c r="D54" s="302">
        <f>C54/C57</f>
        <v>0.51724137931034486</v>
      </c>
      <c r="E54" s="94" t="s">
        <v>738</v>
      </c>
      <c r="F54" s="94">
        <v>110000000</v>
      </c>
      <c r="G54" s="257">
        <f>F54/F57%</f>
        <v>75.862068965517238</v>
      </c>
    </row>
    <row r="55" spans="1:7" ht="25.5">
      <c r="B55" s="303" t="s">
        <v>54</v>
      </c>
      <c r="C55" s="94">
        <v>30000000</v>
      </c>
      <c r="D55" s="302">
        <f>C55/C57</f>
        <v>0.20689655172413793</v>
      </c>
      <c r="E55" s="303"/>
      <c r="F55" s="94"/>
      <c r="G55" s="257"/>
    </row>
    <row r="56" spans="1:7" ht="25.5">
      <c r="B56" s="303" t="s">
        <v>53</v>
      </c>
      <c r="C56" s="94">
        <v>40000000</v>
      </c>
      <c r="D56" s="302">
        <f>C56/C57</f>
        <v>0.27586206896551724</v>
      </c>
      <c r="E56" s="303" t="s">
        <v>739</v>
      </c>
      <c r="F56" s="94">
        <f>35000000</f>
        <v>35000000</v>
      </c>
      <c r="G56" s="257">
        <f>F56/F57%</f>
        <v>24.137931034482758</v>
      </c>
    </row>
    <row r="57" spans="1:7">
      <c r="B57" s="71" t="s">
        <v>3</v>
      </c>
      <c r="C57" s="71">
        <f>SUM(C54:C56)</f>
        <v>145000000</v>
      </c>
      <c r="D57" s="304">
        <f>SUM(D54:D56)</f>
        <v>1</v>
      </c>
      <c r="E57" s="71" t="s">
        <v>3</v>
      </c>
      <c r="F57" s="71">
        <f>SUM(F54:F56)</f>
        <v>145000000</v>
      </c>
      <c r="G57" s="92">
        <f>SUM(G54:G56)</f>
        <v>100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N207"/>
  <sheetViews>
    <sheetView showGridLines="0" tabSelected="1" zoomScaleNormal="100" workbookViewId="0"/>
  </sheetViews>
  <sheetFormatPr defaultRowHeight="15"/>
  <cols>
    <col min="1" max="1" width="4.28515625" style="548" customWidth="1"/>
    <col min="2" max="2" width="42.140625" style="548" customWidth="1"/>
    <col min="3" max="3" width="28.85546875" style="552" customWidth="1"/>
    <col min="4" max="4" width="24.5703125" style="548" customWidth="1"/>
    <col min="5" max="5" width="38.5703125" style="548" customWidth="1"/>
    <col min="6" max="6" width="25.140625" style="548" bestFit="1" customWidth="1"/>
    <col min="7" max="7" width="24" style="548" customWidth="1"/>
    <col min="8" max="8" width="22.28515625" style="548" customWidth="1"/>
    <col min="9" max="9" width="9.140625" style="548"/>
    <col min="10" max="10" width="14" style="548" customWidth="1"/>
    <col min="11" max="11" width="21.42578125" style="548" customWidth="1"/>
    <col min="12" max="12" width="16.7109375" style="548" customWidth="1"/>
    <col min="13" max="13" width="12.5703125" style="548" customWidth="1"/>
    <col min="14" max="257" width="9.140625" style="548"/>
    <col min="258" max="258" width="57.140625" style="548" customWidth="1"/>
    <col min="259" max="259" width="44.42578125" style="548" customWidth="1"/>
    <col min="260" max="260" width="29" style="548" customWidth="1"/>
    <col min="261" max="261" width="32.28515625" style="548" customWidth="1"/>
    <col min="262" max="262" width="18.7109375" style="548" customWidth="1"/>
    <col min="263" max="263" width="24" style="548" customWidth="1"/>
    <col min="264" max="264" width="11.28515625" style="548" bestFit="1" customWidth="1"/>
    <col min="265" max="265" width="9.140625" style="548"/>
    <col min="266" max="266" width="14" style="548" customWidth="1"/>
    <col min="267" max="267" width="13" style="548" customWidth="1"/>
    <col min="268" max="268" width="16.7109375" style="548" customWidth="1"/>
    <col min="269" max="269" width="12.5703125" style="548" customWidth="1"/>
    <col min="270" max="513" width="9.140625" style="548"/>
    <col min="514" max="514" width="57.140625" style="548" customWidth="1"/>
    <col min="515" max="515" width="44.42578125" style="548" customWidth="1"/>
    <col min="516" max="516" width="29" style="548" customWidth="1"/>
    <col min="517" max="517" width="32.28515625" style="548" customWidth="1"/>
    <col min="518" max="518" width="18.7109375" style="548" customWidth="1"/>
    <col min="519" max="519" width="24" style="548" customWidth="1"/>
    <col min="520" max="520" width="11.28515625" style="548" bestFit="1" customWidth="1"/>
    <col min="521" max="521" width="9.140625" style="548"/>
    <col min="522" max="522" width="14" style="548" customWidth="1"/>
    <col min="523" max="523" width="13" style="548" customWidth="1"/>
    <col min="524" max="524" width="16.7109375" style="548" customWidth="1"/>
    <col min="525" max="525" width="12.5703125" style="548" customWidth="1"/>
    <col min="526" max="769" width="9.140625" style="548"/>
    <col min="770" max="770" width="57.140625" style="548" customWidth="1"/>
    <col min="771" max="771" width="44.42578125" style="548" customWidth="1"/>
    <col min="772" max="772" width="29" style="548" customWidth="1"/>
    <col min="773" max="773" width="32.28515625" style="548" customWidth="1"/>
    <col min="774" max="774" width="18.7109375" style="548" customWidth="1"/>
    <col min="775" max="775" width="24" style="548" customWidth="1"/>
    <col min="776" max="776" width="11.28515625" style="548" bestFit="1" customWidth="1"/>
    <col min="777" max="777" width="9.140625" style="548"/>
    <col min="778" max="778" width="14" style="548" customWidth="1"/>
    <col min="779" max="779" width="13" style="548" customWidth="1"/>
    <col min="780" max="780" width="16.7109375" style="548" customWidth="1"/>
    <col min="781" max="781" width="12.5703125" style="548" customWidth="1"/>
    <col min="782" max="1025" width="9.140625" style="548"/>
    <col min="1026" max="1026" width="57.140625" style="548" customWidth="1"/>
    <col min="1027" max="1027" width="44.42578125" style="548" customWidth="1"/>
    <col min="1028" max="1028" width="29" style="548" customWidth="1"/>
    <col min="1029" max="1029" width="32.28515625" style="548" customWidth="1"/>
    <col min="1030" max="1030" width="18.7109375" style="548" customWidth="1"/>
    <col min="1031" max="1031" width="24" style="548" customWidth="1"/>
    <col min="1032" max="1032" width="11.28515625" style="548" bestFit="1" customWidth="1"/>
    <col min="1033" max="1033" width="9.140625" style="548"/>
    <col min="1034" max="1034" width="14" style="548" customWidth="1"/>
    <col min="1035" max="1035" width="13" style="548" customWidth="1"/>
    <col min="1036" max="1036" width="16.7109375" style="548" customWidth="1"/>
    <col min="1037" max="1037" width="12.5703125" style="548" customWidth="1"/>
    <col min="1038" max="1281" width="9.140625" style="548"/>
    <col min="1282" max="1282" width="57.140625" style="548" customWidth="1"/>
    <col min="1283" max="1283" width="44.42578125" style="548" customWidth="1"/>
    <col min="1284" max="1284" width="29" style="548" customWidth="1"/>
    <col min="1285" max="1285" width="32.28515625" style="548" customWidth="1"/>
    <col min="1286" max="1286" width="18.7109375" style="548" customWidth="1"/>
    <col min="1287" max="1287" width="24" style="548" customWidth="1"/>
    <col min="1288" max="1288" width="11.28515625" style="548" bestFit="1" customWidth="1"/>
    <col min="1289" max="1289" width="9.140625" style="548"/>
    <col min="1290" max="1290" width="14" style="548" customWidth="1"/>
    <col min="1291" max="1291" width="13" style="548" customWidth="1"/>
    <col min="1292" max="1292" width="16.7109375" style="548" customWidth="1"/>
    <col min="1293" max="1293" width="12.5703125" style="548" customWidth="1"/>
    <col min="1294" max="1537" width="9.140625" style="548"/>
    <col min="1538" max="1538" width="57.140625" style="548" customWidth="1"/>
    <col min="1539" max="1539" width="44.42578125" style="548" customWidth="1"/>
    <col min="1540" max="1540" width="29" style="548" customWidth="1"/>
    <col min="1541" max="1541" width="32.28515625" style="548" customWidth="1"/>
    <col min="1542" max="1542" width="18.7109375" style="548" customWidth="1"/>
    <col min="1543" max="1543" width="24" style="548" customWidth="1"/>
    <col min="1544" max="1544" width="11.28515625" style="548" bestFit="1" customWidth="1"/>
    <col min="1545" max="1545" width="9.140625" style="548"/>
    <col min="1546" max="1546" width="14" style="548" customWidth="1"/>
    <col min="1547" max="1547" width="13" style="548" customWidth="1"/>
    <col min="1548" max="1548" width="16.7109375" style="548" customWidth="1"/>
    <col min="1549" max="1549" width="12.5703125" style="548" customWidth="1"/>
    <col min="1550" max="1793" width="9.140625" style="548"/>
    <col min="1794" max="1794" width="57.140625" style="548" customWidth="1"/>
    <col min="1795" max="1795" width="44.42578125" style="548" customWidth="1"/>
    <col min="1796" max="1796" width="29" style="548" customWidth="1"/>
    <col min="1797" max="1797" width="32.28515625" style="548" customWidth="1"/>
    <col min="1798" max="1798" width="18.7109375" style="548" customWidth="1"/>
    <col min="1799" max="1799" width="24" style="548" customWidth="1"/>
    <col min="1800" max="1800" width="11.28515625" style="548" bestFit="1" customWidth="1"/>
    <col min="1801" max="1801" width="9.140625" style="548"/>
    <col min="1802" max="1802" width="14" style="548" customWidth="1"/>
    <col min="1803" max="1803" width="13" style="548" customWidth="1"/>
    <col min="1804" max="1804" width="16.7109375" style="548" customWidth="1"/>
    <col min="1805" max="1805" width="12.5703125" style="548" customWidth="1"/>
    <col min="1806" max="2049" width="9.140625" style="548"/>
    <col min="2050" max="2050" width="57.140625" style="548" customWidth="1"/>
    <col min="2051" max="2051" width="44.42578125" style="548" customWidth="1"/>
    <col min="2052" max="2052" width="29" style="548" customWidth="1"/>
    <col min="2053" max="2053" width="32.28515625" style="548" customWidth="1"/>
    <col min="2054" max="2054" width="18.7109375" style="548" customWidth="1"/>
    <col min="2055" max="2055" width="24" style="548" customWidth="1"/>
    <col min="2056" max="2056" width="11.28515625" style="548" bestFit="1" customWidth="1"/>
    <col min="2057" max="2057" width="9.140625" style="548"/>
    <col min="2058" max="2058" width="14" style="548" customWidth="1"/>
    <col min="2059" max="2059" width="13" style="548" customWidth="1"/>
    <col min="2060" max="2060" width="16.7109375" style="548" customWidth="1"/>
    <col min="2061" max="2061" width="12.5703125" style="548" customWidth="1"/>
    <col min="2062" max="2305" width="9.140625" style="548"/>
    <col min="2306" max="2306" width="57.140625" style="548" customWidth="1"/>
    <col min="2307" max="2307" width="44.42578125" style="548" customWidth="1"/>
    <col min="2308" max="2308" width="29" style="548" customWidth="1"/>
    <col min="2309" max="2309" width="32.28515625" style="548" customWidth="1"/>
    <col min="2310" max="2310" width="18.7109375" style="548" customWidth="1"/>
    <col min="2311" max="2311" width="24" style="548" customWidth="1"/>
    <col min="2312" max="2312" width="11.28515625" style="548" bestFit="1" customWidth="1"/>
    <col min="2313" max="2313" width="9.140625" style="548"/>
    <col min="2314" max="2314" width="14" style="548" customWidth="1"/>
    <col min="2315" max="2315" width="13" style="548" customWidth="1"/>
    <col min="2316" max="2316" width="16.7109375" style="548" customWidth="1"/>
    <col min="2317" max="2317" width="12.5703125" style="548" customWidth="1"/>
    <col min="2318" max="2561" width="9.140625" style="548"/>
    <col min="2562" max="2562" width="57.140625" style="548" customWidth="1"/>
    <col min="2563" max="2563" width="44.42578125" style="548" customWidth="1"/>
    <col min="2564" max="2564" width="29" style="548" customWidth="1"/>
    <col min="2565" max="2565" width="32.28515625" style="548" customWidth="1"/>
    <col min="2566" max="2566" width="18.7109375" style="548" customWidth="1"/>
    <col min="2567" max="2567" width="24" style="548" customWidth="1"/>
    <col min="2568" max="2568" width="11.28515625" style="548" bestFit="1" customWidth="1"/>
    <col min="2569" max="2569" width="9.140625" style="548"/>
    <col min="2570" max="2570" width="14" style="548" customWidth="1"/>
    <col min="2571" max="2571" width="13" style="548" customWidth="1"/>
    <col min="2572" max="2572" width="16.7109375" style="548" customWidth="1"/>
    <col min="2573" max="2573" width="12.5703125" style="548" customWidth="1"/>
    <col min="2574" max="2817" width="9.140625" style="548"/>
    <col min="2818" max="2818" width="57.140625" style="548" customWidth="1"/>
    <col min="2819" max="2819" width="44.42578125" style="548" customWidth="1"/>
    <col min="2820" max="2820" width="29" style="548" customWidth="1"/>
    <col min="2821" max="2821" width="32.28515625" style="548" customWidth="1"/>
    <col min="2822" max="2822" width="18.7109375" style="548" customWidth="1"/>
    <col min="2823" max="2823" width="24" style="548" customWidth="1"/>
    <col min="2824" max="2824" width="11.28515625" style="548" bestFit="1" customWidth="1"/>
    <col min="2825" max="2825" width="9.140625" style="548"/>
    <col min="2826" max="2826" width="14" style="548" customWidth="1"/>
    <col min="2827" max="2827" width="13" style="548" customWidth="1"/>
    <col min="2828" max="2828" width="16.7109375" style="548" customWidth="1"/>
    <col min="2829" max="2829" width="12.5703125" style="548" customWidth="1"/>
    <col min="2830" max="3073" width="9.140625" style="548"/>
    <col min="3074" max="3074" width="57.140625" style="548" customWidth="1"/>
    <col min="3075" max="3075" width="44.42578125" style="548" customWidth="1"/>
    <col min="3076" max="3076" width="29" style="548" customWidth="1"/>
    <col min="3077" max="3077" width="32.28515625" style="548" customWidth="1"/>
    <col min="3078" max="3078" width="18.7109375" style="548" customWidth="1"/>
    <col min="3079" max="3079" width="24" style="548" customWidth="1"/>
    <col min="3080" max="3080" width="11.28515625" style="548" bestFit="1" customWidth="1"/>
    <col min="3081" max="3081" width="9.140625" style="548"/>
    <col min="3082" max="3082" width="14" style="548" customWidth="1"/>
    <col min="3083" max="3083" width="13" style="548" customWidth="1"/>
    <col min="3084" max="3084" width="16.7109375" style="548" customWidth="1"/>
    <col min="3085" max="3085" width="12.5703125" style="548" customWidth="1"/>
    <col min="3086" max="3329" width="9.140625" style="548"/>
    <col min="3330" max="3330" width="57.140625" style="548" customWidth="1"/>
    <col min="3331" max="3331" width="44.42578125" style="548" customWidth="1"/>
    <col min="3332" max="3332" width="29" style="548" customWidth="1"/>
    <col min="3333" max="3333" width="32.28515625" style="548" customWidth="1"/>
    <col min="3334" max="3334" width="18.7109375" style="548" customWidth="1"/>
    <col min="3335" max="3335" width="24" style="548" customWidth="1"/>
    <col min="3336" max="3336" width="11.28515625" style="548" bestFit="1" customWidth="1"/>
    <col min="3337" max="3337" width="9.140625" style="548"/>
    <col min="3338" max="3338" width="14" style="548" customWidth="1"/>
    <col min="3339" max="3339" width="13" style="548" customWidth="1"/>
    <col min="3340" max="3340" width="16.7109375" style="548" customWidth="1"/>
    <col min="3341" max="3341" width="12.5703125" style="548" customWidth="1"/>
    <col min="3342" max="3585" width="9.140625" style="548"/>
    <col min="3586" max="3586" width="57.140625" style="548" customWidth="1"/>
    <col min="3587" max="3587" width="44.42578125" style="548" customWidth="1"/>
    <col min="3588" max="3588" width="29" style="548" customWidth="1"/>
    <col min="3589" max="3589" width="32.28515625" style="548" customWidth="1"/>
    <col min="3590" max="3590" width="18.7109375" style="548" customWidth="1"/>
    <col min="3591" max="3591" width="24" style="548" customWidth="1"/>
    <col min="3592" max="3592" width="11.28515625" style="548" bestFit="1" customWidth="1"/>
    <col min="3593" max="3593" width="9.140625" style="548"/>
    <col min="3594" max="3594" width="14" style="548" customWidth="1"/>
    <col min="3595" max="3595" width="13" style="548" customWidth="1"/>
    <col min="3596" max="3596" width="16.7109375" style="548" customWidth="1"/>
    <col min="3597" max="3597" width="12.5703125" style="548" customWidth="1"/>
    <col min="3598" max="3841" width="9.140625" style="548"/>
    <col min="3842" max="3842" width="57.140625" style="548" customWidth="1"/>
    <col min="3843" max="3843" width="44.42578125" style="548" customWidth="1"/>
    <col min="3844" max="3844" width="29" style="548" customWidth="1"/>
    <col min="3845" max="3845" width="32.28515625" style="548" customWidth="1"/>
    <col min="3846" max="3846" width="18.7109375" style="548" customWidth="1"/>
    <col min="3847" max="3847" width="24" style="548" customWidth="1"/>
    <col min="3848" max="3848" width="11.28515625" style="548" bestFit="1" customWidth="1"/>
    <col min="3849" max="3849" width="9.140625" style="548"/>
    <col min="3850" max="3850" width="14" style="548" customWidth="1"/>
    <col min="3851" max="3851" width="13" style="548" customWidth="1"/>
    <col min="3852" max="3852" width="16.7109375" style="548" customWidth="1"/>
    <col min="3853" max="3853" width="12.5703125" style="548" customWidth="1"/>
    <col min="3854" max="4097" width="9.140625" style="548"/>
    <col min="4098" max="4098" width="57.140625" style="548" customWidth="1"/>
    <col min="4099" max="4099" width="44.42578125" style="548" customWidth="1"/>
    <col min="4100" max="4100" width="29" style="548" customWidth="1"/>
    <col min="4101" max="4101" width="32.28515625" style="548" customWidth="1"/>
    <col min="4102" max="4102" width="18.7109375" style="548" customWidth="1"/>
    <col min="4103" max="4103" width="24" style="548" customWidth="1"/>
    <col min="4104" max="4104" width="11.28515625" style="548" bestFit="1" customWidth="1"/>
    <col min="4105" max="4105" width="9.140625" style="548"/>
    <col min="4106" max="4106" width="14" style="548" customWidth="1"/>
    <col min="4107" max="4107" width="13" style="548" customWidth="1"/>
    <col min="4108" max="4108" width="16.7109375" style="548" customWidth="1"/>
    <col min="4109" max="4109" width="12.5703125" style="548" customWidth="1"/>
    <col min="4110" max="4353" width="9.140625" style="548"/>
    <col min="4354" max="4354" width="57.140625" style="548" customWidth="1"/>
    <col min="4355" max="4355" width="44.42578125" style="548" customWidth="1"/>
    <col min="4356" max="4356" width="29" style="548" customWidth="1"/>
    <col min="4357" max="4357" width="32.28515625" style="548" customWidth="1"/>
    <col min="4358" max="4358" width="18.7109375" style="548" customWidth="1"/>
    <col min="4359" max="4359" width="24" style="548" customWidth="1"/>
    <col min="4360" max="4360" width="11.28515625" style="548" bestFit="1" customWidth="1"/>
    <col min="4361" max="4361" width="9.140625" style="548"/>
    <col min="4362" max="4362" width="14" style="548" customWidth="1"/>
    <col min="4363" max="4363" width="13" style="548" customWidth="1"/>
    <col min="4364" max="4364" width="16.7109375" style="548" customWidth="1"/>
    <col min="4365" max="4365" width="12.5703125" style="548" customWidth="1"/>
    <col min="4366" max="4609" width="9.140625" style="548"/>
    <col min="4610" max="4610" width="57.140625" style="548" customWidth="1"/>
    <col min="4611" max="4611" width="44.42578125" style="548" customWidth="1"/>
    <col min="4612" max="4612" width="29" style="548" customWidth="1"/>
    <col min="4613" max="4613" width="32.28515625" style="548" customWidth="1"/>
    <col min="4614" max="4614" width="18.7109375" style="548" customWidth="1"/>
    <col min="4615" max="4615" width="24" style="548" customWidth="1"/>
    <col min="4616" max="4616" width="11.28515625" style="548" bestFit="1" customWidth="1"/>
    <col min="4617" max="4617" width="9.140625" style="548"/>
    <col min="4618" max="4618" width="14" style="548" customWidth="1"/>
    <col min="4619" max="4619" width="13" style="548" customWidth="1"/>
    <col min="4620" max="4620" width="16.7109375" style="548" customWidth="1"/>
    <col min="4621" max="4621" width="12.5703125" style="548" customWidth="1"/>
    <col min="4622" max="4865" width="9.140625" style="548"/>
    <col min="4866" max="4866" width="57.140625" style="548" customWidth="1"/>
    <col min="4867" max="4867" width="44.42578125" style="548" customWidth="1"/>
    <col min="4868" max="4868" width="29" style="548" customWidth="1"/>
    <col min="4869" max="4869" width="32.28515625" style="548" customWidth="1"/>
    <col min="4870" max="4870" width="18.7109375" style="548" customWidth="1"/>
    <col min="4871" max="4871" width="24" style="548" customWidth="1"/>
    <col min="4872" max="4872" width="11.28515625" style="548" bestFit="1" customWidth="1"/>
    <col min="4873" max="4873" width="9.140625" style="548"/>
    <col min="4874" max="4874" width="14" style="548" customWidth="1"/>
    <col min="4875" max="4875" width="13" style="548" customWidth="1"/>
    <col min="4876" max="4876" width="16.7109375" style="548" customWidth="1"/>
    <col min="4877" max="4877" width="12.5703125" style="548" customWidth="1"/>
    <col min="4878" max="5121" width="9.140625" style="548"/>
    <col min="5122" max="5122" width="57.140625" style="548" customWidth="1"/>
    <col min="5123" max="5123" width="44.42578125" style="548" customWidth="1"/>
    <col min="5124" max="5124" width="29" style="548" customWidth="1"/>
    <col min="5125" max="5125" width="32.28515625" style="548" customWidth="1"/>
    <col min="5126" max="5126" width="18.7109375" style="548" customWidth="1"/>
    <col min="5127" max="5127" width="24" style="548" customWidth="1"/>
    <col min="5128" max="5128" width="11.28515625" style="548" bestFit="1" customWidth="1"/>
    <col min="5129" max="5129" width="9.140625" style="548"/>
    <col min="5130" max="5130" width="14" style="548" customWidth="1"/>
    <col min="5131" max="5131" width="13" style="548" customWidth="1"/>
    <col min="5132" max="5132" width="16.7109375" style="548" customWidth="1"/>
    <col min="5133" max="5133" width="12.5703125" style="548" customWidth="1"/>
    <col min="5134" max="5377" width="9.140625" style="548"/>
    <col min="5378" max="5378" width="57.140625" style="548" customWidth="1"/>
    <col min="5379" max="5379" width="44.42578125" style="548" customWidth="1"/>
    <col min="5380" max="5380" width="29" style="548" customWidth="1"/>
    <col min="5381" max="5381" width="32.28515625" style="548" customWidth="1"/>
    <col min="5382" max="5382" width="18.7109375" style="548" customWidth="1"/>
    <col min="5383" max="5383" width="24" style="548" customWidth="1"/>
    <col min="5384" max="5384" width="11.28515625" style="548" bestFit="1" customWidth="1"/>
    <col min="5385" max="5385" width="9.140625" style="548"/>
    <col min="5386" max="5386" width="14" style="548" customWidth="1"/>
    <col min="5387" max="5387" width="13" style="548" customWidth="1"/>
    <col min="5388" max="5388" width="16.7109375" style="548" customWidth="1"/>
    <col min="5389" max="5389" width="12.5703125" style="548" customWidth="1"/>
    <col min="5390" max="5633" width="9.140625" style="548"/>
    <col min="5634" max="5634" width="57.140625" style="548" customWidth="1"/>
    <col min="5635" max="5635" width="44.42578125" style="548" customWidth="1"/>
    <col min="5636" max="5636" width="29" style="548" customWidth="1"/>
    <col min="5637" max="5637" width="32.28515625" style="548" customWidth="1"/>
    <col min="5638" max="5638" width="18.7109375" style="548" customWidth="1"/>
    <col min="5639" max="5639" width="24" style="548" customWidth="1"/>
    <col min="5640" max="5640" width="11.28515625" style="548" bestFit="1" customWidth="1"/>
    <col min="5641" max="5641" width="9.140625" style="548"/>
    <col min="5642" max="5642" width="14" style="548" customWidth="1"/>
    <col min="5643" max="5643" width="13" style="548" customWidth="1"/>
    <col min="5644" max="5644" width="16.7109375" style="548" customWidth="1"/>
    <col min="5645" max="5645" width="12.5703125" style="548" customWidth="1"/>
    <col min="5646" max="5889" width="9.140625" style="548"/>
    <col min="5890" max="5890" width="57.140625" style="548" customWidth="1"/>
    <col min="5891" max="5891" width="44.42578125" style="548" customWidth="1"/>
    <col min="5892" max="5892" width="29" style="548" customWidth="1"/>
    <col min="5893" max="5893" width="32.28515625" style="548" customWidth="1"/>
    <col min="5894" max="5894" width="18.7109375" style="548" customWidth="1"/>
    <col min="5895" max="5895" width="24" style="548" customWidth="1"/>
    <col min="5896" max="5896" width="11.28515625" style="548" bestFit="1" customWidth="1"/>
    <col min="5897" max="5897" width="9.140625" style="548"/>
    <col min="5898" max="5898" width="14" style="548" customWidth="1"/>
    <col min="5899" max="5899" width="13" style="548" customWidth="1"/>
    <col min="5900" max="5900" width="16.7109375" style="548" customWidth="1"/>
    <col min="5901" max="5901" width="12.5703125" style="548" customWidth="1"/>
    <col min="5902" max="6145" width="9.140625" style="548"/>
    <col min="6146" max="6146" width="57.140625" style="548" customWidth="1"/>
    <col min="6147" max="6147" width="44.42578125" style="548" customWidth="1"/>
    <col min="6148" max="6148" width="29" style="548" customWidth="1"/>
    <col min="6149" max="6149" width="32.28515625" style="548" customWidth="1"/>
    <col min="6150" max="6150" width="18.7109375" style="548" customWidth="1"/>
    <col min="6151" max="6151" width="24" style="548" customWidth="1"/>
    <col min="6152" max="6152" width="11.28515625" style="548" bestFit="1" customWidth="1"/>
    <col min="6153" max="6153" width="9.140625" style="548"/>
    <col min="6154" max="6154" width="14" style="548" customWidth="1"/>
    <col min="6155" max="6155" width="13" style="548" customWidth="1"/>
    <col min="6156" max="6156" width="16.7109375" style="548" customWidth="1"/>
    <col min="6157" max="6157" width="12.5703125" style="548" customWidth="1"/>
    <col min="6158" max="6401" width="9.140625" style="548"/>
    <col min="6402" max="6402" width="57.140625" style="548" customWidth="1"/>
    <col min="6403" max="6403" width="44.42578125" style="548" customWidth="1"/>
    <col min="6404" max="6404" width="29" style="548" customWidth="1"/>
    <col min="6405" max="6405" width="32.28515625" style="548" customWidth="1"/>
    <col min="6406" max="6406" width="18.7109375" style="548" customWidth="1"/>
    <col min="6407" max="6407" width="24" style="548" customWidth="1"/>
    <col min="6408" max="6408" width="11.28515625" style="548" bestFit="1" customWidth="1"/>
    <col min="6409" max="6409" width="9.140625" style="548"/>
    <col min="6410" max="6410" width="14" style="548" customWidth="1"/>
    <col min="6411" max="6411" width="13" style="548" customWidth="1"/>
    <col min="6412" max="6412" width="16.7109375" style="548" customWidth="1"/>
    <col min="6413" max="6413" width="12.5703125" style="548" customWidth="1"/>
    <col min="6414" max="6657" width="9.140625" style="548"/>
    <col min="6658" max="6658" width="57.140625" style="548" customWidth="1"/>
    <col min="6659" max="6659" width="44.42578125" style="548" customWidth="1"/>
    <col min="6660" max="6660" width="29" style="548" customWidth="1"/>
    <col min="6661" max="6661" width="32.28515625" style="548" customWidth="1"/>
    <col min="6662" max="6662" width="18.7109375" style="548" customWidth="1"/>
    <col min="6663" max="6663" width="24" style="548" customWidth="1"/>
    <col min="6664" max="6664" width="11.28515625" style="548" bestFit="1" customWidth="1"/>
    <col min="6665" max="6665" width="9.140625" style="548"/>
    <col min="6666" max="6666" width="14" style="548" customWidth="1"/>
    <col min="6667" max="6667" width="13" style="548" customWidth="1"/>
    <col min="6668" max="6668" width="16.7109375" style="548" customWidth="1"/>
    <col min="6669" max="6669" width="12.5703125" style="548" customWidth="1"/>
    <col min="6670" max="6913" width="9.140625" style="548"/>
    <col min="6914" max="6914" width="57.140625" style="548" customWidth="1"/>
    <col min="6915" max="6915" width="44.42578125" style="548" customWidth="1"/>
    <col min="6916" max="6916" width="29" style="548" customWidth="1"/>
    <col min="6917" max="6917" width="32.28515625" style="548" customWidth="1"/>
    <col min="6918" max="6918" width="18.7109375" style="548" customWidth="1"/>
    <col min="6919" max="6919" width="24" style="548" customWidth="1"/>
    <col min="6920" max="6920" width="11.28515625" style="548" bestFit="1" customWidth="1"/>
    <col min="6921" max="6921" width="9.140625" style="548"/>
    <col min="6922" max="6922" width="14" style="548" customWidth="1"/>
    <col min="6923" max="6923" width="13" style="548" customWidth="1"/>
    <col min="6924" max="6924" width="16.7109375" style="548" customWidth="1"/>
    <col min="6925" max="6925" width="12.5703125" style="548" customWidth="1"/>
    <col min="6926" max="7169" width="9.140625" style="548"/>
    <col min="7170" max="7170" width="57.140625" style="548" customWidth="1"/>
    <col min="7171" max="7171" width="44.42578125" style="548" customWidth="1"/>
    <col min="7172" max="7172" width="29" style="548" customWidth="1"/>
    <col min="7173" max="7173" width="32.28515625" style="548" customWidth="1"/>
    <col min="7174" max="7174" width="18.7109375" style="548" customWidth="1"/>
    <col min="7175" max="7175" width="24" style="548" customWidth="1"/>
    <col min="7176" max="7176" width="11.28515625" style="548" bestFit="1" customWidth="1"/>
    <col min="7177" max="7177" width="9.140625" style="548"/>
    <col min="7178" max="7178" width="14" style="548" customWidth="1"/>
    <col min="7179" max="7179" width="13" style="548" customWidth="1"/>
    <col min="7180" max="7180" width="16.7109375" style="548" customWidth="1"/>
    <col min="7181" max="7181" width="12.5703125" style="548" customWidth="1"/>
    <col min="7182" max="7425" width="9.140625" style="548"/>
    <col min="7426" max="7426" width="57.140625" style="548" customWidth="1"/>
    <col min="7427" max="7427" width="44.42578125" style="548" customWidth="1"/>
    <col min="7428" max="7428" width="29" style="548" customWidth="1"/>
    <col min="7429" max="7429" width="32.28515625" style="548" customWidth="1"/>
    <col min="7430" max="7430" width="18.7109375" style="548" customWidth="1"/>
    <col min="7431" max="7431" width="24" style="548" customWidth="1"/>
    <col min="7432" max="7432" width="11.28515625" style="548" bestFit="1" customWidth="1"/>
    <col min="7433" max="7433" width="9.140625" style="548"/>
    <col min="7434" max="7434" width="14" style="548" customWidth="1"/>
    <col min="7435" max="7435" width="13" style="548" customWidth="1"/>
    <col min="7436" max="7436" width="16.7109375" style="548" customWidth="1"/>
    <col min="7437" max="7437" width="12.5703125" style="548" customWidth="1"/>
    <col min="7438" max="7681" width="9.140625" style="548"/>
    <col min="7682" max="7682" width="57.140625" style="548" customWidth="1"/>
    <col min="7683" max="7683" width="44.42578125" style="548" customWidth="1"/>
    <col min="7684" max="7684" width="29" style="548" customWidth="1"/>
    <col min="7685" max="7685" width="32.28515625" style="548" customWidth="1"/>
    <col min="7686" max="7686" width="18.7109375" style="548" customWidth="1"/>
    <col min="7687" max="7687" width="24" style="548" customWidth="1"/>
    <col min="7688" max="7688" width="11.28515625" style="548" bestFit="1" customWidth="1"/>
    <col min="7689" max="7689" width="9.140625" style="548"/>
    <col min="7690" max="7690" width="14" style="548" customWidth="1"/>
    <col min="7691" max="7691" width="13" style="548" customWidth="1"/>
    <col min="7692" max="7692" width="16.7109375" style="548" customWidth="1"/>
    <col min="7693" max="7693" width="12.5703125" style="548" customWidth="1"/>
    <col min="7694" max="7937" width="9.140625" style="548"/>
    <col min="7938" max="7938" width="57.140625" style="548" customWidth="1"/>
    <col min="7939" max="7939" width="44.42578125" style="548" customWidth="1"/>
    <col min="7940" max="7940" width="29" style="548" customWidth="1"/>
    <col min="7941" max="7941" width="32.28515625" style="548" customWidth="1"/>
    <col min="7942" max="7942" width="18.7109375" style="548" customWidth="1"/>
    <col min="7943" max="7943" width="24" style="548" customWidth="1"/>
    <col min="7944" max="7944" width="11.28515625" style="548" bestFit="1" customWidth="1"/>
    <col min="7945" max="7945" width="9.140625" style="548"/>
    <col min="7946" max="7946" width="14" style="548" customWidth="1"/>
    <col min="7947" max="7947" width="13" style="548" customWidth="1"/>
    <col min="7948" max="7948" width="16.7109375" style="548" customWidth="1"/>
    <col min="7949" max="7949" width="12.5703125" style="548" customWidth="1"/>
    <col min="7950" max="8193" width="9.140625" style="548"/>
    <col min="8194" max="8194" width="57.140625" style="548" customWidth="1"/>
    <col min="8195" max="8195" width="44.42578125" style="548" customWidth="1"/>
    <col min="8196" max="8196" width="29" style="548" customWidth="1"/>
    <col min="8197" max="8197" width="32.28515625" style="548" customWidth="1"/>
    <col min="8198" max="8198" width="18.7109375" style="548" customWidth="1"/>
    <col min="8199" max="8199" width="24" style="548" customWidth="1"/>
    <col min="8200" max="8200" width="11.28515625" style="548" bestFit="1" customWidth="1"/>
    <col min="8201" max="8201" width="9.140625" style="548"/>
    <col min="8202" max="8202" width="14" style="548" customWidth="1"/>
    <col min="8203" max="8203" width="13" style="548" customWidth="1"/>
    <col min="8204" max="8204" width="16.7109375" style="548" customWidth="1"/>
    <col min="8205" max="8205" width="12.5703125" style="548" customWidth="1"/>
    <col min="8206" max="8449" width="9.140625" style="548"/>
    <col min="8450" max="8450" width="57.140625" style="548" customWidth="1"/>
    <col min="8451" max="8451" width="44.42578125" style="548" customWidth="1"/>
    <col min="8452" max="8452" width="29" style="548" customWidth="1"/>
    <col min="8453" max="8453" width="32.28515625" style="548" customWidth="1"/>
    <col min="8454" max="8454" width="18.7109375" style="548" customWidth="1"/>
    <col min="8455" max="8455" width="24" style="548" customWidth="1"/>
    <col min="8456" max="8456" width="11.28515625" style="548" bestFit="1" customWidth="1"/>
    <col min="8457" max="8457" width="9.140625" style="548"/>
    <col min="8458" max="8458" width="14" style="548" customWidth="1"/>
    <col min="8459" max="8459" width="13" style="548" customWidth="1"/>
    <col min="8460" max="8460" width="16.7109375" style="548" customWidth="1"/>
    <col min="8461" max="8461" width="12.5703125" style="548" customWidth="1"/>
    <col min="8462" max="8705" width="9.140625" style="548"/>
    <col min="8706" max="8706" width="57.140625" style="548" customWidth="1"/>
    <col min="8707" max="8707" width="44.42578125" style="548" customWidth="1"/>
    <col min="8708" max="8708" width="29" style="548" customWidth="1"/>
    <col min="8709" max="8709" width="32.28515625" style="548" customWidth="1"/>
    <col min="8710" max="8710" width="18.7109375" style="548" customWidth="1"/>
    <col min="8711" max="8711" width="24" style="548" customWidth="1"/>
    <col min="8712" max="8712" width="11.28515625" style="548" bestFit="1" customWidth="1"/>
    <col min="8713" max="8713" width="9.140625" style="548"/>
    <col min="8714" max="8714" width="14" style="548" customWidth="1"/>
    <col min="8715" max="8715" width="13" style="548" customWidth="1"/>
    <col min="8716" max="8716" width="16.7109375" style="548" customWidth="1"/>
    <col min="8717" max="8717" width="12.5703125" style="548" customWidth="1"/>
    <col min="8718" max="8961" width="9.140625" style="548"/>
    <col min="8962" max="8962" width="57.140625" style="548" customWidth="1"/>
    <col min="8963" max="8963" width="44.42578125" style="548" customWidth="1"/>
    <col min="8964" max="8964" width="29" style="548" customWidth="1"/>
    <col min="8965" max="8965" width="32.28515625" style="548" customWidth="1"/>
    <col min="8966" max="8966" width="18.7109375" style="548" customWidth="1"/>
    <col min="8967" max="8967" width="24" style="548" customWidth="1"/>
    <col min="8968" max="8968" width="11.28515625" style="548" bestFit="1" customWidth="1"/>
    <col min="8969" max="8969" width="9.140625" style="548"/>
    <col min="8970" max="8970" width="14" style="548" customWidth="1"/>
    <col min="8971" max="8971" width="13" style="548" customWidth="1"/>
    <col min="8972" max="8972" width="16.7109375" style="548" customWidth="1"/>
    <col min="8973" max="8973" width="12.5703125" style="548" customWidth="1"/>
    <col min="8974" max="9217" width="9.140625" style="548"/>
    <col min="9218" max="9218" width="57.140625" style="548" customWidth="1"/>
    <col min="9219" max="9219" width="44.42578125" style="548" customWidth="1"/>
    <col min="9220" max="9220" width="29" style="548" customWidth="1"/>
    <col min="9221" max="9221" width="32.28515625" style="548" customWidth="1"/>
    <col min="9222" max="9222" width="18.7109375" style="548" customWidth="1"/>
    <col min="9223" max="9223" width="24" style="548" customWidth="1"/>
    <col min="9224" max="9224" width="11.28515625" style="548" bestFit="1" customWidth="1"/>
    <col min="9225" max="9225" width="9.140625" style="548"/>
    <col min="9226" max="9226" width="14" style="548" customWidth="1"/>
    <col min="9227" max="9227" width="13" style="548" customWidth="1"/>
    <col min="9228" max="9228" width="16.7109375" style="548" customWidth="1"/>
    <col min="9229" max="9229" width="12.5703125" style="548" customWidth="1"/>
    <col min="9230" max="9473" width="9.140625" style="548"/>
    <col min="9474" max="9474" width="57.140625" style="548" customWidth="1"/>
    <col min="9475" max="9475" width="44.42578125" style="548" customWidth="1"/>
    <col min="9476" max="9476" width="29" style="548" customWidth="1"/>
    <col min="9477" max="9477" width="32.28515625" style="548" customWidth="1"/>
    <col min="9478" max="9478" width="18.7109375" style="548" customWidth="1"/>
    <col min="9479" max="9479" width="24" style="548" customWidth="1"/>
    <col min="9480" max="9480" width="11.28515625" style="548" bestFit="1" customWidth="1"/>
    <col min="9481" max="9481" width="9.140625" style="548"/>
    <col min="9482" max="9482" width="14" style="548" customWidth="1"/>
    <col min="9483" max="9483" width="13" style="548" customWidth="1"/>
    <col min="9484" max="9484" width="16.7109375" style="548" customWidth="1"/>
    <col min="9485" max="9485" width="12.5703125" style="548" customWidth="1"/>
    <col min="9486" max="9729" width="9.140625" style="548"/>
    <col min="9730" max="9730" width="57.140625" style="548" customWidth="1"/>
    <col min="9731" max="9731" width="44.42578125" style="548" customWidth="1"/>
    <col min="9732" max="9732" width="29" style="548" customWidth="1"/>
    <col min="9733" max="9733" width="32.28515625" style="548" customWidth="1"/>
    <col min="9734" max="9734" width="18.7109375" style="548" customWidth="1"/>
    <col min="9735" max="9735" width="24" style="548" customWidth="1"/>
    <col min="9736" max="9736" width="11.28515625" style="548" bestFit="1" customWidth="1"/>
    <col min="9737" max="9737" width="9.140625" style="548"/>
    <col min="9738" max="9738" width="14" style="548" customWidth="1"/>
    <col min="9739" max="9739" width="13" style="548" customWidth="1"/>
    <col min="9740" max="9740" width="16.7109375" style="548" customWidth="1"/>
    <col min="9741" max="9741" width="12.5703125" style="548" customWidth="1"/>
    <col min="9742" max="9985" width="9.140625" style="548"/>
    <col min="9986" max="9986" width="57.140625" style="548" customWidth="1"/>
    <col min="9987" max="9987" width="44.42578125" style="548" customWidth="1"/>
    <col min="9988" max="9988" width="29" style="548" customWidth="1"/>
    <col min="9989" max="9989" width="32.28515625" style="548" customWidth="1"/>
    <col min="9990" max="9990" width="18.7109375" style="548" customWidth="1"/>
    <col min="9991" max="9991" width="24" style="548" customWidth="1"/>
    <col min="9992" max="9992" width="11.28515625" style="548" bestFit="1" customWidth="1"/>
    <col min="9993" max="9993" width="9.140625" style="548"/>
    <col min="9994" max="9994" width="14" style="548" customWidth="1"/>
    <col min="9995" max="9995" width="13" style="548" customWidth="1"/>
    <col min="9996" max="9996" width="16.7109375" style="548" customWidth="1"/>
    <col min="9997" max="9997" width="12.5703125" style="548" customWidth="1"/>
    <col min="9998" max="10241" width="9.140625" style="548"/>
    <col min="10242" max="10242" width="57.140625" style="548" customWidth="1"/>
    <col min="10243" max="10243" width="44.42578125" style="548" customWidth="1"/>
    <col min="10244" max="10244" width="29" style="548" customWidth="1"/>
    <col min="10245" max="10245" width="32.28515625" style="548" customWidth="1"/>
    <col min="10246" max="10246" width="18.7109375" style="548" customWidth="1"/>
    <col min="10247" max="10247" width="24" style="548" customWidth="1"/>
    <col min="10248" max="10248" width="11.28515625" style="548" bestFit="1" customWidth="1"/>
    <col min="10249" max="10249" width="9.140625" style="548"/>
    <col min="10250" max="10250" width="14" style="548" customWidth="1"/>
    <col min="10251" max="10251" width="13" style="548" customWidth="1"/>
    <col min="10252" max="10252" width="16.7109375" style="548" customWidth="1"/>
    <col min="10253" max="10253" width="12.5703125" style="548" customWidth="1"/>
    <col min="10254" max="10497" width="9.140625" style="548"/>
    <col min="10498" max="10498" width="57.140625" style="548" customWidth="1"/>
    <col min="10499" max="10499" width="44.42578125" style="548" customWidth="1"/>
    <col min="10500" max="10500" width="29" style="548" customWidth="1"/>
    <col min="10501" max="10501" width="32.28515625" style="548" customWidth="1"/>
    <col min="10502" max="10502" width="18.7109375" style="548" customWidth="1"/>
    <col min="10503" max="10503" width="24" style="548" customWidth="1"/>
    <col min="10504" max="10504" width="11.28515625" style="548" bestFit="1" customWidth="1"/>
    <col min="10505" max="10505" width="9.140625" style="548"/>
    <col min="10506" max="10506" width="14" style="548" customWidth="1"/>
    <col min="10507" max="10507" width="13" style="548" customWidth="1"/>
    <col min="10508" max="10508" width="16.7109375" style="548" customWidth="1"/>
    <col min="10509" max="10509" width="12.5703125" style="548" customWidth="1"/>
    <col min="10510" max="10753" width="9.140625" style="548"/>
    <col min="10754" max="10754" width="57.140625" style="548" customWidth="1"/>
    <col min="10755" max="10755" width="44.42578125" style="548" customWidth="1"/>
    <col min="10756" max="10756" width="29" style="548" customWidth="1"/>
    <col min="10757" max="10757" width="32.28515625" style="548" customWidth="1"/>
    <col min="10758" max="10758" width="18.7109375" style="548" customWidth="1"/>
    <col min="10759" max="10759" width="24" style="548" customWidth="1"/>
    <col min="10760" max="10760" width="11.28515625" style="548" bestFit="1" customWidth="1"/>
    <col min="10761" max="10761" width="9.140625" style="548"/>
    <col min="10762" max="10762" width="14" style="548" customWidth="1"/>
    <col min="10763" max="10763" width="13" style="548" customWidth="1"/>
    <col min="10764" max="10764" width="16.7109375" style="548" customWidth="1"/>
    <col min="10765" max="10765" width="12.5703125" style="548" customWidth="1"/>
    <col min="10766" max="11009" width="9.140625" style="548"/>
    <col min="11010" max="11010" width="57.140625" style="548" customWidth="1"/>
    <col min="11011" max="11011" width="44.42578125" style="548" customWidth="1"/>
    <col min="11012" max="11012" width="29" style="548" customWidth="1"/>
    <col min="11013" max="11013" width="32.28515625" style="548" customWidth="1"/>
    <col min="11014" max="11014" width="18.7109375" style="548" customWidth="1"/>
    <col min="11015" max="11015" width="24" style="548" customWidth="1"/>
    <col min="11016" max="11016" width="11.28515625" style="548" bestFit="1" customWidth="1"/>
    <col min="11017" max="11017" width="9.140625" style="548"/>
    <col min="11018" max="11018" width="14" style="548" customWidth="1"/>
    <col min="11019" max="11019" width="13" style="548" customWidth="1"/>
    <col min="11020" max="11020" width="16.7109375" style="548" customWidth="1"/>
    <col min="11021" max="11021" width="12.5703125" style="548" customWidth="1"/>
    <col min="11022" max="11265" width="9.140625" style="548"/>
    <col min="11266" max="11266" width="57.140625" style="548" customWidth="1"/>
    <col min="11267" max="11267" width="44.42578125" style="548" customWidth="1"/>
    <col min="11268" max="11268" width="29" style="548" customWidth="1"/>
    <col min="11269" max="11269" width="32.28515625" style="548" customWidth="1"/>
    <col min="11270" max="11270" width="18.7109375" style="548" customWidth="1"/>
    <col min="11271" max="11271" width="24" style="548" customWidth="1"/>
    <col min="11272" max="11272" width="11.28515625" style="548" bestFit="1" customWidth="1"/>
    <col min="11273" max="11273" width="9.140625" style="548"/>
    <col min="11274" max="11274" width="14" style="548" customWidth="1"/>
    <col min="11275" max="11275" width="13" style="548" customWidth="1"/>
    <col min="11276" max="11276" width="16.7109375" style="548" customWidth="1"/>
    <col min="11277" max="11277" width="12.5703125" style="548" customWidth="1"/>
    <col min="11278" max="11521" width="9.140625" style="548"/>
    <col min="11522" max="11522" width="57.140625" style="548" customWidth="1"/>
    <col min="11523" max="11523" width="44.42578125" style="548" customWidth="1"/>
    <col min="11524" max="11524" width="29" style="548" customWidth="1"/>
    <col min="11525" max="11525" width="32.28515625" style="548" customWidth="1"/>
    <col min="11526" max="11526" width="18.7109375" style="548" customWidth="1"/>
    <col min="11527" max="11527" width="24" style="548" customWidth="1"/>
    <col min="11528" max="11528" width="11.28515625" style="548" bestFit="1" customWidth="1"/>
    <col min="11529" max="11529" width="9.140625" style="548"/>
    <col min="11530" max="11530" width="14" style="548" customWidth="1"/>
    <col min="11531" max="11531" width="13" style="548" customWidth="1"/>
    <col min="11532" max="11532" width="16.7109375" style="548" customWidth="1"/>
    <col min="11533" max="11533" width="12.5703125" style="548" customWidth="1"/>
    <col min="11534" max="11777" width="9.140625" style="548"/>
    <col min="11778" max="11778" width="57.140625" style="548" customWidth="1"/>
    <col min="11779" max="11779" width="44.42578125" style="548" customWidth="1"/>
    <col min="11780" max="11780" width="29" style="548" customWidth="1"/>
    <col min="11781" max="11781" width="32.28515625" style="548" customWidth="1"/>
    <col min="11782" max="11782" width="18.7109375" style="548" customWidth="1"/>
    <col min="11783" max="11783" width="24" style="548" customWidth="1"/>
    <col min="11784" max="11784" width="11.28515625" style="548" bestFit="1" customWidth="1"/>
    <col min="11785" max="11785" width="9.140625" style="548"/>
    <col min="11786" max="11786" width="14" style="548" customWidth="1"/>
    <col min="11787" max="11787" width="13" style="548" customWidth="1"/>
    <col min="11788" max="11788" width="16.7109375" style="548" customWidth="1"/>
    <col min="11789" max="11789" width="12.5703125" style="548" customWidth="1"/>
    <col min="11790" max="12033" width="9.140625" style="548"/>
    <col min="12034" max="12034" width="57.140625" style="548" customWidth="1"/>
    <col min="12035" max="12035" width="44.42578125" style="548" customWidth="1"/>
    <col min="12036" max="12036" width="29" style="548" customWidth="1"/>
    <col min="12037" max="12037" width="32.28515625" style="548" customWidth="1"/>
    <col min="12038" max="12038" width="18.7109375" style="548" customWidth="1"/>
    <col min="12039" max="12039" width="24" style="548" customWidth="1"/>
    <col min="12040" max="12040" width="11.28515625" style="548" bestFit="1" customWidth="1"/>
    <col min="12041" max="12041" width="9.140625" style="548"/>
    <col min="12042" max="12042" width="14" style="548" customWidth="1"/>
    <col min="12043" max="12043" width="13" style="548" customWidth="1"/>
    <col min="12044" max="12044" width="16.7109375" style="548" customWidth="1"/>
    <col min="12045" max="12045" width="12.5703125" style="548" customWidth="1"/>
    <col min="12046" max="12289" width="9.140625" style="548"/>
    <col min="12290" max="12290" width="57.140625" style="548" customWidth="1"/>
    <col min="12291" max="12291" width="44.42578125" style="548" customWidth="1"/>
    <col min="12292" max="12292" width="29" style="548" customWidth="1"/>
    <col min="12293" max="12293" width="32.28515625" style="548" customWidth="1"/>
    <col min="12294" max="12294" width="18.7109375" style="548" customWidth="1"/>
    <col min="12295" max="12295" width="24" style="548" customWidth="1"/>
    <col min="12296" max="12296" width="11.28515625" style="548" bestFit="1" customWidth="1"/>
    <col min="12297" max="12297" width="9.140625" style="548"/>
    <col min="12298" max="12298" width="14" style="548" customWidth="1"/>
    <col min="12299" max="12299" width="13" style="548" customWidth="1"/>
    <col min="12300" max="12300" width="16.7109375" style="548" customWidth="1"/>
    <col min="12301" max="12301" width="12.5703125" style="548" customWidth="1"/>
    <col min="12302" max="12545" width="9.140625" style="548"/>
    <col min="12546" max="12546" width="57.140625" style="548" customWidth="1"/>
    <col min="12547" max="12547" width="44.42578125" style="548" customWidth="1"/>
    <col min="12548" max="12548" width="29" style="548" customWidth="1"/>
    <col min="12549" max="12549" width="32.28515625" style="548" customWidth="1"/>
    <col min="12550" max="12550" width="18.7109375" style="548" customWidth="1"/>
    <col min="12551" max="12551" width="24" style="548" customWidth="1"/>
    <col min="12552" max="12552" width="11.28515625" style="548" bestFit="1" customWidth="1"/>
    <col min="12553" max="12553" width="9.140625" style="548"/>
    <col min="12554" max="12554" width="14" style="548" customWidth="1"/>
    <col min="12555" max="12555" width="13" style="548" customWidth="1"/>
    <col min="12556" max="12556" width="16.7109375" style="548" customWidth="1"/>
    <col min="12557" max="12557" width="12.5703125" style="548" customWidth="1"/>
    <col min="12558" max="12801" width="9.140625" style="548"/>
    <col min="12802" max="12802" width="57.140625" style="548" customWidth="1"/>
    <col min="12803" max="12803" width="44.42578125" style="548" customWidth="1"/>
    <col min="12804" max="12804" width="29" style="548" customWidth="1"/>
    <col min="12805" max="12805" width="32.28515625" style="548" customWidth="1"/>
    <col min="12806" max="12806" width="18.7109375" style="548" customWidth="1"/>
    <col min="12807" max="12807" width="24" style="548" customWidth="1"/>
    <col min="12808" max="12808" width="11.28515625" style="548" bestFit="1" customWidth="1"/>
    <col min="12809" max="12809" width="9.140625" style="548"/>
    <col min="12810" max="12810" width="14" style="548" customWidth="1"/>
    <col min="12811" max="12811" width="13" style="548" customWidth="1"/>
    <col min="12812" max="12812" width="16.7109375" style="548" customWidth="1"/>
    <col min="12813" max="12813" width="12.5703125" style="548" customWidth="1"/>
    <col min="12814" max="13057" width="9.140625" style="548"/>
    <col min="13058" max="13058" width="57.140625" style="548" customWidth="1"/>
    <col min="13059" max="13059" width="44.42578125" style="548" customWidth="1"/>
    <col min="13060" max="13060" width="29" style="548" customWidth="1"/>
    <col min="13061" max="13061" width="32.28515625" style="548" customWidth="1"/>
    <col min="13062" max="13062" width="18.7109375" style="548" customWidth="1"/>
    <col min="13063" max="13063" width="24" style="548" customWidth="1"/>
    <col min="13064" max="13064" width="11.28515625" style="548" bestFit="1" customWidth="1"/>
    <col min="13065" max="13065" width="9.140625" style="548"/>
    <col min="13066" max="13066" width="14" style="548" customWidth="1"/>
    <col min="13067" max="13067" width="13" style="548" customWidth="1"/>
    <col min="13068" max="13068" width="16.7109375" style="548" customWidth="1"/>
    <col min="13069" max="13069" width="12.5703125" style="548" customWidth="1"/>
    <col min="13070" max="13313" width="9.140625" style="548"/>
    <col min="13314" max="13314" width="57.140625" style="548" customWidth="1"/>
    <col min="13315" max="13315" width="44.42578125" style="548" customWidth="1"/>
    <col min="13316" max="13316" width="29" style="548" customWidth="1"/>
    <col min="13317" max="13317" width="32.28515625" style="548" customWidth="1"/>
    <col min="13318" max="13318" width="18.7109375" style="548" customWidth="1"/>
    <col min="13319" max="13319" width="24" style="548" customWidth="1"/>
    <col min="13320" max="13320" width="11.28515625" style="548" bestFit="1" customWidth="1"/>
    <col min="13321" max="13321" width="9.140625" style="548"/>
    <col min="13322" max="13322" width="14" style="548" customWidth="1"/>
    <col min="13323" max="13323" width="13" style="548" customWidth="1"/>
    <col min="13324" max="13324" width="16.7109375" style="548" customWidth="1"/>
    <col min="13325" max="13325" width="12.5703125" style="548" customWidth="1"/>
    <col min="13326" max="13569" width="9.140625" style="548"/>
    <col min="13570" max="13570" width="57.140625" style="548" customWidth="1"/>
    <col min="13571" max="13571" width="44.42578125" style="548" customWidth="1"/>
    <col min="13572" max="13572" width="29" style="548" customWidth="1"/>
    <col min="13573" max="13573" width="32.28515625" style="548" customWidth="1"/>
    <col min="13574" max="13574" width="18.7109375" style="548" customWidth="1"/>
    <col min="13575" max="13575" width="24" style="548" customWidth="1"/>
    <col min="13576" max="13576" width="11.28515625" style="548" bestFit="1" customWidth="1"/>
    <col min="13577" max="13577" width="9.140625" style="548"/>
    <col min="13578" max="13578" width="14" style="548" customWidth="1"/>
    <col min="13579" max="13579" width="13" style="548" customWidth="1"/>
    <col min="13580" max="13580" width="16.7109375" style="548" customWidth="1"/>
    <col min="13581" max="13581" width="12.5703125" style="548" customWidth="1"/>
    <col min="13582" max="13825" width="9.140625" style="548"/>
    <col min="13826" max="13826" width="57.140625" style="548" customWidth="1"/>
    <col min="13827" max="13827" width="44.42578125" style="548" customWidth="1"/>
    <col min="13828" max="13828" width="29" style="548" customWidth="1"/>
    <col min="13829" max="13829" width="32.28515625" style="548" customWidth="1"/>
    <col min="13830" max="13830" width="18.7109375" style="548" customWidth="1"/>
    <col min="13831" max="13831" width="24" style="548" customWidth="1"/>
    <col min="13832" max="13832" width="11.28515625" style="548" bestFit="1" customWidth="1"/>
    <col min="13833" max="13833" width="9.140625" style="548"/>
    <col min="13834" max="13834" width="14" style="548" customWidth="1"/>
    <col min="13835" max="13835" width="13" style="548" customWidth="1"/>
    <col min="13836" max="13836" width="16.7109375" style="548" customWidth="1"/>
    <col min="13837" max="13837" width="12.5703125" style="548" customWidth="1"/>
    <col min="13838" max="14081" width="9.140625" style="548"/>
    <col min="14082" max="14082" width="57.140625" style="548" customWidth="1"/>
    <col min="14083" max="14083" width="44.42578125" style="548" customWidth="1"/>
    <col min="14084" max="14084" width="29" style="548" customWidth="1"/>
    <col min="14085" max="14085" width="32.28515625" style="548" customWidth="1"/>
    <col min="14086" max="14086" width="18.7109375" style="548" customWidth="1"/>
    <col min="14087" max="14087" width="24" style="548" customWidth="1"/>
    <col min="14088" max="14088" width="11.28515625" style="548" bestFit="1" customWidth="1"/>
    <col min="14089" max="14089" width="9.140625" style="548"/>
    <col min="14090" max="14090" width="14" style="548" customWidth="1"/>
    <col min="14091" max="14091" width="13" style="548" customWidth="1"/>
    <col min="14092" max="14092" width="16.7109375" style="548" customWidth="1"/>
    <col min="14093" max="14093" width="12.5703125" style="548" customWidth="1"/>
    <col min="14094" max="14337" width="9.140625" style="548"/>
    <col min="14338" max="14338" width="57.140625" style="548" customWidth="1"/>
    <col min="14339" max="14339" width="44.42578125" style="548" customWidth="1"/>
    <col min="14340" max="14340" width="29" style="548" customWidth="1"/>
    <col min="14341" max="14341" width="32.28515625" style="548" customWidth="1"/>
    <col min="14342" max="14342" width="18.7109375" style="548" customWidth="1"/>
    <col min="14343" max="14343" width="24" style="548" customWidth="1"/>
    <col min="14344" max="14344" width="11.28515625" style="548" bestFit="1" customWidth="1"/>
    <col min="14345" max="14345" width="9.140625" style="548"/>
    <col min="14346" max="14346" width="14" style="548" customWidth="1"/>
    <col min="14347" max="14347" width="13" style="548" customWidth="1"/>
    <col min="14348" max="14348" width="16.7109375" style="548" customWidth="1"/>
    <col min="14349" max="14349" width="12.5703125" style="548" customWidth="1"/>
    <col min="14350" max="14593" width="9.140625" style="548"/>
    <col min="14594" max="14594" width="57.140625" style="548" customWidth="1"/>
    <col min="14595" max="14595" width="44.42578125" style="548" customWidth="1"/>
    <col min="14596" max="14596" width="29" style="548" customWidth="1"/>
    <col min="14597" max="14597" width="32.28515625" style="548" customWidth="1"/>
    <col min="14598" max="14598" width="18.7109375" style="548" customWidth="1"/>
    <col min="14599" max="14599" width="24" style="548" customWidth="1"/>
    <col min="14600" max="14600" width="11.28515625" style="548" bestFit="1" customWidth="1"/>
    <col min="14601" max="14601" width="9.140625" style="548"/>
    <col min="14602" max="14602" width="14" style="548" customWidth="1"/>
    <col min="14603" max="14603" width="13" style="548" customWidth="1"/>
    <col min="14604" max="14604" width="16.7109375" style="548" customWidth="1"/>
    <col min="14605" max="14605" width="12.5703125" style="548" customWidth="1"/>
    <col min="14606" max="14849" width="9.140625" style="548"/>
    <col min="14850" max="14850" width="57.140625" style="548" customWidth="1"/>
    <col min="14851" max="14851" width="44.42578125" style="548" customWidth="1"/>
    <col min="14852" max="14852" width="29" style="548" customWidth="1"/>
    <col min="14853" max="14853" width="32.28515625" style="548" customWidth="1"/>
    <col min="14854" max="14854" width="18.7109375" style="548" customWidth="1"/>
    <col min="14855" max="14855" width="24" style="548" customWidth="1"/>
    <col min="14856" max="14856" width="11.28515625" style="548" bestFit="1" customWidth="1"/>
    <col min="14857" max="14857" width="9.140625" style="548"/>
    <col min="14858" max="14858" width="14" style="548" customWidth="1"/>
    <col min="14859" max="14859" width="13" style="548" customWidth="1"/>
    <col min="14860" max="14860" width="16.7109375" style="548" customWidth="1"/>
    <col min="14861" max="14861" width="12.5703125" style="548" customWidth="1"/>
    <col min="14862" max="15105" width="9.140625" style="548"/>
    <col min="15106" max="15106" width="57.140625" style="548" customWidth="1"/>
    <col min="15107" max="15107" width="44.42578125" style="548" customWidth="1"/>
    <col min="15108" max="15108" width="29" style="548" customWidth="1"/>
    <col min="15109" max="15109" width="32.28515625" style="548" customWidth="1"/>
    <col min="15110" max="15110" width="18.7109375" style="548" customWidth="1"/>
    <col min="15111" max="15111" width="24" style="548" customWidth="1"/>
    <col min="15112" max="15112" width="11.28515625" style="548" bestFit="1" customWidth="1"/>
    <col min="15113" max="15113" width="9.140625" style="548"/>
    <col min="15114" max="15114" width="14" style="548" customWidth="1"/>
    <col min="15115" max="15115" width="13" style="548" customWidth="1"/>
    <col min="15116" max="15116" width="16.7109375" style="548" customWidth="1"/>
    <col min="15117" max="15117" width="12.5703125" style="548" customWidth="1"/>
    <col min="15118" max="15361" width="9.140625" style="548"/>
    <col min="15362" max="15362" width="57.140625" style="548" customWidth="1"/>
    <col min="15363" max="15363" width="44.42578125" style="548" customWidth="1"/>
    <col min="15364" max="15364" width="29" style="548" customWidth="1"/>
    <col min="15365" max="15365" width="32.28515625" style="548" customWidth="1"/>
    <col min="15366" max="15366" width="18.7109375" style="548" customWidth="1"/>
    <col min="15367" max="15367" width="24" style="548" customWidth="1"/>
    <col min="15368" max="15368" width="11.28515625" style="548" bestFit="1" customWidth="1"/>
    <col min="15369" max="15369" width="9.140625" style="548"/>
    <col min="15370" max="15370" width="14" style="548" customWidth="1"/>
    <col min="15371" max="15371" width="13" style="548" customWidth="1"/>
    <col min="15372" max="15372" width="16.7109375" style="548" customWidth="1"/>
    <col min="15373" max="15373" width="12.5703125" style="548" customWidth="1"/>
    <col min="15374" max="15617" width="9.140625" style="548"/>
    <col min="15618" max="15618" width="57.140625" style="548" customWidth="1"/>
    <col min="15619" max="15619" width="44.42578125" style="548" customWidth="1"/>
    <col min="15620" max="15620" width="29" style="548" customWidth="1"/>
    <col min="15621" max="15621" width="32.28515625" style="548" customWidth="1"/>
    <col min="15622" max="15622" width="18.7109375" style="548" customWidth="1"/>
    <col min="15623" max="15623" width="24" style="548" customWidth="1"/>
    <col min="15624" max="15624" width="11.28515625" style="548" bestFit="1" customWidth="1"/>
    <col min="15625" max="15625" width="9.140625" style="548"/>
    <col min="15626" max="15626" width="14" style="548" customWidth="1"/>
    <col min="15627" max="15627" width="13" style="548" customWidth="1"/>
    <col min="15628" max="15628" width="16.7109375" style="548" customWidth="1"/>
    <col min="15629" max="15629" width="12.5703125" style="548" customWidth="1"/>
    <col min="15630" max="15873" width="9.140625" style="548"/>
    <col min="15874" max="15874" width="57.140625" style="548" customWidth="1"/>
    <col min="15875" max="15875" width="44.42578125" style="548" customWidth="1"/>
    <col min="15876" max="15876" width="29" style="548" customWidth="1"/>
    <col min="15877" max="15877" width="32.28515625" style="548" customWidth="1"/>
    <col min="15878" max="15878" width="18.7109375" style="548" customWidth="1"/>
    <col min="15879" max="15879" width="24" style="548" customWidth="1"/>
    <col min="15880" max="15880" width="11.28515625" style="548" bestFit="1" customWidth="1"/>
    <col min="15881" max="15881" width="9.140625" style="548"/>
    <col min="15882" max="15882" width="14" style="548" customWidth="1"/>
    <col min="15883" max="15883" width="13" style="548" customWidth="1"/>
    <col min="15884" max="15884" width="16.7109375" style="548" customWidth="1"/>
    <col min="15885" max="15885" width="12.5703125" style="548" customWidth="1"/>
    <col min="15886" max="16129" width="9.140625" style="548"/>
    <col min="16130" max="16130" width="57.140625" style="548" customWidth="1"/>
    <col min="16131" max="16131" width="44.42578125" style="548" customWidth="1"/>
    <col min="16132" max="16132" width="29" style="548" customWidth="1"/>
    <col min="16133" max="16133" width="32.28515625" style="548" customWidth="1"/>
    <col min="16134" max="16134" width="18.7109375" style="548" customWidth="1"/>
    <col min="16135" max="16135" width="24" style="548" customWidth="1"/>
    <col min="16136" max="16136" width="11.28515625" style="548" bestFit="1" customWidth="1"/>
    <col min="16137" max="16137" width="9.140625" style="548"/>
    <col min="16138" max="16138" width="14" style="548" customWidth="1"/>
    <col min="16139" max="16139" width="13" style="548" customWidth="1"/>
    <col min="16140" max="16140" width="16.7109375" style="548" customWidth="1"/>
    <col min="16141" max="16141" width="12.5703125" style="548" customWidth="1"/>
    <col min="16142" max="16384" width="9.140625" style="548"/>
  </cols>
  <sheetData>
    <row r="2" spans="2:6">
      <c r="B2" s="871" t="s">
        <v>1335</v>
      </c>
    </row>
    <row r="3" spans="2:6" ht="15.75">
      <c r="B3" s="546" t="s">
        <v>779</v>
      </c>
      <c r="C3" s="547"/>
      <c r="E3" s="869" t="s">
        <v>1334</v>
      </c>
      <c r="F3" s="711" t="e">
        <f>'Score Summary'!E2</f>
        <v>#DIV/0!</v>
      </c>
    </row>
    <row r="4" spans="2:6">
      <c r="B4" s="546" t="s">
        <v>1281</v>
      </c>
      <c r="C4" s="549"/>
      <c r="E4" s="712" t="s">
        <v>1321</v>
      </c>
      <c r="F4" s="713" t="e">
        <f>IF(F3&lt;31,"Risk Score 2",IF(F3&lt;33,"Risk Score 1","Risk Score 0"))</f>
        <v>#DIV/0!</v>
      </c>
    </row>
    <row r="5" spans="2:6">
      <c r="B5" s="741" t="s">
        <v>1096</v>
      </c>
      <c r="C5" s="742"/>
      <c r="E5" s="754" t="s">
        <v>1322</v>
      </c>
      <c r="F5" s="714" t="s">
        <v>1280</v>
      </c>
    </row>
    <row r="6" spans="2:6">
      <c r="B6" s="743" t="s">
        <v>1305</v>
      </c>
      <c r="C6" s="563"/>
      <c r="F6" s="740"/>
    </row>
    <row r="7" spans="2:6">
      <c r="B7" s="743" t="s">
        <v>1306</v>
      </c>
      <c r="C7" s="563"/>
      <c r="E7" s="744"/>
      <c r="F7" s="740"/>
    </row>
    <row r="9" spans="2:6">
      <c r="B9" s="870" t="s">
        <v>1088</v>
      </c>
    </row>
    <row r="10" spans="2:6">
      <c r="B10" s="553" t="s">
        <v>1105</v>
      </c>
      <c r="C10" s="554"/>
      <c r="D10" s="555" t="s">
        <v>783</v>
      </c>
      <c r="E10" s="554"/>
    </row>
    <row r="11" spans="2:6">
      <c r="B11" s="555" t="s">
        <v>1089</v>
      </c>
      <c r="C11" s="557"/>
      <c r="D11" s="555" t="s">
        <v>1091</v>
      </c>
      <c r="E11" s="880"/>
    </row>
    <row r="12" spans="2:6">
      <c r="B12" s="555" t="s">
        <v>914</v>
      </c>
      <c r="C12" s="557"/>
      <c r="D12" s="555" t="s">
        <v>1092</v>
      </c>
      <c r="E12" s="881"/>
    </row>
    <row r="13" spans="2:6">
      <c r="B13" s="555" t="s">
        <v>1325</v>
      </c>
      <c r="C13" s="559"/>
      <c r="D13" s="555" t="s">
        <v>1093</v>
      </c>
      <c r="E13" s="881"/>
    </row>
    <row r="14" spans="2:6">
      <c r="B14" s="555" t="s">
        <v>1095</v>
      </c>
      <c r="C14" s="759" t="e">
        <f>'Cashflow and Elligibility'!H69</f>
        <v>#N/A</v>
      </c>
      <c r="D14" s="757" t="s">
        <v>1065</v>
      </c>
      <c r="E14" s="881"/>
    </row>
    <row r="15" spans="2:6">
      <c r="B15" s="555" t="s">
        <v>1326</v>
      </c>
      <c r="C15" s="758" t="e">
        <f>'Cashflow and Elligibility'!G69</f>
        <v>#N/A</v>
      </c>
      <c r="D15" s="555" t="s">
        <v>1327</v>
      </c>
      <c r="E15" s="882" t="e">
        <f>'Cashflow and Elligibility'!G84</f>
        <v>#NUM!</v>
      </c>
    </row>
    <row r="16" spans="2:6">
      <c r="B16" s="556" t="s">
        <v>1109</v>
      </c>
      <c r="C16" s="556"/>
      <c r="D16" s="556" t="s">
        <v>1066</v>
      </c>
      <c r="E16" s="554"/>
    </row>
    <row r="17" spans="2:5">
      <c r="B17" s="599"/>
      <c r="C17" s="599"/>
      <c r="D17" s="599"/>
      <c r="E17" s="599"/>
    </row>
    <row r="18" spans="2:5">
      <c r="B18" s="870" t="s">
        <v>1087</v>
      </c>
    </row>
    <row r="19" spans="2:5">
      <c r="B19" s="951"/>
      <c r="C19" s="952"/>
      <c r="D19" s="952"/>
      <c r="E19" s="953"/>
    </row>
    <row r="20" spans="2:5" hidden="1">
      <c r="B20" s="954"/>
      <c r="C20" s="955"/>
      <c r="D20" s="955"/>
      <c r="E20" s="956"/>
    </row>
    <row r="21" spans="2:5" hidden="1">
      <c r="B21" s="954"/>
      <c r="C21" s="955"/>
      <c r="D21" s="955"/>
      <c r="E21" s="956"/>
    </row>
    <row r="22" spans="2:5" hidden="1">
      <c r="B22" s="954"/>
      <c r="C22" s="955"/>
      <c r="D22" s="955"/>
      <c r="E22" s="956"/>
    </row>
    <row r="23" spans="2:5">
      <c r="B23" s="957"/>
      <c r="C23" s="958"/>
      <c r="D23" s="958"/>
      <c r="E23" s="959"/>
    </row>
    <row r="25" spans="2:5" hidden="1">
      <c r="B25" s="551" t="s">
        <v>1098</v>
      </c>
    </row>
    <row r="26" spans="2:5" hidden="1">
      <c r="B26" s="964" t="s">
        <v>1097</v>
      </c>
      <c r="C26" s="965"/>
      <c r="D26" s="964" t="s">
        <v>1094</v>
      </c>
      <c r="E26" s="965"/>
    </row>
    <row r="27" spans="2:5" hidden="1">
      <c r="B27" s="960"/>
      <c r="C27" s="961"/>
      <c r="D27" s="960"/>
      <c r="E27" s="961"/>
    </row>
    <row r="28" spans="2:5" hidden="1">
      <c r="B28" s="962"/>
      <c r="C28" s="963"/>
      <c r="D28" s="962"/>
      <c r="E28" s="963"/>
    </row>
    <row r="29" spans="2:5" hidden="1">
      <c r="B29" s="962"/>
      <c r="C29" s="963"/>
      <c r="D29" s="962"/>
      <c r="E29" s="963"/>
    </row>
    <row r="30" spans="2:5" hidden="1">
      <c r="B30" s="962"/>
      <c r="C30" s="963"/>
      <c r="D30" s="962"/>
      <c r="E30" s="963"/>
    </row>
    <row r="31" spans="2:5" hidden="1"/>
    <row r="32" spans="2:5" hidden="1"/>
    <row r="33" spans="2:6">
      <c r="B33" s="933" t="s">
        <v>780</v>
      </c>
      <c r="C33" s="933"/>
      <c r="D33" s="933"/>
      <c r="E33" s="933"/>
      <c r="F33" s="933"/>
    </row>
    <row r="34" spans="2:6">
      <c r="B34" s="560" t="s">
        <v>781</v>
      </c>
      <c r="C34" s="561"/>
      <c r="E34" s="562" t="s">
        <v>948</v>
      </c>
      <c r="F34" s="563"/>
    </row>
    <row r="35" spans="2:6" ht="30">
      <c r="B35" s="564" t="s">
        <v>782</v>
      </c>
      <c r="C35" s="565"/>
      <c r="E35" s="566" t="s">
        <v>789</v>
      </c>
      <c r="F35" s="567"/>
    </row>
    <row r="36" spans="2:6">
      <c r="B36" s="564" t="s">
        <v>783</v>
      </c>
      <c r="C36" s="547"/>
      <c r="E36" s="568" t="s">
        <v>1273</v>
      </c>
      <c r="F36" s="563"/>
    </row>
    <row r="37" spans="2:6">
      <c r="B37" s="569" t="s">
        <v>784</v>
      </c>
      <c r="C37" s="550"/>
      <c r="E37" s="562" t="s">
        <v>790</v>
      </c>
      <c r="F37" s="563"/>
    </row>
    <row r="38" spans="2:6">
      <c r="B38" s="569" t="s">
        <v>786</v>
      </c>
      <c r="C38" s="547"/>
      <c r="E38" s="562" t="s">
        <v>791</v>
      </c>
      <c r="F38" s="570"/>
    </row>
    <row r="39" spans="2:6">
      <c r="B39" s="564" t="s">
        <v>787</v>
      </c>
      <c r="C39" s="547"/>
      <c r="E39" s="562" t="s">
        <v>793</v>
      </c>
      <c r="F39" s="563"/>
    </row>
    <row r="40" spans="2:6">
      <c r="B40" s="564" t="s">
        <v>788</v>
      </c>
      <c r="C40" s="563"/>
      <c r="E40" s="562" t="s">
        <v>794</v>
      </c>
      <c r="F40" s="563"/>
    </row>
    <row r="41" spans="2:6">
      <c r="B41" s="564" t="s">
        <v>929</v>
      </c>
      <c r="C41" s="563"/>
      <c r="E41" s="566" t="s">
        <v>795</v>
      </c>
      <c r="F41" s="571" t="e">
        <f>(F40-F39)/F39</f>
        <v>#DIV/0!</v>
      </c>
    </row>
    <row r="42" spans="2:6">
      <c r="B42" s="569" t="s">
        <v>796</v>
      </c>
      <c r="C42" s="563"/>
      <c r="E42" s="562" t="s">
        <v>801</v>
      </c>
      <c r="F42" s="563"/>
    </row>
    <row r="43" spans="2:6" ht="30">
      <c r="B43" s="569" t="s">
        <v>797</v>
      </c>
      <c r="C43" s="572"/>
      <c r="E43" s="573" t="s">
        <v>803</v>
      </c>
      <c r="F43" s="563"/>
    </row>
    <row r="44" spans="2:6" ht="30">
      <c r="B44" s="569" t="s">
        <v>798</v>
      </c>
      <c r="C44" s="572"/>
      <c r="E44" s="573" t="s">
        <v>804</v>
      </c>
      <c r="F44" s="574"/>
    </row>
    <row r="45" spans="2:6">
      <c r="B45" s="569" t="s">
        <v>799</v>
      </c>
      <c r="C45" s="572"/>
      <c r="E45" s="575" t="s">
        <v>786</v>
      </c>
      <c r="F45" s="570"/>
    </row>
    <row r="46" spans="2:6">
      <c r="B46" s="576" t="s">
        <v>795</v>
      </c>
      <c r="C46" s="571" t="e">
        <f>(C45-C44)/C44</f>
        <v>#DIV/0!</v>
      </c>
      <c r="E46" s="577" t="s">
        <v>808</v>
      </c>
      <c r="F46" s="563"/>
    </row>
    <row r="47" spans="2:6">
      <c r="B47" s="578" t="s">
        <v>800</v>
      </c>
      <c r="C47" s="579"/>
      <c r="E47" s="580" t="s">
        <v>809</v>
      </c>
      <c r="F47" s="581"/>
    </row>
    <row r="48" spans="2:6" ht="30">
      <c r="B48" s="568" t="s">
        <v>1274</v>
      </c>
      <c r="C48" s="563"/>
      <c r="E48" s="582" t="s">
        <v>1279</v>
      </c>
      <c r="F48" s="563"/>
    </row>
    <row r="49" spans="2:6" ht="30">
      <c r="B49" s="583" t="s">
        <v>792</v>
      </c>
      <c r="C49" s="563"/>
      <c r="D49" s="558"/>
      <c r="E49" s="582" t="s">
        <v>1108</v>
      </c>
      <c r="F49" s="584"/>
    </row>
    <row r="50" spans="2:6" ht="15.75" customHeight="1">
      <c r="B50" s="558" t="s">
        <v>1080</v>
      </c>
      <c r="C50" s="937"/>
      <c r="D50" s="938"/>
      <c r="E50" s="938"/>
      <c r="F50" s="939"/>
    </row>
    <row r="51" spans="2:6" ht="39" customHeight="1">
      <c r="B51" s="585" t="s">
        <v>1099</v>
      </c>
      <c r="C51" s="944"/>
      <c r="D51" s="945"/>
      <c r="E51" s="945"/>
      <c r="F51" s="946"/>
    </row>
    <row r="52" spans="2:6" ht="18.75" customHeight="1">
      <c r="B52" s="586" t="s">
        <v>1101</v>
      </c>
      <c r="C52" s="937"/>
      <c r="D52" s="942"/>
      <c r="E52" s="942"/>
      <c r="F52" s="943"/>
    </row>
    <row r="53" spans="2:6" s="588" customFormat="1" ht="18.75" customHeight="1">
      <c r="B53" s="587" t="s">
        <v>1100</v>
      </c>
      <c r="C53" s="937"/>
      <c r="D53" s="942"/>
      <c r="E53" s="942"/>
      <c r="F53" s="943"/>
    </row>
    <row r="54" spans="2:6" s="588" customFormat="1" ht="17.25" customHeight="1">
      <c r="B54" s="589" t="s">
        <v>1074</v>
      </c>
      <c r="C54" s="934"/>
      <c r="D54" s="935"/>
      <c r="E54" s="935"/>
      <c r="F54" s="936"/>
    </row>
    <row r="55" spans="2:6" s="588" customFormat="1" ht="30">
      <c r="B55" s="590" t="s">
        <v>805</v>
      </c>
      <c r="C55" s="950"/>
      <c r="D55" s="950"/>
      <c r="E55" s="950"/>
      <c r="F55" s="950"/>
    </row>
    <row r="56" spans="2:6" ht="33" customHeight="1">
      <c r="B56" s="591" t="s">
        <v>1075</v>
      </c>
      <c r="C56" s="947"/>
      <c r="D56" s="948"/>
      <c r="E56" s="948"/>
      <c r="F56" s="949"/>
    </row>
    <row r="57" spans="2:6" ht="19.5" customHeight="1">
      <c r="B57" s="592" t="s">
        <v>806</v>
      </c>
      <c r="C57" s="947"/>
      <c r="D57" s="948"/>
      <c r="E57" s="948"/>
      <c r="F57" s="949"/>
    </row>
    <row r="58" spans="2:6" ht="18" customHeight="1">
      <c r="B58" s="592" t="s">
        <v>807</v>
      </c>
      <c r="C58" s="947"/>
      <c r="D58" s="948"/>
      <c r="E58" s="948"/>
      <c r="F58" s="949"/>
    </row>
    <row r="59" spans="2:6">
      <c r="B59" s="593"/>
      <c r="C59" s="594"/>
      <c r="D59" s="594"/>
      <c r="E59" s="594"/>
      <c r="F59" s="594"/>
    </row>
    <row r="60" spans="2:6">
      <c r="B60" s="595" t="s">
        <v>810</v>
      </c>
      <c r="F60" s="596"/>
    </row>
    <row r="61" spans="2:6">
      <c r="B61" s="597" t="s">
        <v>850</v>
      </c>
      <c r="C61" s="928" t="s">
        <v>831</v>
      </c>
      <c r="D61" s="928"/>
      <c r="E61" s="928"/>
      <c r="F61" s="596"/>
    </row>
    <row r="62" spans="2:6" ht="13.5" customHeight="1">
      <c r="B62" s="598" t="s">
        <v>851</v>
      </c>
      <c r="C62" s="929"/>
      <c r="D62" s="929"/>
      <c r="E62" s="929"/>
      <c r="F62" s="596"/>
    </row>
    <row r="63" spans="2:6">
      <c r="B63" s="598" t="s">
        <v>852</v>
      </c>
      <c r="C63" s="930"/>
      <c r="D63" s="930"/>
      <c r="E63" s="930"/>
      <c r="F63" s="596"/>
    </row>
    <row r="64" spans="2:6">
      <c r="B64" s="598" t="s">
        <v>853</v>
      </c>
      <c r="C64" s="930"/>
      <c r="D64" s="930"/>
      <c r="E64" s="930"/>
      <c r="F64" s="596"/>
    </row>
    <row r="65" spans="1:14">
      <c r="C65" s="548"/>
    </row>
    <row r="66" spans="1:14">
      <c r="B66" s="599"/>
      <c r="C66" s="600"/>
    </row>
    <row r="67" spans="1:14">
      <c r="B67" s="933" t="s">
        <v>822</v>
      </c>
      <c r="C67" s="933"/>
      <c r="D67" s="933"/>
      <c r="E67" s="933"/>
      <c r="F67" s="933"/>
    </row>
    <row r="68" spans="1:14">
      <c r="B68" s="940" t="s">
        <v>949</v>
      </c>
      <c r="C68" s="941"/>
      <c r="D68" s="601">
        <f>+C10</f>
        <v>0</v>
      </c>
    </row>
    <row r="69" spans="1:14" s="608" customFormat="1" ht="44.25" customHeight="1">
      <c r="A69" s="602"/>
      <c r="B69" s="603" t="s">
        <v>811</v>
      </c>
      <c r="C69" s="603" t="s">
        <v>751</v>
      </c>
      <c r="D69" s="604" t="s">
        <v>1104</v>
      </c>
      <c r="E69" s="605" t="s">
        <v>812</v>
      </c>
      <c r="F69" s="606" t="s">
        <v>813</v>
      </c>
      <c r="G69" s="606" t="s">
        <v>814</v>
      </c>
      <c r="H69" s="606" t="s">
        <v>815</v>
      </c>
      <c r="I69" s="606" t="s">
        <v>816</v>
      </c>
      <c r="J69" s="606" t="s">
        <v>817</v>
      </c>
      <c r="K69" s="606" t="s">
        <v>818</v>
      </c>
      <c r="L69" s="606" t="s">
        <v>819</v>
      </c>
      <c r="M69" s="606" t="s">
        <v>820</v>
      </c>
      <c r="N69" s="607" t="s">
        <v>821</v>
      </c>
    </row>
    <row r="70" spans="1:14" s="616" customFormat="1">
      <c r="A70" s="609"/>
      <c r="B70" s="610">
        <f>+C34</f>
        <v>0</v>
      </c>
      <c r="C70" s="610"/>
      <c r="D70" s="610"/>
      <c r="E70" s="611"/>
      <c r="F70" s="612"/>
      <c r="G70" s="613"/>
      <c r="H70" s="612"/>
      <c r="I70" s="612"/>
      <c r="J70" s="612"/>
      <c r="K70" s="612"/>
      <c r="L70" s="612"/>
      <c r="M70" s="614"/>
      <c r="N70" s="615"/>
    </row>
    <row r="71" spans="1:14" s="617" customFormat="1" ht="39" customHeight="1">
      <c r="B71" s="618"/>
      <c r="C71" s="619"/>
      <c r="D71" s="619" t="s">
        <v>1336</v>
      </c>
      <c r="E71" s="620"/>
      <c r="F71" s="621"/>
      <c r="G71" s="563"/>
      <c r="H71" s="622"/>
      <c r="I71" s="563"/>
      <c r="J71" s="563"/>
      <c r="K71" s="622"/>
      <c r="L71" s="623"/>
      <c r="M71" s="623"/>
      <c r="N71" s="584"/>
    </row>
    <row r="72" spans="1:14" s="617" customFormat="1" ht="35.25" customHeight="1">
      <c r="B72" s="624"/>
      <c r="C72" s="619"/>
      <c r="D72" s="619" t="s">
        <v>1336</v>
      </c>
      <c r="E72" s="620"/>
      <c r="F72" s="621"/>
      <c r="G72" s="563"/>
      <c r="H72" s="623"/>
      <c r="I72" s="563"/>
      <c r="J72" s="624"/>
      <c r="K72" s="622"/>
      <c r="L72" s="623"/>
      <c r="M72" s="623"/>
      <c r="N72" s="584"/>
    </row>
    <row r="73" spans="1:14" s="617" customFormat="1">
      <c r="B73" s="624"/>
      <c r="C73" s="625"/>
      <c r="D73" s="619" t="s">
        <v>1336</v>
      </c>
      <c r="E73" s="620"/>
      <c r="F73" s="621"/>
      <c r="G73" s="563"/>
      <c r="H73" s="623"/>
      <c r="I73" s="563"/>
      <c r="J73" s="624"/>
      <c r="K73" s="622"/>
      <c r="L73" s="626"/>
      <c r="M73" s="626"/>
      <c r="N73" s="584"/>
    </row>
    <row r="74" spans="1:14" s="617" customFormat="1">
      <c r="B74" s="627"/>
      <c r="C74" s="628"/>
      <c r="D74" s="619" t="s">
        <v>1336</v>
      </c>
      <c r="E74" s="620"/>
      <c r="F74" s="621"/>
      <c r="G74" s="563"/>
      <c r="H74" s="631"/>
      <c r="I74" s="626"/>
      <c r="J74" s="632"/>
      <c r="K74" s="622"/>
      <c r="L74" s="632"/>
      <c r="M74" s="632"/>
      <c r="N74" s="584"/>
    </row>
    <row r="75" spans="1:14" s="617" customFormat="1" ht="21.75" customHeight="1">
      <c r="B75" s="632"/>
      <c r="C75" s="634"/>
      <c r="D75" s="634"/>
      <c r="E75" s="629"/>
      <c r="F75" s="630"/>
      <c r="G75" s="633"/>
      <c r="H75" s="630"/>
      <c r="I75" s="626"/>
      <c r="J75" s="632"/>
      <c r="K75" s="630"/>
      <c r="L75" s="632"/>
      <c r="M75" s="632"/>
      <c r="N75" s="584"/>
    </row>
    <row r="76" spans="1:14" s="617" customFormat="1" ht="10.5" customHeight="1">
      <c r="B76" s="632"/>
      <c r="C76" s="634"/>
      <c r="D76" s="634"/>
      <c r="E76" s="629"/>
      <c r="F76" s="630"/>
      <c r="G76" s="633"/>
      <c r="H76" s="630"/>
      <c r="I76" s="632"/>
      <c r="J76" s="632"/>
      <c r="K76" s="630"/>
      <c r="L76" s="632"/>
      <c r="M76" s="632"/>
      <c r="N76" s="633"/>
    </row>
    <row r="77" spans="1:14" s="617" customFormat="1" ht="20.25" customHeight="1">
      <c r="B77" s="632"/>
      <c r="C77" s="634"/>
      <c r="D77" s="634"/>
      <c r="E77" s="629"/>
      <c r="F77" s="630"/>
      <c r="G77" s="633"/>
      <c r="H77" s="630"/>
      <c r="I77" s="632"/>
      <c r="J77" s="632"/>
      <c r="K77" s="630"/>
      <c r="L77" s="632"/>
      <c r="M77" s="632"/>
      <c r="N77" s="633"/>
    </row>
    <row r="78" spans="1:14" s="617" customFormat="1">
      <c r="B78" s="635" t="s">
        <v>1151</v>
      </c>
      <c r="C78" s="636"/>
      <c r="D78" s="637"/>
      <c r="E78" s="636"/>
      <c r="F78" s="638"/>
      <c r="G78" s="636"/>
      <c r="H78" s="638"/>
      <c r="I78" s="635"/>
      <c r="J78" s="635"/>
      <c r="K78" s="638"/>
      <c r="L78" s="635"/>
      <c r="M78" s="635"/>
      <c r="N78" s="636"/>
    </row>
    <row r="79" spans="1:14" s="617" customFormat="1">
      <c r="B79" s="635"/>
      <c r="C79" s="636"/>
      <c r="D79" s="637"/>
      <c r="E79" s="636"/>
      <c r="F79" s="638"/>
      <c r="G79" s="636"/>
      <c r="H79" s="638"/>
      <c r="I79" s="635"/>
      <c r="J79" s="635"/>
      <c r="K79" s="638"/>
      <c r="L79" s="635"/>
      <c r="M79" s="635"/>
      <c r="N79" s="636"/>
    </row>
    <row r="80" spans="1:14" s="616" customFormat="1" hidden="1">
      <c r="A80" s="966" t="s">
        <v>1152</v>
      </c>
      <c r="B80" s="966"/>
      <c r="C80" s="966"/>
      <c r="D80" s="966"/>
      <c r="E80" s="611"/>
      <c r="F80" s="614"/>
      <c r="G80" s="615"/>
      <c r="H80" s="611"/>
      <c r="I80" s="612"/>
      <c r="J80" s="612"/>
      <c r="K80" s="612"/>
      <c r="L80" s="612"/>
      <c r="M80" s="614"/>
      <c r="N80" s="615"/>
    </row>
    <row r="81" spans="2:14" s="617" customFormat="1" hidden="1">
      <c r="B81" s="639"/>
      <c r="C81" s="640"/>
      <c r="D81" s="640"/>
      <c r="E81" s="620"/>
      <c r="F81" s="623"/>
      <c r="G81" s="584"/>
      <c r="H81" s="626"/>
      <c r="I81" s="626"/>
      <c r="J81" s="626"/>
      <c r="K81" s="623"/>
      <c r="L81" s="623"/>
      <c r="M81" s="623"/>
      <c r="N81" s="584"/>
    </row>
    <row r="82" spans="2:14" s="617" customFormat="1" hidden="1">
      <c r="B82" s="632"/>
      <c r="C82" s="634"/>
      <c r="D82" s="634"/>
      <c r="E82" s="620"/>
      <c r="F82" s="623"/>
      <c r="G82" s="584"/>
      <c r="H82" s="623"/>
      <c r="I82" s="626"/>
      <c r="J82" s="626"/>
      <c r="K82" s="623"/>
      <c r="L82" s="626"/>
      <c r="M82" s="626"/>
      <c r="N82" s="584"/>
    </row>
    <row r="83" spans="2:14" s="617" customFormat="1" hidden="1">
      <c r="B83" s="632"/>
      <c r="C83" s="634"/>
      <c r="D83" s="634"/>
      <c r="E83" s="620"/>
      <c r="F83" s="623"/>
      <c r="G83" s="584"/>
      <c r="H83" s="623"/>
      <c r="I83" s="626"/>
      <c r="J83" s="626"/>
      <c r="K83" s="623"/>
      <c r="L83" s="626"/>
      <c r="M83" s="626"/>
      <c r="N83" s="584"/>
    </row>
    <row r="84" spans="2:14" s="617" customFormat="1" hidden="1">
      <c r="B84" s="632"/>
      <c r="C84" s="634"/>
      <c r="D84" s="634"/>
      <c r="E84" s="629"/>
      <c r="F84" s="630"/>
      <c r="G84" s="633"/>
      <c r="H84" s="623"/>
      <c r="I84" s="632"/>
      <c r="J84" s="632"/>
      <c r="K84" s="630"/>
      <c r="L84" s="632"/>
      <c r="M84" s="632"/>
      <c r="N84" s="633"/>
    </row>
    <row r="85" spans="2:14" s="617" customFormat="1" hidden="1">
      <c r="B85" s="632"/>
      <c r="C85" s="634"/>
      <c r="D85" s="634"/>
      <c r="E85" s="629"/>
      <c r="F85" s="630"/>
      <c r="G85" s="633"/>
      <c r="H85" s="630"/>
      <c r="I85" s="626"/>
      <c r="J85" s="632"/>
      <c r="K85" s="630"/>
      <c r="L85" s="632"/>
      <c r="M85" s="632"/>
      <c r="N85" s="584"/>
    </row>
    <row r="86" spans="2:14" s="617" customFormat="1" hidden="1">
      <c r="B86" s="632"/>
      <c r="C86" s="634"/>
      <c r="D86" s="634"/>
      <c r="E86" s="629"/>
      <c r="F86" s="630"/>
      <c r="G86" s="633"/>
      <c r="H86" s="630"/>
      <c r="I86" s="632"/>
      <c r="J86" s="632"/>
      <c r="K86" s="630"/>
      <c r="L86" s="632"/>
      <c r="M86" s="632"/>
      <c r="N86" s="633"/>
    </row>
    <row r="87" spans="2:14" s="617" customFormat="1" hidden="1">
      <c r="B87" s="635"/>
      <c r="C87" s="636"/>
      <c r="D87" s="637"/>
      <c r="E87" s="636"/>
      <c r="F87" s="638"/>
      <c r="G87" s="636"/>
      <c r="H87" s="638"/>
      <c r="I87" s="635"/>
      <c r="J87" s="635"/>
      <c r="K87" s="638"/>
      <c r="L87" s="635"/>
      <c r="M87" s="635"/>
      <c r="N87" s="636"/>
    </row>
    <row r="88" spans="2:14">
      <c r="B88" s="641"/>
      <c r="C88" s="642"/>
      <c r="D88" s="641"/>
      <c r="E88" s="641"/>
      <c r="F88" s="641"/>
      <c r="G88" s="641"/>
      <c r="H88" s="641"/>
      <c r="I88" s="641"/>
      <c r="J88" s="641"/>
      <c r="K88" s="641"/>
      <c r="L88" s="641"/>
      <c r="M88" s="641"/>
    </row>
    <row r="89" spans="2:14" ht="15.75" thickBot="1">
      <c r="B89" s="595" t="s">
        <v>827</v>
      </c>
      <c r="C89" s="642"/>
      <c r="D89" s="641"/>
      <c r="E89" s="641"/>
    </row>
    <row r="90" spans="2:14" ht="30">
      <c r="B90" s="643" t="s">
        <v>1076</v>
      </c>
      <c r="C90" s="644" t="s">
        <v>887</v>
      </c>
      <c r="D90" s="645" t="s">
        <v>936</v>
      </c>
      <c r="E90" s="967" t="s">
        <v>930</v>
      </c>
      <c r="F90" s="968"/>
      <c r="G90" s="968"/>
      <c r="H90" s="969"/>
    </row>
    <row r="91" spans="2:14">
      <c r="B91" s="646" t="s">
        <v>935</v>
      </c>
      <c r="C91" s="647">
        <f>+'Cashflow and Elligibility'!N28+'Cashflow and Elligibility'!N52</f>
        <v>0</v>
      </c>
      <c r="D91" s="648"/>
      <c r="E91" s="649" t="s">
        <v>939</v>
      </c>
      <c r="F91" s="649" t="s">
        <v>937</v>
      </c>
      <c r="G91" s="649" t="s">
        <v>938</v>
      </c>
      <c r="H91" s="650" t="s">
        <v>907</v>
      </c>
    </row>
    <row r="92" spans="2:14">
      <c r="B92" s="651" t="s">
        <v>931</v>
      </c>
      <c r="C92" s="652"/>
      <c r="D92" s="653"/>
      <c r="E92" s="654"/>
      <c r="F92" s="654"/>
      <c r="G92" s="654"/>
      <c r="H92" s="655"/>
    </row>
    <row r="93" spans="2:14">
      <c r="B93" s="651" t="s">
        <v>932</v>
      </c>
      <c r="C93" s="652">
        <v>0</v>
      </c>
      <c r="D93" s="653"/>
      <c r="E93" s="654"/>
      <c r="F93" s="654"/>
      <c r="G93" s="654"/>
      <c r="H93" s="655"/>
    </row>
    <row r="94" spans="2:14">
      <c r="B94" s="651" t="s">
        <v>823</v>
      </c>
      <c r="C94" s="656"/>
      <c r="D94" s="653"/>
      <c r="E94" s="654"/>
      <c r="F94" s="654"/>
      <c r="G94" s="654"/>
      <c r="H94" s="655"/>
    </row>
    <row r="95" spans="2:14">
      <c r="B95" s="651" t="s">
        <v>824</v>
      </c>
      <c r="C95" s="656"/>
      <c r="D95" s="653"/>
      <c r="E95" s="654"/>
      <c r="F95" s="738"/>
      <c r="G95" s="738"/>
      <c r="H95" s="655"/>
    </row>
    <row r="96" spans="2:14">
      <c r="B96" s="651" t="s">
        <v>825</v>
      </c>
      <c r="C96" s="656"/>
      <c r="D96" s="653"/>
      <c r="E96" s="654"/>
      <c r="F96" s="738"/>
      <c r="G96" s="738"/>
      <c r="H96" s="655"/>
    </row>
    <row r="97" spans="2:8">
      <c r="B97" s="651" t="s">
        <v>826</v>
      </c>
      <c r="C97" s="656"/>
      <c r="D97" s="653"/>
      <c r="E97" s="654"/>
      <c r="F97" s="738"/>
      <c r="G97" s="738"/>
      <c r="H97" s="655"/>
    </row>
    <row r="98" spans="2:8">
      <c r="B98" s="651" t="s">
        <v>933</v>
      </c>
      <c r="C98" s="738"/>
      <c r="D98" s="653"/>
      <c r="E98" s="654"/>
      <c r="F98" s="654"/>
      <c r="G98" s="654"/>
      <c r="H98" s="655"/>
    </row>
    <row r="99" spans="2:8" ht="15.75" thickBot="1">
      <c r="B99" s="657" t="s">
        <v>934</v>
      </c>
      <c r="C99" s="656"/>
      <c r="D99" s="658"/>
      <c r="E99" s="659"/>
      <c r="F99" s="659"/>
      <c r="G99" s="659"/>
      <c r="H99" s="660"/>
    </row>
    <row r="100" spans="2:8">
      <c r="B100" s="661"/>
      <c r="C100" s="662"/>
    </row>
    <row r="101" spans="2:8" ht="15.75" thickBot="1">
      <c r="B101" s="595" t="s">
        <v>843</v>
      </c>
      <c r="C101" s="662"/>
    </row>
    <row r="102" spans="2:8">
      <c r="B102" s="663" t="s">
        <v>828</v>
      </c>
      <c r="C102" s="664" t="s">
        <v>829</v>
      </c>
      <c r="D102" s="665" t="s">
        <v>830</v>
      </c>
      <c r="E102" s="666" t="s">
        <v>940</v>
      </c>
      <c r="F102" s="667" t="s">
        <v>832</v>
      </c>
    </row>
    <row r="103" spans="2:8">
      <c r="B103" s="668" t="s">
        <v>833</v>
      </c>
      <c r="C103" s="653"/>
      <c r="D103" s="669" t="s">
        <v>834</v>
      </c>
      <c r="E103" s="738">
        <f>+'Cashflow and Elligibility'!K53</f>
        <v>0</v>
      </c>
      <c r="F103" s="670" t="s">
        <v>928</v>
      </c>
    </row>
    <row r="104" spans="2:8">
      <c r="B104" s="668" t="s">
        <v>835</v>
      </c>
      <c r="C104" s="653"/>
      <c r="D104" s="669" t="s">
        <v>836</v>
      </c>
      <c r="E104" s="738">
        <f>+C45</f>
        <v>0</v>
      </c>
      <c r="F104" s="671" t="s">
        <v>928</v>
      </c>
    </row>
    <row r="105" spans="2:8">
      <c r="B105" s="668" t="s">
        <v>1062</v>
      </c>
      <c r="C105" s="653"/>
      <c r="D105" s="669"/>
      <c r="E105" s="738"/>
      <c r="F105" s="671"/>
    </row>
    <row r="106" spans="2:8">
      <c r="B106" s="668" t="s">
        <v>837</v>
      </c>
      <c r="C106" s="653"/>
      <c r="D106" s="669" t="s">
        <v>839</v>
      </c>
      <c r="E106" s="672">
        <f>'Cashflow and Elligibility'!G57</f>
        <v>0</v>
      </c>
      <c r="F106" s="671" t="e">
        <f>E106/'Cashflow and Elligibility'!G57-100%</f>
        <v>#DIV/0!</v>
      </c>
    </row>
    <row r="107" spans="2:8">
      <c r="B107" s="668" t="s">
        <v>838</v>
      </c>
      <c r="C107" s="653"/>
      <c r="D107" s="673" t="s">
        <v>941</v>
      </c>
      <c r="E107" s="674"/>
      <c r="F107" s="675"/>
    </row>
    <row r="108" spans="2:8">
      <c r="B108" s="668" t="s">
        <v>840</v>
      </c>
      <c r="C108" s="653"/>
      <c r="D108" s="917" t="s">
        <v>928</v>
      </c>
      <c r="E108" s="918"/>
      <c r="F108" s="919"/>
    </row>
    <row r="109" spans="2:8">
      <c r="B109" s="668" t="s">
        <v>841</v>
      </c>
      <c r="C109" s="653"/>
      <c r="D109" s="920"/>
      <c r="E109" s="921"/>
      <c r="F109" s="922"/>
    </row>
    <row r="110" spans="2:8" ht="15.75" thickBot="1">
      <c r="B110" s="676" t="s">
        <v>842</v>
      </c>
      <c r="C110" s="653"/>
      <c r="D110" s="923"/>
      <c r="E110" s="924"/>
      <c r="F110" s="925"/>
    </row>
    <row r="111" spans="2:8">
      <c r="B111" s="641"/>
      <c r="C111" s="642"/>
      <c r="D111" s="596"/>
      <c r="E111" s="596"/>
      <c r="F111" s="596"/>
    </row>
    <row r="112" spans="2:8">
      <c r="B112" s="641"/>
      <c r="C112" s="642"/>
      <c r="D112" s="596"/>
      <c r="E112" s="596"/>
      <c r="F112" s="596"/>
    </row>
    <row r="113" spans="2:7">
      <c r="B113" s="677" t="s">
        <v>1102</v>
      </c>
      <c r="C113" s="970"/>
      <c r="D113" s="971"/>
      <c r="E113" s="971"/>
      <c r="F113" s="971"/>
      <c r="G113" s="972"/>
    </row>
    <row r="114" spans="2:7">
      <c r="B114" s="678" t="s">
        <v>1277</v>
      </c>
      <c r="C114" s="621" t="s">
        <v>1341</v>
      </c>
      <c r="D114" s="679" t="s">
        <v>1254</v>
      </c>
      <c r="E114" s="621" t="s">
        <v>1256</v>
      </c>
      <c r="F114" s="679" t="s">
        <v>1250</v>
      </c>
      <c r="G114" s="621" t="s">
        <v>1253</v>
      </c>
    </row>
    <row r="115" spans="2:7">
      <c r="B115" s="679" t="s">
        <v>1278</v>
      </c>
      <c r="C115" s="621" t="s">
        <v>1342</v>
      </c>
      <c r="D115" s="736"/>
      <c r="E115" s="736"/>
      <c r="F115" s="736"/>
      <c r="G115" s="737"/>
    </row>
    <row r="116" spans="2:7">
      <c r="B116" s="976" t="s">
        <v>1083</v>
      </c>
      <c r="C116" s="977"/>
      <c r="D116" s="975"/>
      <c r="E116" s="975"/>
      <c r="F116" s="975"/>
      <c r="G116" s="975"/>
    </row>
    <row r="117" spans="2:7">
      <c r="B117" s="976"/>
      <c r="C117" s="975"/>
      <c r="D117" s="975"/>
      <c r="E117" s="975"/>
      <c r="F117" s="975"/>
      <c r="G117" s="975"/>
    </row>
    <row r="118" spans="2:7">
      <c r="B118" s="976"/>
      <c r="C118" s="977"/>
      <c r="D118" s="977"/>
      <c r="E118" s="977"/>
      <c r="F118" s="977"/>
      <c r="G118" s="977"/>
    </row>
    <row r="119" spans="2:7" ht="15" hidden="1" customHeight="1">
      <c r="B119" s="976"/>
      <c r="C119" s="977"/>
      <c r="D119" s="977"/>
      <c r="E119" s="977"/>
      <c r="F119" s="977"/>
      <c r="G119" s="977"/>
    </row>
    <row r="120" spans="2:7">
      <c r="B120" s="976"/>
      <c r="C120" s="977"/>
      <c r="D120" s="977"/>
      <c r="E120" s="977"/>
      <c r="F120" s="977"/>
      <c r="G120" s="977"/>
    </row>
    <row r="121" spans="2:7" hidden="1">
      <c r="B121" s="976" t="s">
        <v>1081</v>
      </c>
      <c r="C121" s="680" t="s">
        <v>1170</v>
      </c>
      <c r="D121" s="681"/>
      <c r="E121" s="682"/>
      <c r="F121" s="682"/>
      <c r="G121" s="682"/>
    </row>
    <row r="122" spans="2:7" hidden="1">
      <c r="B122" s="976"/>
      <c r="C122" s="683"/>
      <c r="D122" s="682"/>
      <c r="E122" s="682"/>
      <c r="F122" s="682"/>
      <c r="G122" s="682"/>
    </row>
    <row r="123" spans="2:7" hidden="1">
      <c r="B123" s="976"/>
      <c r="C123" s="680" t="s">
        <v>1169</v>
      </c>
      <c r="D123" s="681"/>
      <c r="E123" s="684" t="s">
        <v>1090</v>
      </c>
      <c r="F123" s="682"/>
      <c r="G123" s="682"/>
    </row>
    <row r="124" spans="2:7" hidden="1">
      <c r="B124" s="976"/>
      <c r="C124" s="739" t="s">
        <v>1171</v>
      </c>
      <c r="D124" s="685" t="e">
        <f>(D123-D121)/D121*100</f>
        <v>#DIV/0!</v>
      </c>
      <c r="E124" s="684">
        <f>+C13</f>
        <v>0</v>
      </c>
      <c r="F124" s="682"/>
      <c r="G124" s="682"/>
    </row>
    <row r="125" spans="2:7" hidden="1">
      <c r="B125" s="976"/>
      <c r="C125" s="680" t="s">
        <v>1168</v>
      </c>
      <c r="D125" s="681">
        <f>MIN(D121,D123)</f>
        <v>0</v>
      </c>
      <c r="E125" s="682"/>
      <c r="F125" s="682"/>
      <c r="G125" s="682"/>
    </row>
    <row r="126" spans="2:7" hidden="1">
      <c r="B126" s="976" t="s">
        <v>1086</v>
      </c>
      <c r="C126" s="978"/>
      <c r="D126" s="978"/>
      <c r="E126" s="978"/>
      <c r="F126" s="978"/>
      <c r="G126" s="978"/>
    </row>
    <row r="127" spans="2:7" hidden="1">
      <c r="B127" s="976"/>
      <c r="C127" s="978"/>
      <c r="D127" s="978"/>
      <c r="E127" s="978"/>
      <c r="F127" s="978"/>
      <c r="G127" s="978"/>
    </row>
    <row r="128" spans="2:7" ht="15" hidden="1" customHeight="1">
      <c r="B128" s="976"/>
      <c r="C128" s="978"/>
      <c r="D128" s="978"/>
      <c r="E128" s="978"/>
      <c r="F128" s="978"/>
      <c r="G128" s="978"/>
    </row>
    <row r="129" spans="2:7" ht="54" hidden="1" customHeight="1">
      <c r="B129" s="976"/>
      <c r="C129" s="978"/>
      <c r="D129" s="978"/>
      <c r="E129" s="978"/>
      <c r="F129" s="978"/>
      <c r="G129" s="978"/>
    </row>
    <row r="130" spans="2:7" ht="33.75" customHeight="1">
      <c r="B130" s="739" t="s">
        <v>1082</v>
      </c>
      <c r="C130" s="975"/>
      <c r="D130" s="975"/>
      <c r="E130" s="975"/>
      <c r="F130" s="975"/>
      <c r="G130" s="975"/>
    </row>
    <row r="131" spans="2:7" ht="33.75" customHeight="1">
      <c r="B131" s="865" t="s">
        <v>1331</v>
      </c>
      <c r="C131" s="866"/>
      <c r="D131" s="867" t="s">
        <v>1332</v>
      </c>
      <c r="E131" s="868" t="e">
        <f>C11/C131</f>
        <v>#DIV/0!</v>
      </c>
      <c r="F131" s="863"/>
      <c r="G131" s="863"/>
    </row>
    <row r="132" spans="2:7" ht="33.75" customHeight="1">
      <c r="B132" s="739" t="s">
        <v>1333</v>
      </c>
      <c r="C132" s="905"/>
      <c r="D132" s="906"/>
      <c r="E132" s="906"/>
      <c r="F132" s="906"/>
      <c r="G132" s="907"/>
    </row>
    <row r="133" spans="2:7">
      <c r="B133" s="641"/>
      <c r="C133" s="642"/>
      <c r="D133" s="596"/>
      <c r="E133" s="596"/>
      <c r="F133" s="596"/>
    </row>
    <row r="134" spans="2:7">
      <c r="B134" s="641"/>
      <c r="C134" s="642"/>
      <c r="D134" s="596"/>
      <c r="E134" s="596"/>
      <c r="F134" s="596"/>
    </row>
    <row r="135" spans="2:7" ht="15.75" thickBot="1">
      <c r="B135" s="595" t="s">
        <v>848</v>
      </c>
      <c r="C135" s="686"/>
    </row>
    <row r="136" spans="2:7">
      <c r="B136" s="687" t="s">
        <v>1106</v>
      </c>
      <c r="C136" s="688" t="s">
        <v>829</v>
      </c>
      <c r="D136" s="689" t="s">
        <v>830</v>
      </c>
    </row>
    <row r="137" spans="2:7" ht="60">
      <c r="B137" s="690" t="s">
        <v>1107</v>
      </c>
      <c r="C137" s="691" t="s">
        <v>1343</v>
      </c>
      <c r="D137" s="872" t="s">
        <v>1346</v>
      </c>
    </row>
    <row r="138" spans="2:7">
      <c r="B138" s="690" t="s">
        <v>1077</v>
      </c>
      <c r="C138" s="691" t="s">
        <v>1343</v>
      </c>
      <c r="D138" s="873" t="s">
        <v>1345</v>
      </c>
    </row>
    <row r="139" spans="2:7">
      <c r="B139" s="692" t="s">
        <v>844</v>
      </c>
      <c r="C139" s="691"/>
      <c r="D139" s="874"/>
    </row>
    <row r="140" spans="2:7">
      <c r="B140" s="692" t="s">
        <v>1103</v>
      </c>
      <c r="C140" s="691" t="s">
        <v>1343</v>
      </c>
      <c r="D140" s="875" t="s">
        <v>1344</v>
      </c>
    </row>
    <row r="141" spans="2:7">
      <c r="B141" s="693" t="s">
        <v>845</v>
      </c>
      <c r="C141" s="691" t="s">
        <v>1343</v>
      </c>
      <c r="D141" s="875" t="s">
        <v>1344</v>
      </c>
    </row>
    <row r="142" spans="2:7" ht="30">
      <c r="B142" s="694" t="s">
        <v>846</v>
      </c>
      <c r="C142" s="695"/>
      <c r="D142" s="874"/>
    </row>
    <row r="143" spans="2:7">
      <c r="B143" s="696" t="s">
        <v>1078</v>
      </c>
      <c r="C143" s="697"/>
      <c r="D143" s="876"/>
    </row>
    <row r="144" spans="2:7" ht="15.75" thickBot="1">
      <c r="B144" s="696" t="s">
        <v>847</v>
      </c>
      <c r="C144" s="698"/>
      <c r="D144" s="877"/>
    </row>
    <row r="145" spans="2:9" ht="15.75" thickBot="1">
      <c r="B145" s="864" t="s">
        <v>1079</v>
      </c>
      <c r="C145" s="699"/>
      <c r="D145" s="878"/>
    </row>
    <row r="146" spans="2:9">
      <c r="B146" s="641"/>
      <c r="C146" s="700"/>
      <c r="D146" s="599"/>
    </row>
    <row r="147" spans="2:9" hidden="1">
      <c r="B147" s="595" t="s">
        <v>942</v>
      </c>
    </row>
    <row r="148" spans="2:9" hidden="1">
      <c r="B148" s="597" t="s">
        <v>944</v>
      </c>
      <c r="C148" s="928" t="s">
        <v>831</v>
      </c>
      <c r="D148" s="928"/>
      <c r="E148" s="928"/>
    </row>
    <row r="149" spans="2:9" hidden="1">
      <c r="B149" s="598" t="s">
        <v>1166</v>
      </c>
      <c r="C149" s="929"/>
      <c r="D149" s="929"/>
      <c r="E149" s="929"/>
    </row>
    <row r="150" spans="2:9" hidden="1">
      <c r="B150" s="598" t="s">
        <v>945</v>
      </c>
      <c r="C150" s="930"/>
      <c r="D150" s="930"/>
      <c r="E150" s="930"/>
    </row>
    <row r="151" spans="2:9" hidden="1">
      <c r="B151" s="598" t="s">
        <v>946</v>
      </c>
      <c r="C151" s="929"/>
      <c r="D151" s="929"/>
      <c r="E151" s="929"/>
    </row>
    <row r="152" spans="2:9" hidden="1">
      <c r="B152" s="598" t="s">
        <v>945</v>
      </c>
      <c r="C152" s="974"/>
      <c r="D152" s="974"/>
      <c r="E152" s="974"/>
    </row>
    <row r="153" spans="2:9">
      <c r="B153" s="641"/>
      <c r="C153" s="700"/>
      <c r="D153" s="599"/>
    </row>
    <row r="154" spans="2:9">
      <c r="B154" s="595" t="s">
        <v>943</v>
      </c>
      <c r="C154" s="700"/>
      <c r="D154" s="599"/>
    </row>
    <row r="155" spans="2:9" s="617" customFormat="1">
      <c r="B155" s="701" t="s">
        <v>854</v>
      </c>
      <c r="C155" s="702" t="s">
        <v>855</v>
      </c>
      <c r="D155" s="703" t="s">
        <v>856</v>
      </c>
    </row>
    <row r="156" spans="2:9">
      <c r="B156" s="704"/>
      <c r="C156" s="705"/>
      <c r="D156" s="564"/>
      <c r="E156" s="617"/>
    </row>
    <row r="157" spans="2:9" ht="100.5" customHeight="1">
      <c r="B157" s="706"/>
      <c r="C157" s="572"/>
      <c r="D157" s="564"/>
      <c r="E157" s="617"/>
    </row>
    <row r="158" spans="2:9">
      <c r="B158" s="569"/>
      <c r="C158" s="572"/>
      <c r="D158" s="564"/>
      <c r="E158" s="617"/>
    </row>
    <row r="159" spans="2:9">
      <c r="B159" s="569"/>
      <c r="C159" s="572"/>
      <c r="D159" s="564"/>
      <c r="E159" s="617"/>
    </row>
    <row r="160" spans="2:9">
      <c r="B160" s="569"/>
      <c r="C160" s="572"/>
      <c r="D160" s="564"/>
      <c r="E160" s="617"/>
      <c r="I160" s="707"/>
    </row>
    <row r="161" spans="2:5">
      <c r="B161" s="569"/>
      <c r="C161" s="572"/>
      <c r="D161" s="564"/>
      <c r="E161" s="617"/>
    </row>
    <row r="162" spans="2:5">
      <c r="E162" s="617"/>
    </row>
    <row r="163" spans="2:5">
      <c r="E163" s="617"/>
    </row>
    <row r="164" spans="2:5">
      <c r="B164" s="595" t="s">
        <v>947</v>
      </c>
      <c r="E164" s="617"/>
    </row>
    <row r="165" spans="2:5">
      <c r="B165" s="926" t="s">
        <v>857</v>
      </c>
      <c r="C165" s="927"/>
      <c r="D165" s="927"/>
      <c r="E165" s="617"/>
    </row>
    <row r="166" spans="2:5">
      <c r="B166" s="912"/>
      <c r="C166" s="913"/>
      <c r="D166" s="914"/>
    </row>
    <row r="167" spans="2:5" ht="27.75" customHeight="1">
      <c r="B167" s="973"/>
      <c r="C167" s="913"/>
      <c r="D167" s="914"/>
    </row>
    <row r="168" spans="2:5">
      <c r="B168" s="912"/>
      <c r="C168" s="913"/>
      <c r="D168" s="914"/>
    </row>
    <row r="169" spans="2:5">
      <c r="B169" s="912"/>
      <c r="C169" s="913"/>
      <c r="D169" s="914"/>
    </row>
    <row r="170" spans="2:5">
      <c r="B170" s="912"/>
      <c r="C170" s="913"/>
      <c r="D170" s="914"/>
    </row>
    <row r="171" spans="2:5">
      <c r="B171" s="912"/>
      <c r="C171" s="913"/>
      <c r="D171" s="914"/>
    </row>
    <row r="172" spans="2:5">
      <c r="B172" s="912"/>
      <c r="C172" s="913"/>
      <c r="D172" s="914"/>
    </row>
    <row r="173" spans="2:5">
      <c r="B173" s="912"/>
      <c r="C173" s="913"/>
      <c r="D173" s="914"/>
    </row>
    <row r="174" spans="2:5">
      <c r="B174" s="902"/>
      <c r="C174" s="903"/>
      <c r="D174" s="904"/>
    </row>
    <row r="175" spans="2:5">
      <c r="B175" s="902"/>
      <c r="C175" s="903"/>
      <c r="D175" s="904"/>
    </row>
    <row r="176" spans="2:5">
      <c r="B176" s="902"/>
      <c r="C176" s="903"/>
      <c r="D176" s="904"/>
    </row>
    <row r="177" spans="2:5">
      <c r="B177" s="902"/>
      <c r="C177" s="903"/>
      <c r="D177" s="904"/>
    </row>
    <row r="178" spans="2:5">
      <c r="B178" s="902"/>
      <c r="C178" s="903"/>
      <c r="D178" s="904"/>
    </row>
    <row r="179" spans="2:5">
      <c r="B179" s="902"/>
      <c r="C179" s="903"/>
      <c r="D179" s="904"/>
    </row>
    <row r="181" spans="2:5" hidden="1">
      <c r="B181" s="899"/>
      <c r="C181" s="900"/>
      <c r="D181" s="901"/>
    </row>
    <row r="182" spans="2:5" hidden="1">
      <c r="B182" s="899"/>
      <c r="C182" s="900"/>
      <c r="D182" s="901"/>
    </row>
    <row r="183" spans="2:5">
      <c r="B183" s="908" t="s">
        <v>1172</v>
      </c>
      <c r="C183" s="909"/>
      <c r="D183" s="910"/>
    </row>
    <row r="184" spans="2:5" ht="91.5" customHeight="1">
      <c r="B184" s="911"/>
      <c r="C184" s="903"/>
      <c r="D184" s="904"/>
    </row>
    <row r="185" spans="2:5" hidden="1">
      <c r="B185" s="899"/>
      <c r="C185" s="900"/>
      <c r="D185" s="901"/>
    </row>
    <row r="186" spans="2:5" hidden="1">
      <c r="B186" s="899"/>
      <c r="C186" s="900"/>
      <c r="D186" s="901"/>
    </row>
    <row r="187" spans="2:5" hidden="1">
      <c r="B187" s="899"/>
      <c r="C187" s="900"/>
      <c r="D187" s="901"/>
    </row>
    <row r="188" spans="2:5" hidden="1">
      <c r="B188" s="899"/>
      <c r="C188" s="900"/>
      <c r="D188" s="901"/>
    </row>
    <row r="189" spans="2:5">
      <c r="B189" s="700"/>
      <c r="C189" s="700"/>
      <c r="D189" s="700"/>
    </row>
    <row r="190" spans="2:5">
      <c r="B190" s="595" t="s">
        <v>1110</v>
      </c>
    </row>
    <row r="191" spans="2:5">
      <c r="B191" s="708" t="s">
        <v>1067</v>
      </c>
      <c r="C191" s="544"/>
      <c r="D191" s="708" t="s">
        <v>1068</v>
      </c>
      <c r="E191" s="545"/>
    </row>
    <row r="192" spans="2:5">
      <c r="B192" s="708" t="s">
        <v>1069</v>
      </c>
      <c r="C192" s="544"/>
      <c r="D192" s="708" t="s">
        <v>1070</v>
      </c>
      <c r="E192" s="545"/>
    </row>
    <row r="193" spans="2:5">
      <c r="B193" s="709"/>
      <c r="C193" s="710"/>
      <c r="D193" s="710"/>
      <c r="E193" s="545"/>
    </row>
    <row r="194" spans="2:5">
      <c r="B194" s="708" t="s">
        <v>1071</v>
      </c>
      <c r="C194" s="916"/>
      <c r="D194" s="916"/>
      <c r="E194" s="916"/>
    </row>
    <row r="195" spans="2:5">
      <c r="B195" s="708" t="s">
        <v>1072</v>
      </c>
      <c r="C195" s="931"/>
      <c r="D195" s="932"/>
      <c r="E195" s="932"/>
    </row>
    <row r="196" spans="2:5">
      <c r="B196" s="708" t="s">
        <v>1073</v>
      </c>
      <c r="C196" s="915"/>
      <c r="D196" s="916"/>
      <c r="E196" s="916"/>
    </row>
    <row r="197" spans="2:5">
      <c r="C197" s="548"/>
    </row>
    <row r="198" spans="2:5" ht="14.25" customHeight="1">
      <c r="C198" s="548"/>
    </row>
    <row r="199" spans="2:5" hidden="1">
      <c r="C199" s="548"/>
    </row>
    <row r="200" spans="2:5">
      <c r="C200" s="548"/>
    </row>
    <row r="201" spans="2:5">
      <c r="C201" s="548"/>
    </row>
    <row r="202" spans="2:5">
      <c r="C202" s="548"/>
    </row>
    <row r="203" spans="2:5">
      <c r="C203" s="548"/>
    </row>
    <row r="204" spans="2:5">
      <c r="C204" s="548"/>
    </row>
    <row r="205" spans="2:5">
      <c r="C205" s="548"/>
    </row>
    <row r="206" spans="2:5">
      <c r="C206" s="548"/>
    </row>
    <row r="207" spans="2:5">
      <c r="C207" s="548"/>
    </row>
  </sheetData>
  <sheetProtection password="E03D" sheet="1" objects="1" scenarios="1" formatCells="0" formatColumns="0" formatRows="0"/>
  <mergeCells count="70">
    <mergeCell ref="A80:D80"/>
    <mergeCell ref="C57:F57"/>
    <mergeCell ref="E90:H90"/>
    <mergeCell ref="C113:G113"/>
    <mergeCell ref="B172:D172"/>
    <mergeCell ref="B67:F67"/>
    <mergeCell ref="B167:D167"/>
    <mergeCell ref="B168:D168"/>
    <mergeCell ref="C152:E152"/>
    <mergeCell ref="C130:G130"/>
    <mergeCell ref="B126:B129"/>
    <mergeCell ref="C118:G120"/>
    <mergeCell ref="C116:G117"/>
    <mergeCell ref="B116:B120"/>
    <mergeCell ref="B121:B125"/>
    <mergeCell ref="C126:G129"/>
    <mergeCell ref="B19:E23"/>
    <mergeCell ref="B27:C27"/>
    <mergeCell ref="B28:C28"/>
    <mergeCell ref="B29:C29"/>
    <mergeCell ref="B30:C30"/>
    <mergeCell ref="D27:E27"/>
    <mergeCell ref="D28:E28"/>
    <mergeCell ref="D29:E29"/>
    <mergeCell ref="D30:E30"/>
    <mergeCell ref="D26:E26"/>
    <mergeCell ref="B26:C26"/>
    <mergeCell ref="B33:F33"/>
    <mergeCell ref="C54:F54"/>
    <mergeCell ref="C50:F50"/>
    <mergeCell ref="B68:C68"/>
    <mergeCell ref="C61:E61"/>
    <mergeCell ref="C62:E62"/>
    <mergeCell ref="C63:E63"/>
    <mergeCell ref="C64:E64"/>
    <mergeCell ref="C52:F52"/>
    <mergeCell ref="C53:F53"/>
    <mergeCell ref="C51:F51"/>
    <mergeCell ref="C58:F58"/>
    <mergeCell ref="C56:F56"/>
    <mergeCell ref="C55:F55"/>
    <mergeCell ref="C196:E196"/>
    <mergeCell ref="D108:F110"/>
    <mergeCell ref="B166:D166"/>
    <mergeCell ref="B179:D179"/>
    <mergeCell ref="B188:D188"/>
    <mergeCell ref="B165:D165"/>
    <mergeCell ref="C148:E148"/>
    <mergeCell ref="C149:E149"/>
    <mergeCell ref="C150:E150"/>
    <mergeCell ref="C151:E151"/>
    <mergeCell ref="B169:D169"/>
    <mergeCell ref="B170:D170"/>
    <mergeCell ref="B173:D173"/>
    <mergeCell ref="C194:E194"/>
    <mergeCell ref="C195:E195"/>
    <mergeCell ref="B181:D181"/>
    <mergeCell ref="B185:D185"/>
    <mergeCell ref="B186:D186"/>
    <mergeCell ref="B187:D187"/>
    <mergeCell ref="B175:D175"/>
    <mergeCell ref="C132:G132"/>
    <mergeCell ref="B174:D174"/>
    <mergeCell ref="B182:D182"/>
    <mergeCell ref="B183:D183"/>
    <mergeCell ref="B184:D184"/>
    <mergeCell ref="B176:D176"/>
    <mergeCell ref="B177:D177"/>
    <mergeCell ref="B178:D178"/>
    <mergeCell ref="B171:D171"/>
  </mergeCells>
  <conditionalFormatting sqref="F46">
    <cfRule type="containsText" dxfId="19" priority="20" operator="containsText" text="No">
      <formula>NOT(ISERROR(SEARCH("No",F46)))</formula>
    </cfRule>
  </conditionalFormatting>
  <conditionalFormatting sqref="C133:C134 C103:C112">
    <cfRule type="containsText" dxfId="18" priority="19" operator="containsText" text="Not Verified">
      <formula>NOT(ISERROR(SEARCH("Not Verified",C103)))</formula>
    </cfRule>
  </conditionalFormatting>
  <conditionalFormatting sqref="F49">
    <cfRule type="containsText" dxfId="17" priority="18" operator="containsText" text="No">
      <formula>NOT(ISERROR(SEARCH("No",F49)))</formula>
    </cfRule>
  </conditionalFormatting>
  <conditionalFormatting sqref="F34">
    <cfRule type="containsBlanks" dxfId="16" priority="16">
      <formula>LEN(TRIM(F34))=0</formula>
    </cfRule>
  </conditionalFormatting>
  <conditionalFormatting sqref="F36:F37">
    <cfRule type="containsBlanks" dxfId="15" priority="15">
      <formula>LEN(TRIM(F36))=0</formula>
    </cfRule>
  </conditionalFormatting>
  <conditionalFormatting sqref="F39:F43">
    <cfRule type="containsBlanks" dxfId="14" priority="14">
      <formula>LEN(TRIM(F39))=0</formula>
    </cfRule>
  </conditionalFormatting>
  <conditionalFormatting sqref="C41">
    <cfRule type="containsBlanks" dxfId="13" priority="13">
      <formula>LEN(TRIM(C41))=0</formula>
    </cfRule>
  </conditionalFormatting>
  <conditionalFormatting sqref="C48:C49">
    <cfRule type="containsBlanks" dxfId="12" priority="12">
      <formula>LEN(TRIM(C48))=0</formula>
    </cfRule>
  </conditionalFormatting>
  <conditionalFormatting sqref="F48">
    <cfRule type="containsBlanks" dxfId="11" priority="10">
      <formula>LEN(TRIM(F48))=0</formula>
    </cfRule>
  </conditionalFormatting>
  <conditionalFormatting sqref="F71:G74">
    <cfRule type="containsBlanks" dxfId="10" priority="9">
      <formula>LEN(TRIM(F71))=0</formula>
    </cfRule>
  </conditionalFormatting>
  <conditionalFormatting sqref="I71:J71 I71:I73">
    <cfRule type="containsBlanks" dxfId="9" priority="8">
      <formula>LEN(TRIM(I71))=0</formula>
    </cfRule>
  </conditionalFormatting>
  <conditionalFormatting sqref="C114:C115">
    <cfRule type="containsBlanks" dxfId="8" priority="7">
      <formula>LEN(TRIM(C114))=0</formula>
    </cfRule>
  </conditionalFormatting>
  <conditionalFormatting sqref="E114">
    <cfRule type="containsBlanks" dxfId="7" priority="6">
      <formula>LEN(TRIM(E114))=0</formula>
    </cfRule>
  </conditionalFormatting>
  <conditionalFormatting sqref="G114">
    <cfRule type="containsBlanks" dxfId="6" priority="5">
      <formula>LEN(TRIM(G114))=0</formula>
    </cfRule>
  </conditionalFormatting>
  <conditionalFormatting sqref="C42">
    <cfRule type="containsBlanks" dxfId="5" priority="4">
      <formula>LEN(TRIM(C42))=0</formula>
    </cfRule>
  </conditionalFormatting>
  <conditionalFormatting sqref="C40">
    <cfRule type="containsBlanks" dxfId="4" priority="3">
      <formula>LEN(TRIM(C40))=0</formula>
    </cfRule>
  </conditionalFormatting>
  <conditionalFormatting sqref="C46">
    <cfRule type="containsBlanks" dxfId="3" priority="2">
      <formula>LEN(TRIM(C46))=0</formula>
    </cfRule>
  </conditionalFormatting>
  <conditionalFormatting sqref="C6:C7">
    <cfRule type="containsBlanks" dxfId="2" priority="1">
      <formula>LEN(TRIM(C6))=0</formula>
    </cfRule>
  </conditionalFormatting>
  <dataValidations count="20">
    <dataValidation type="list" allowBlank="1" showInputMessage="1" showErrorMessage="1" sqref="C65581 IY65581 SU65581 ACQ65581 AMM65581 AWI65581 BGE65581 BQA65581 BZW65581 CJS65581 CTO65581 DDK65581 DNG65581 DXC65581 EGY65581 EQU65581 FAQ65581 FKM65581 FUI65581 GEE65581 GOA65581 GXW65581 HHS65581 HRO65581 IBK65581 ILG65581 IVC65581 JEY65581 JOU65581 JYQ65581 KIM65581 KSI65581 LCE65581 LMA65581 LVW65581 MFS65581 MPO65581 MZK65581 NJG65581 NTC65581 OCY65581 OMU65581 OWQ65581 PGM65581 PQI65581 QAE65581 QKA65581 QTW65581 RDS65581 RNO65581 RXK65581 SHG65581 SRC65581 TAY65581 TKU65581 TUQ65581 UEM65581 UOI65581 UYE65581 VIA65581 VRW65581 WBS65581 WLO65581 WVK65581 C131117 IY131117 SU131117 ACQ131117 AMM131117 AWI131117 BGE131117 BQA131117 BZW131117 CJS131117 CTO131117 DDK131117 DNG131117 DXC131117 EGY131117 EQU131117 FAQ131117 FKM131117 FUI131117 GEE131117 GOA131117 GXW131117 HHS131117 HRO131117 IBK131117 ILG131117 IVC131117 JEY131117 JOU131117 JYQ131117 KIM131117 KSI131117 LCE131117 LMA131117 LVW131117 MFS131117 MPO131117 MZK131117 NJG131117 NTC131117 OCY131117 OMU131117 OWQ131117 PGM131117 PQI131117 QAE131117 QKA131117 QTW131117 RDS131117 RNO131117 RXK131117 SHG131117 SRC131117 TAY131117 TKU131117 TUQ131117 UEM131117 UOI131117 UYE131117 VIA131117 VRW131117 WBS131117 WLO131117 WVK131117 C196653 IY196653 SU196653 ACQ196653 AMM196653 AWI196653 BGE196653 BQA196653 BZW196653 CJS196653 CTO196653 DDK196653 DNG196653 DXC196653 EGY196653 EQU196653 FAQ196653 FKM196653 FUI196653 GEE196653 GOA196653 GXW196653 HHS196653 HRO196653 IBK196653 ILG196653 IVC196653 JEY196653 JOU196653 JYQ196653 KIM196653 KSI196653 LCE196653 LMA196653 LVW196653 MFS196653 MPO196653 MZK196653 NJG196653 NTC196653 OCY196653 OMU196653 OWQ196653 PGM196653 PQI196653 QAE196653 QKA196653 QTW196653 RDS196653 RNO196653 RXK196653 SHG196653 SRC196653 TAY196653 TKU196653 TUQ196653 UEM196653 UOI196653 UYE196653 VIA196653 VRW196653 WBS196653 WLO196653 WVK196653 C262189 IY262189 SU262189 ACQ262189 AMM262189 AWI262189 BGE262189 BQA262189 BZW262189 CJS262189 CTO262189 DDK262189 DNG262189 DXC262189 EGY262189 EQU262189 FAQ262189 FKM262189 FUI262189 GEE262189 GOA262189 GXW262189 HHS262189 HRO262189 IBK262189 ILG262189 IVC262189 JEY262189 JOU262189 JYQ262189 KIM262189 KSI262189 LCE262189 LMA262189 LVW262189 MFS262189 MPO262189 MZK262189 NJG262189 NTC262189 OCY262189 OMU262189 OWQ262189 PGM262189 PQI262189 QAE262189 QKA262189 QTW262189 RDS262189 RNO262189 RXK262189 SHG262189 SRC262189 TAY262189 TKU262189 TUQ262189 UEM262189 UOI262189 UYE262189 VIA262189 VRW262189 WBS262189 WLO262189 WVK262189 C327725 IY327725 SU327725 ACQ327725 AMM327725 AWI327725 BGE327725 BQA327725 BZW327725 CJS327725 CTO327725 DDK327725 DNG327725 DXC327725 EGY327725 EQU327725 FAQ327725 FKM327725 FUI327725 GEE327725 GOA327725 GXW327725 HHS327725 HRO327725 IBK327725 ILG327725 IVC327725 JEY327725 JOU327725 JYQ327725 KIM327725 KSI327725 LCE327725 LMA327725 LVW327725 MFS327725 MPO327725 MZK327725 NJG327725 NTC327725 OCY327725 OMU327725 OWQ327725 PGM327725 PQI327725 QAE327725 QKA327725 QTW327725 RDS327725 RNO327725 RXK327725 SHG327725 SRC327725 TAY327725 TKU327725 TUQ327725 UEM327725 UOI327725 UYE327725 VIA327725 VRW327725 WBS327725 WLO327725 WVK327725 C393261 IY393261 SU393261 ACQ393261 AMM393261 AWI393261 BGE393261 BQA393261 BZW393261 CJS393261 CTO393261 DDK393261 DNG393261 DXC393261 EGY393261 EQU393261 FAQ393261 FKM393261 FUI393261 GEE393261 GOA393261 GXW393261 HHS393261 HRO393261 IBK393261 ILG393261 IVC393261 JEY393261 JOU393261 JYQ393261 KIM393261 KSI393261 LCE393261 LMA393261 LVW393261 MFS393261 MPO393261 MZK393261 NJG393261 NTC393261 OCY393261 OMU393261 OWQ393261 PGM393261 PQI393261 QAE393261 QKA393261 QTW393261 RDS393261 RNO393261 RXK393261 SHG393261 SRC393261 TAY393261 TKU393261 TUQ393261 UEM393261 UOI393261 UYE393261 VIA393261 VRW393261 WBS393261 WLO393261 WVK393261 C458797 IY458797 SU458797 ACQ458797 AMM458797 AWI458797 BGE458797 BQA458797 BZW458797 CJS458797 CTO458797 DDK458797 DNG458797 DXC458797 EGY458797 EQU458797 FAQ458797 FKM458797 FUI458797 GEE458797 GOA458797 GXW458797 HHS458797 HRO458797 IBK458797 ILG458797 IVC458797 JEY458797 JOU458797 JYQ458797 KIM458797 KSI458797 LCE458797 LMA458797 LVW458797 MFS458797 MPO458797 MZK458797 NJG458797 NTC458797 OCY458797 OMU458797 OWQ458797 PGM458797 PQI458797 QAE458797 QKA458797 QTW458797 RDS458797 RNO458797 RXK458797 SHG458797 SRC458797 TAY458797 TKU458797 TUQ458797 UEM458797 UOI458797 UYE458797 VIA458797 VRW458797 WBS458797 WLO458797 WVK458797 C524333 IY524333 SU524333 ACQ524333 AMM524333 AWI524333 BGE524333 BQA524333 BZW524333 CJS524333 CTO524333 DDK524333 DNG524333 DXC524333 EGY524333 EQU524333 FAQ524333 FKM524333 FUI524333 GEE524333 GOA524333 GXW524333 HHS524333 HRO524333 IBK524333 ILG524333 IVC524333 JEY524333 JOU524333 JYQ524333 KIM524333 KSI524333 LCE524333 LMA524333 LVW524333 MFS524333 MPO524333 MZK524333 NJG524333 NTC524333 OCY524333 OMU524333 OWQ524333 PGM524333 PQI524333 QAE524333 QKA524333 QTW524333 RDS524333 RNO524333 RXK524333 SHG524333 SRC524333 TAY524333 TKU524333 TUQ524333 UEM524333 UOI524333 UYE524333 VIA524333 VRW524333 WBS524333 WLO524333 WVK524333 C589869 IY589869 SU589869 ACQ589869 AMM589869 AWI589869 BGE589869 BQA589869 BZW589869 CJS589869 CTO589869 DDK589869 DNG589869 DXC589869 EGY589869 EQU589869 FAQ589869 FKM589869 FUI589869 GEE589869 GOA589869 GXW589869 HHS589869 HRO589869 IBK589869 ILG589869 IVC589869 JEY589869 JOU589869 JYQ589869 KIM589869 KSI589869 LCE589869 LMA589869 LVW589869 MFS589869 MPO589869 MZK589869 NJG589869 NTC589869 OCY589869 OMU589869 OWQ589869 PGM589869 PQI589869 QAE589869 QKA589869 QTW589869 RDS589869 RNO589869 RXK589869 SHG589869 SRC589869 TAY589869 TKU589869 TUQ589869 UEM589869 UOI589869 UYE589869 VIA589869 VRW589869 WBS589869 WLO589869 WVK589869 C655405 IY655405 SU655405 ACQ655405 AMM655405 AWI655405 BGE655405 BQA655405 BZW655405 CJS655405 CTO655405 DDK655405 DNG655405 DXC655405 EGY655405 EQU655405 FAQ655405 FKM655405 FUI655405 GEE655405 GOA655405 GXW655405 HHS655405 HRO655405 IBK655405 ILG655405 IVC655405 JEY655405 JOU655405 JYQ655405 KIM655405 KSI655405 LCE655405 LMA655405 LVW655405 MFS655405 MPO655405 MZK655405 NJG655405 NTC655405 OCY655405 OMU655405 OWQ655405 PGM655405 PQI655405 QAE655405 QKA655405 QTW655405 RDS655405 RNO655405 RXK655405 SHG655405 SRC655405 TAY655405 TKU655405 TUQ655405 UEM655405 UOI655405 UYE655405 VIA655405 VRW655405 WBS655405 WLO655405 WVK655405 C720941 IY720941 SU720941 ACQ720941 AMM720941 AWI720941 BGE720941 BQA720941 BZW720941 CJS720941 CTO720941 DDK720941 DNG720941 DXC720941 EGY720941 EQU720941 FAQ720941 FKM720941 FUI720941 GEE720941 GOA720941 GXW720941 HHS720941 HRO720941 IBK720941 ILG720941 IVC720941 JEY720941 JOU720941 JYQ720941 KIM720941 KSI720941 LCE720941 LMA720941 LVW720941 MFS720941 MPO720941 MZK720941 NJG720941 NTC720941 OCY720941 OMU720941 OWQ720941 PGM720941 PQI720941 QAE720941 QKA720941 QTW720941 RDS720941 RNO720941 RXK720941 SHG720941 SRC720941 TAY720941 TKU720941 TUQ720941 UEM720941 UOI720941 UYE720941 VIA720941 VRW720941 WBS720941 WLO720941 WVK720941 C786477 IY786477 SU786477 ACQ786477 AMM786477 AWI786477 BGE786477 BQA786477 BZW786477 CJS786477 CTO786477 DDK786477 DNG786477 DXC786477 EGY786477 EQU786477 FAQ786477 FKM786477 FUI786477 GEE786477 GOA786477 GXW786477 HHS786477 HRO786477 IBK786477 ILG786477 IVC786477 JEY786477 JOU786477 JYQ786477 KIM786477 KSI786477 LCE786477 LMA786477 LVW786477 MFS786477 MPO786477 MZK786477 NJG786477 NTC786477 OCY786477 OMU786477 OWQ786477 PGM786477 PQI786477 QAE786477 QKA786477 QTW786477 RDS786477 RNO786477 RXK786477 SHG786477 SRC786477 TAY786477 TKU786477 TUQ786477 UEM786477 UOI786477 UYE786477 VIA786477 VRW786477 WBS786477 WLO786477 WVK786477 C852013 IY852013 SU852013 ACQ852013 AMM852013 AWI852013 BGE852013 BQA852013 BZW852013 CJS852013 CTO852013 DDK852013 DNG852013 DXC852013 EGY852013 EQU852013 FAQ852013 FKM852013 FUI852013 GEE852013 GOA852013 GXW852013 HHS852013 HRO852013 IBK852013 ILG852013 IVC852013 JEY852013 JOU852013 JYQ852013 KIM852013 KSI852013 LCE852013 LMA852013 LVW852013 MFS852013 MPO852013 MZK852013 NJG852013 NTC852013 OCY852013 OMU852013 OWQ852013 PGM852013 PQI852013 QAE852013 QKA852013 QTW852013 RDS852013 RNO852013 RXK852013 SHG852013 SRC852013 TAY852013 TKU852013 TUQ852013 UEM852013 UOI852013 UYE852013 VIA852013 VRW852013 WBS852013 WLO852013 WVK852013 C917549 IY917549 SU917549 ACQ917549 AMM917549 AWI917549 BGE917549 BQA917549 BZW917549 CJS917549 CTO917549 DDK917549 DNG917549 DXC917549 EGY917549 EQU917549 FAQ917549 FKM917549 FUI917549 GEE917549 GOA917549 GXW917549 HHS917549 HRO917549 IBK917549 ILG917549 IVC917549 JEY917549 JOU917549 JYQ917549 KIM917549 KSI917549 LCE917549 LMA917549 LVW917549 MFS917549 MPO917549 MZK917549 NJG917549 NTC917549 OCY917549 OMU917549 OWQ917549 PGM917549 PQI917549 QAE917549 QKA917549 QTW917549 RDS917549 RNO917549 RXK917549 SHG917549 SRC917549 TAY917549 TKU917549 TUQ917549 UEM917549 UOI917549 UYE917549 VIA917549 VRW917549 WBS917549 WLO917549 WVK917549 C983085 IY983085 SU983085 ACQ983085 AMM983085 AWI983085 BGE983085 BQA983085 BZW983085 CJS983085 CTO983085 DDK983085 DNG983085 DXC983085 EGY983085 EQU983085 FAQ983085 FKM983085 FUI983085 GEE983085 GOA983085 GXW983085 HHS983085 HRO983085 IBK983085 ILG983085 IVC983085 JEY983085 JOU983085 JYQ983085 KIM983085 KSI983085 LCE983085 LMA983085 LVW983085 MFS983085 MPO983085 MZK983085 NJG983085 NTC983085 OCY983085 OMU983085 OWQ983085 PGM983085 PQI983085 QAE983085 QKA983085 QTW983085 RDS983085 RNO983085 RXK983085 SHG983085 SRC983085 TAY983085 TKU983085 TUQ983085 UEM983085 UOI983085 UYE983085 VIA983085 VRW983085 WBS983085 WLO983085 WVK983085" xr:uid="{00000000-0002-0000-0900-000000000000}">
      <formula1>"VIII,IX,X,XII"</formula1>
    </dataValidation>
    <dataValidation type="list" allowBlank="1" showInputMessage="1" showErrorMessage="1" sqref="WVK983133:WVK983138 C65619:C65625 IY65619:IY65625 SU65619:SU65625 ACQ65619:ACQ65625 AMM65619:AMM65625 AWI65619:AWI65625 BGE65619:BGE65625 BQA65619:BQA65625 BZW65619:BZW65625 CJS65619:CJS65625 CTO65619:CTO65625 DDK65619:DDK65625 DNG65619:DNG65625 DXC65619:DXC65625 EGY65619:EGY65625 EQU65619:EQU65625 FAQ65619:FAQ65625 FKM65619:FKM65625 FUI65619:FUI65625 GEE65619:GEE65625 GOA65619:GOA65625 GXW65619:GXW65625 HHS65619:HHS65625 HRO65619:HRO65625 IBK65619:IBK65625 ILG65619:ILG65625 IVC65619:IVC65625 JEY65619:JEY65625 JOU65619:JOU65625 JYQ65619:JYQ65625 KIM65619:KIM65625 KSI65619:KSI65625 LCE65619:LCE65625 LMA65619:LMA65625 LVW65619:LVW65625 MFS65619:MFS65625 MPO65619:MPO65625 MZK65619:MZK65625 NJG65619:NJG65625 NTC65619:NTC65625 OCY65619:OCY65625 OMU65619:OMU65625 OWQ65619:OWQ65625 PGM65619:PGM65625 PQI65619:PQI65625 QAE65619:QAE65625 QKA65619:QKA65625 QTW65619:QTW65625 RDS65619:RDS65625 RNO65619:RNO65625 RXK65619:RXK65625 SHG65619:SHG65625 SRC65619:SRC65625 TAY65619:TAY65625 TKU65619:TKU65625 TUQ65619:TUQ65625 UEM65619:UEM65625 UOI65619:UOI65625 UYE65619:UYE65625 VIA65619:VIA65625 VRW65619:VRW65625 WBS65619:WBS65625 WLO65619:WLO65625 WVK65619:WVK65625 C131155:C131161 IY131155:IY131161 SU131155:SU131161 ACQ131155:ACQ131161 AMM131155:AMM131161 AWI131155:AWI131161 BGE131155:BGE131161 BQA131155:BQA131161 BZW131155:BZW131161 CJS131155:CJS131161 CTO131155:CTO131161 DDK131155:DDK131161 DNG131155:DNG131161 DXC131155:DXC131161 EGY131155:EGY131161 EQU131155:EQU131161 FAQ131155:FAQ131161 FKM131155:FKM131161 FUI131155:FUI131161 GEE131155:GEE131161 GOA131155:GOA131161 GXW131155:GXW131161 HHS131155:HHS131161 HRO131155:HRO131161 IBK131155:IBK131161 ILG131155:ILG131161 IVC131155:IVC131161 JEY131155:JEY131161 JOU131155:JOU131161 JYQ131155:JYQ131161 KIM131155:KIM131161 KSI131155:KSI131161 LCE131155:LCE131161 LMA131155:LMA131161 LVW131155:LVW131161 MFS131155:MFS131161 MPO131155:MPO131161 MZK131155:MZK131161 NJG131155:NJG131161 NTC131155:NTC131161 OCY131155:OCY131161 OMU131155:OMU131161 OWQ131155:OWQ131161 PGM131155:PGM131161 PQI131155:PQI131161 QAE131155:QAE131161 QKA131155:QKA131161 QTW131155:QTW131161 RDS131155:RDS131161 RNO131155:RNO131161 RXK131155:RXK131161 SHG131155:SHG131161 SRC131155:SRC131161 TAY131155:TAY131161 TKU131155:TKU131161 TUQ131155:TUQ131161 UEM131155:UEM131161 UOI131155:UOI131161 UYE131155:UYE131161 VIA131155:VIA131161 VRW131155:VRW131161 WBS131155:WBS131161 WLO131155:WLO131161 WVK131155:WVK131161 C196691:C196697 IY196691:IY196697 SU196691:SU196697 ACQ196691:ACQ196697 AMM196691:AMM196697 AWI196691:AWI196697 BGE196691:BGE196697 BQA196691:BQA196697 BZW196691:BZW196697 CJS196691:CJS196697 CTO196691:CTO196697 DDK196691:DDK196697 DNG196691:DNG196697 DXC196691:DXC196697 EGY196691:EGY196697 EQU196691:EQU196697 FAQ196691:FAQ196697 FKM196691:FKM196697 FUI196691:FUI196697 GEE196691:GEE196697 GOA196691:GOA196697 GXW196691:GXW196697 HHS196691:HHS196697 HRO196691:HRO196697 IBK196691:IBK196697 ILG196691:ILG196697 IVC196691:IVC196697 JEY196691:JEY196697 JOU196691:JOU196697 JYQ196691:JYQ196697 KIM196691:KIM196697 KSI196691:KSI196697 LCE196691:LCE196697 LMA196691:LMA196697 LVW196691:LVW196697 MFS196691:MFS196697 MPO196691:MPO196697 MZK196691:MZK196697 NJG196691:NJG196697 NTC196691:NTC196697 OCY196691:OCY196697 OMU196691:OMU196697 OWQ196691:OWQ196697 PGM196691:PGM196697 PQI196691:PQI196697 QAE196691:QAE196697 QKA196691:QKA196697 QTW196691:QTW196697 RDS196691:RDS196697 RNO196691:RNO196697 RXK196691:RXK196697 SHG196691:SHG196697 SRC196691:SRC196697 TAY196691:TAY196697 TKU196691:TKU196697 TUQ196691:TUQ196697 UEM196691:UEM196697 UOI196691:UOI196697 UYE196691:UYE196697 VIA196691:VIA196697 VRW196691:VRW196697 WBS196691:WBS196697 WLO196691:WLO196697 WVK196691:WVK196697 C262227:C262233 IY262227:IY262233 SU262227:SU262233 ACQ262227:ACQ262233 AMM262227:AMM262233 AWI262227:AWI262233 BGE262227:BGE262233 BQA262227:BQA262233 BZW262227:BZW262233 CJS262227:CJS262233 CTO262227:CTO262233 DDK262227:DDK262233 DNG262227:DNG262233 DXC262227:DXC262233 EGY262227:EGY262233 EQU262227:EQU262233 FAQ262227:FAQ262233 FKM262227:FKM262233 FUI262227:FUI262233 GEE262227:GEE262233 GOA262227:GOA262233 GXW262227:GXW262233 HHS262227:HHS262233 HRO262227:HRO262233 IBK262227:IBK262233 ILG262227:ILG262233 IVC262227:IVC262233 JEY262227:JEY262233 JOU262227:JOU262233 JYQ262227:JYQ262233 KIM262227:KIM262233 KSI262227:KSI262233 LCE262227:LCE262233 LMA262227:LMA262233 LVW262227:LVW262233 MFS262227:MFS262233 MPO262227:MPO262233 MZK262227:MZK262233 NJG262227:NJG262233 NTC262227:NTC262233 OCY262227:OCY262233 OMU262227:OMU262233 OWQ262227:OWQ262233 PGM262227:PGM262233 PQI262227:PQI262233 QAE262227:QAE262233 QKA262227:QKA262233 QTW262227:QTW262233 RDS262227:RDS262233 RNO262227:RNO262233 RXK262227:RXK262233 SHG262227:SHG262233 SRC262227:SRC262233 TAY262227:TAY262233 TKU262227:TKU262233 TUQ262227:TUQ262233 UEM262227:UEM262233 UOI262227:UOI262233 UYE262227:UYE262233 VIA262227:VIA262233 VRW262227:VRW262233 WBS262227:WBS262233 WLO262227:WLO262233 WVK262227:WVK262233 C327763:C327769 IY327763:IY327769 SU327763:SU327769 ACQ327763:ACQ327769 AMM327763:AMM327769 AWI327763:AWI327769 BGE327763:BGE327769 BQA327763:BQA327769 BZW327763:BZW327769 CJS327763:CJS327769 CTO327763:CTO327769 DDK327763:DDK327769 DNG327763:DNG327769 DXC327763:DXC327769 EGY327763:EGY327769 EQU327763:EQU327769 FAQ327763:FAQ327769 FKM327763:FKM327769 FUI327763:FUI327769 GEE327763:GEE327769 GOA327763:GOA327769 GXW327763:GXW327769 HHS327763:HHS327769 HRO327763:HRO327769 IBK327763:IBK327769 ILG327763:ILG327769 IVC327763:IVC327769 JEY327763:JEY327769 JOU327763:JOU327769 JYQ327763:JYQ327769 KIM327763:KIM327769 KSI327763:KSI327769 LCE327763:LCE327769 LMA327763:LMA327769 LVW327763:LVW327769 MFS327763:MFS327769 MPO327763:MPO327769 MZK327763:MZK327769 NJG327763:NJG327769 NTC327763:NTC327769 OCY327763:OCY327769 OMU327763:OMU327769 OWQ327763:OWQ327769 PGM327763:PGM327769 PQI327763:PQI327769 QAE327763:QAE327769 QKA327763:QKA327769 QTW327763:QTW327769 RDS327763:RDS327769 RNO327763:RNO327769 RXK327763:RXK327769 SHG327763:SHG327769 SRC327763:SRC327769 TAY327763:TAY327769 TKU327763:TKU327769 TUQ327763:TUQ327769 UEM327763:UEM327769 UOI327763:UOI327769 UYE327763:UYE327769 VIA327763:VIA327769 VRW327763:VRW327769 WBS327763:WBS327769 WLO327763:WLO327769 WVK327763:WVK327769 C393299:C393305 IY393299:IY393305 SU393299:SU393305 ACQ393299:ACQ393305 AMM393299:AMM393305 AWI393299:AWI393305 BGE393299:BGE393305 BQA393299:BQA393305 BZW393299:BZW393305 CJS393299:CJS393305 CTO393299:CTO393305 DDK393299:DDK393305 DNG393299:DNG393305 DXC393299:DXC393305 EGY393299:EGY393305 EQU393299:EQU393305 FAQ393299:FAQ393305 FKM393299:FKM393305 FUI393299:FUI393305 GEE393299:GEE393305 GOA393299:GOA393305 GXW393299:GXW393305 HHS393299:HHS393305 HRO393299:HRO393305 IBK393299:IBK393305 ILG393299:ILG393305 IVC393299:IVC393305 JEY393299:JEY393305 JOU393299:JOU393305 JYQ393299:JYQ393305 KIM393299:KIM393305 KSI393299:KSI393305 LCE393299:LCE393305 LMA393299:LMA393305 LVW393299:LVW393305 MFS393299:MFS393305 MPO393299:MPO393305 MZK393299:MZK393305 NJG393299:NJG393305 NTC393299:NTC393305 OCY393299:OCY393305 OMU393299:OMU393305 OWQ393299:OWQ393305 PGM393299:PGM393305 PQI393299:PQI393305 QAE393299:QAE393305 QKA393299:QKA393305 QTW393299:QTW393305 RDS393299:RDS393305 RNO393299:RNO393305 RXK393299:RXK393305 SHG393299:SHG393305 SRC393299:SRC393305 TAY393299:TAY393305 TKU393299:TKU393305 TUQ393299:TUQ393305 UEM393299:UEM393305 UOI393299:UOI393305 UYE393299:UYE393305 VIA393299:VIA393305 VRW393299:VRW393305 WBS393299:WBS393305 WLO393299:WLO393305 WVK393299:WVK393305 C458835:C458841 IY458835:IY458841 SU458835:SU458841 ACQ458835:ACQ458841 AMM458835:AMM458841 AWI458835:AWI458841 BGE458835:BGE458841 BQA458835:BQA458841 BZW458835:BZW458841 CJS458835:CJS458841 CTO458835:CTO458841 DDK458835:DDK458841 DNG458835:DNG458841 DXC458835:DXC458841 EGY458835:EGY458841 EQU458835:EQU458841 FAQ458835:FAQ458841 FKM458835:FKM458841 FUI458835:FUI458841 GEE458835:GEE458841 GOA458835:GOA458841 GXW458835:GXW458841 HHS458835:HHS458841 HRO458835:HRO458841 IBK458835:IBK458841 ILG458835:ILG458841 IVC458835:IVC458841 JEY458835:JEY458841 JOU458835:JOU458841 JYQ458835:JYQ458841 KIM458835:KIM458841 KSI458835:KSI458841 LCE458835:LCE458841 LMA458835:LMA458841 LVW458835:LVW458841 MFS458835:MFS458841 MPO458835:MPO458841 MZK458835:MZK458841 NJG458835:NJG458841 NTC458835:NTC458841 OCY458835:OCY458841 OMU458835:OMU458841 OWQ458835:OWQ458841 PGM458835:PGM458841 PQI458835:PQI458841 QAE458835:QAE458841 QKA458835:QKA458841 QTW458835:QTW458841 RDS458835:RDS458841 RNO458835:RNO458841 RXK458835:RXK458841 SHG458835:SHG458841 SRC458835:SRC458841 TAY458835:TAY458841 TKU458835:TKU458841 TUQ458835:TUQ458841 UEM458835:UEM458841 UOI458835:UOI458841 UYE458835:UYE458841 VIA458835:VIA458841 VRW458835:VRW458841 WBS458835:WBS458841 WLO458835:WLO458841 WVK458835:WVK458841 C524371:C524377 IY524371:IY524377 SU524371:SU524377 ACQ524371:ACQ524377 AMM524371:AMM524377 AWI524371:AWI524377 BGE524371:BGE524377 BQA524371:BQA524377 BZW524371:BZW524377 CJS524371:CJS524377 CTO524371:CTO524377 DDK524371:DDK524377 DNG524371:DNG524377 DXC524371:DXC524377 EGY524371:EGY524377 EQU524371:EQU524377 FAQ524371:FAQ524377 FKM524371:FKM524377 FUI524371:FUI524377 GEE524371:GEE524377 GOA524371:GOA524377 GXW524371:GXW524377 HHS524371:HHS524377 HRO524371:HRO524377 IBK524371:IBK524377 ILG524371:ILG524377 IVC524371:IVC524377 JEY524371:JEY524377 JOU524371:JOU524377 JYQ524371:JYQ524377 KIM524371:KIM524377 KSI524371:KSI524377 LCE524371:LCE524377 LMA524371:LMA524377 LVW524371:LVW524377 MFS524371:MFS524377 MPO524371:MPO524377 MZK524371:MZK524377 NJG524371:NJG524377 NTC524371:NTC524377 OCY524371:OCY524377 OMU524371:OMU524377 OWQ524371:OWQ524377 PGM524371:PGM524377 PQI524371:PQI524377 QAE524371:QAE524377 QKA524371:QKA524377 QTW524371:QTW524377 RDS524371:RDS524377 RNO524371:RNO524377 RXK524371:RXK524377 SHG524371:SHG524377 SRC524371:SRC524377 TAY524371:TAY524377 TKU524371:TKU524377 TUQ524371:TUQ524377 UEM524371:UEM524377 UOI524371:UOI524377 UYE524371:UYE524377 VIA524371:VIA524377 VRW524371:VRW524377 WBS524371:WBS524377 WLO524371:WLO524377 WVK524371:WVK524377 C589907:C589913 IY589907:IY589913 SU589907:SU589913 ACQ589907:ACQ589913 AMM589907:AMM589913 AWI589907:AWI589913 BGE589907:BGE589913 BQA589907:BQA589913 BZW589907:BZW589913 CJS589907:CJS589913 CTO589907:CTO589913 DDK589907:DDK589913 DNG589907:DNG589913 DXC589907:DXC589913 EGY589907:EGY589913 EQU589907:EQU589913 FAQ589907:FAQ589913 FKM589907:FKM589913 FUI589907:FUI589913 GEE589907:GEE589913 GOA589907:GOA589913 GXW589907:GXW589913 HHS589907:HHS589913 HRO589907:HRO589913 IBK589907:IBK589913 ILG589907:ILG589913 IVC589907:IVC589913 JEY589907:JEY589913 JOU589907:JOU589913 JYQ589907:JYQ589913 KIM589907:KIM589913 KSI589907:KSI589913 LCE589907:LCE589913 LMA589907:LMA589913 LVW589907:LVW589913 MFS589907:MFS589913 MPO589907:MPO589913 MZK589907:MZK589913 NJG589907:NJG589913 NTC589907:NTC589913 OCY589907:OCY589913 OMU589907:OMU589913 OWQ589907:OWQ589913 PGM589907:PGM589913 PQI589907:PQI589913 QAE589907:QAE589913 QKA589907:QKA589913 QTW589907:QTW589913 RDS589907:RDS589913 RNO589907:RNO589913 RXK589907:RXK589913 SHG589907:SHG589913 SRC589907:SRC589913 TAY589907:TAY589913 TKU589907:TKU589913 TUQ589907:TUQ589913 UEM589907:UEM589913 UOI589907:UOI589913 UYE589907:UYE589913 VIA589907:VIA589913 VRW589907:VRW589913 WBS589907:WBS589913 WLO589907:WLO589913 WVK589907:WVK589913 C655443:C655449 IY655443:IY655449 SU655443:SU655449 ACQ655443:ACQ655449 AMM655443:AMM655449 AWI655443:AWI655449 BGE655443:BGE655449 BQA655443:BQA655449 BZW655443:BZW655449 CJS655443:CJS655449 CTO655443:CTO655449 DDK655443:DDK655449 DNG655443:DNG655449 DXC655443:DXC655449 EGY655443:EGY655449 EQU655443:EQU655449 FAQ655443:FAQ655449 FKM655443:FKM655449 FUI655443:FUI655449 GEE655443:GEE655449 GOA655443:GOA655449 GXW655443:GXW655449 HHS655443:HHS655449 HRO655443:HRO655449 IBK655443:IBK655449 ILG655443:ILG655449 IVC655443:IVC655449 JEY655443:JEY655449 JOU655443:JOU655449 JYQ655443:JYQ655449 KIM655443:KIM655449 KSI655443:KSI655449 LCE655443:LCE655449 LMA655443:LMA655449 LVW655443:LVW655449 MFS655443:MFS655449 MPO655443:MPO655449 MZK655443:MZK655449 NJG655443:NJG655449 NTC655443:NTC655449 OCY655443:OCY655449 OMU655443:OMU655449 OWQ655443:OWQ655449 PGM655443:PGM655449 PQI655443:PQI655449 QAE655443:QAE655449 QKA655443:QKA655449 QTW655443:QTW655449 RDS655443:RDS655449 RNO655443:RNO655449 RXK655443:RXK655449 SHG655443:SHG655449 SRC655443:SRC655449 TAY655443:TAY655449 TKU655443:TKU655449 TUQ655443:TUQ655449 UEM655443:UEM655449 UOI655443:UOI655449 UYE655443:UYE655449 VIA655443:VIA655449 VRW655443:VRW655449 WBS655443:WBS655449 WLO655443:WLO655449 WVK655443:WVK655449 C720979:C720985 IY720979:IY720985 SU720979:SU720985 ACQ720979:ACQ720985 AMM720979:AMM720985 AWI720979:AWI720985 BGE720979:BGE720985 BQA720979:BQA720985 BZW720979:BZW720985 CJS720979:CJS720985 CTO720979:CTO720985 DDK720979:DDK720985 DNG720979:DNG720985 DXC720979:DXC720985 EGY720979:EGY720985 EQU720979:EQU720985 FAQ720979:FAQ720985 FKM720979:FKM720985 FUI720979:FUI720985 GEE720979:GEE720985 GOA720979:GOA720985 GXW720979:GXW720985 HHS720979:HHS720985 HRO720979:HRO720985 IBK720979:IBK720985 ILG720979:ILG720985 IVC720979:IVC720985 JEY720979:JEY720985 JOU720979:JOU720985 JYQ720979:JYQ720985 KIM720979:KIM720985 KSI720979:KSI720985 LCE720979:LCE720985 LMA720979:LMA720985 LVW720979:LVW720985 MFS720979:MFS720985 MPO720979:MPO720985 MZK720979:MZK720985 NJG720979:NJG720985 NTC720979:NTC720985 OCY720979:OCY720985 OMU720979:OMU720985 OWQ720979:OWQ720985 PGM720979:PGM720985 PQI720979:PQI720985 QAE720979:QAE720985 QKA720979:QKA720985 QTW720979:QTW720985 RDS720979:RDS720985 RNO720979:RNO720985 RXK720979:RXK720985 SHG720979:SHG720985 SRC720979:SRC720985 TAY720979:TAY720985 TKU720979:TKU720985 TUQ720979:TUQ720985 UEM720979:UEM720985 UOI720979:UOI720985 UYE720979:UYE720985 VIA720979:VIA720985 VRW720979:VRW720985 WBS720979:WBS720985 WLO720979:WLO720985 WVK720979:WVK720985 C786515:C786521 IY786515:IY786521 SU786515:SU786521 ACQ786515:ACQ786521 AMM786515:AMM786521 AWI786515:AWI786521 BGE786515:BGE786521 BQA786515:BQA786521 BZW786515:BZW786521 CJS786515:CJS786521 CTO786515:CTO786521 DDK786515:DDK786521 DNG786515:DNG786521 DXC786515:DXC786521 EGY786515:EGY786521 EQU786515:EQU786521 FAQ786515:FAQ786521 FKM786515:FKM786521 FUI786515:FUI786521 GEE786515:GEE786521 GOA786515:GOA786521 GXW786515:GXW786521 HHS786515:HHS786521 HRO786515:HRO786521 IBK786515:IBK786521 ILG786515:ILG786521 IVC786515:IVC786521 JEY786515:JEY786521 JOU786515:JOU786521 JYQ786515:JYQ786521 KIM786515:KIM786521 KSI786515:KSI786521 LCE786515:LCE786521 LMA786515:LMA786521 LVW786515:LVW786521 MFS786515:MFS786521 MPO786515:MPO786521 MZK786515:MZK786521 NJG786515:NJG786521 NTC786515:NTC786521 OCY786515:OCY786521 OMU786515:OMU786521 OWQ786515:OWQ786521 PGM786515:PGM786521 PQI786515:PQI786521 QAE786515:QAE786521 QKA786515:QKA786521 QTW786515:QTW786521 RDS786515:RDS786521 RNO786515:RNO786521 RXK786515:RXK786521 SHG786515:SHG786521 SRC786515:SRC786521 TAY786515:TAY786521 TKU786515:TKU786521 TUQ786515:TUQ786521 UEM786515:UEM786521 UOI786515:UOI786521 UYE786515:UYE786521 VIA786515:VIA786521 VRW786515:VRW786521 WBS786515:WBS786521 WLO786515:WLO786521 WVK786515:WVK786521 C852051:C852057 IY852051:IY852057 SU852051:SU852057 ACQ852051:ACQ852057 AMM852051:AMM852057 AWI852051:AWI852057 BGE852051:BGE852057 BQA852051:BQA852057 BZW852051:BZW852057 CJS852051:CJS852057 CTO852051:CTO852057 DDK852051:DDK852057 DNG852051:DNG852057 DXC852051:DXC852057 EGY852051:EGY852057 EQU852051:EQU852057 FAQ852051:FAQ852057 FKM852051:FKM852057 FUI852051:FUI852057 GEE852051:GEE852057 GOA852051:GOA852057 GXW852051:GXW852057 HHS852051:HHS852057 HRO852051:HRO852057 IBK852051:IBK852057 ILG852051:ILG852057 IVC852051:IVC852057 JEY852051:JEY852057 JOU852051:JOU852057 JYQ852051:JYQ852057 KIM852051:KIM852057 KSI852051:KSI852057 LCE852051:LCE852057 LMA852051:LMA852057 LVW852051:LVW852057 MFS852051:MFS852057 MPO852051:MPO852057 MZK852051:MZK852057 NJG852051:NJG852057 NTC852051:NTC852057 OCY852051:OCY852057 OMU852051:OMU852057 OWQ852051:OWQ852057 PGM852051:PGM852057 PQI852051:PQI852057 QAE852051:QAE852057 QKA852051:QKA852057 QTW852051:QTW852057 RDS852051:RDS852057 RNO852051:RNO852057 RXK852051:RXK852057 SHG852051:SHG852057 SRC852051:SRC852057 TAY852051:TAY852057 TKU852051:TKU852057 TUQ852051:TUQ852057 UEM852051:UEM852057 UOI852051:UOI852057 UYE852051:UYE852057 VIA852051:VIA852057 VRW852051:VRW852057 WBS852051:WBS852057 WLO852051:WLO852057 WVK852051:WVK852057 C917587:C917593 IY917587:IY917593 SU917587:SU917593 ACQ917587:ACQ917593 AMM917587:AMM917593 AWI917587:AWI917593 BGE917587:BGE917593 BQA917587:BQA917593 BZW917587:BZW917593 CJS917587:CJS917593 CTO917587:CTO917593 DDK917587:DDK917593 DNG917587:DNG917593 DXC917587:DXC917593 EGY917587:EGY917593 EQU917587:EQU917593 FAQ917587:FAQ917593 FKM917587:FKM917593 FUI917587:FUI917593 GEE917587:GEE917593 GOA917587:GOA917593 GXW917587:GXW917593 HHS917587:HHS917593 HRO917587:HRO917593 IBK917587:IBK917593 ILG917587:ILG917593 IVC917587:IVC917593 JEY917587:JEY917593 JOU917587:JOU917593 JYQ917587:JYQ917593 KIM917587:KIM917593 KSI917587:KSI917593 LCE917587:LCE917593 LMA917587:LMA917593 LVW917587:LVW917593 MFS917587:MFS917593 MPO917587:MPO917593 MZK917587:MZK917593 NJG917587:NJG917593 NTC917587:NTC917593 OCY917587:OCY917593 OMU917587:OMU917593 OWQ917587:OWQ917593 PGM917587:PGM917593 PQI917587:PQI917593 QAE917587:QAE917593 QKA917587:QKA917593 QTW917587:QTW917593 RDS917587:RDS917593 RNO917587:RNO917593 RXK917587:RXK917593 SHG917587:SHG917593 SRC917587:SRC917593 TAY917587:TAY917593 TKU917587:TKU917593 TUQ917587:TUQ917593 UEM917587:UEM917593 UOI917587:UOI917593 UYE917587:UYE917593 VIA917587:VIA917593 VRW917587:VRW917593 WBS917587:WBS917593 WLO917587:WLO917593 WVK917587:WVK917593 C983123:C983129 IY983123:IY983129 SU983123:SU983129 ACQ983123:ACQ983129 AMM983123:AMM983129 AWI983123:AWI983129 BGE983123:BGE983129 BQA983123:BQA983129 BZW983123:BZW983129 CJS983123:CJS983129 CTO983123:CTO983129 DDK983123:DDK983129 DNG983123:DNG983129 DXC983123:DXC983129 EGY983123:EGY983129 EQU983123:EQU983129 FAQ983123:FAQ983129 FKM983123:FKM983129 FUI983123:FUI983129 GEE983123:GEE983129 GOA983123:GOA983129 GXW983123:GXW983129 HHS983123:HHS983129 HRO983123:HRO983129 IBK983123:IBK983129 ILG983123:ILG983129 IVC983123:IVC983129 JEY983123:JEY983129 JOU983123:JOU983129 JYQ983123:JYQ983129 KIM983123:KIM983129 KSI983123:KSI983129 LCE983123:LCE983129 LMA983123:LMA983129 LVW983123:LVW983129 MFS983123:MFS983129 MPO983123:MPO983129 MZK983123:MZK983129 NJG983123:NJG983129 NTC983123:NTC983129 OCY983123:OCY983129 OMU983123:OMU983129 OWQ983123:OWQ983129 PGM983123:PGM983129 PQI983123:PQI983129 QAE983123:QAE983129 QKA983123:QKA983129 QTW983123:QTW983129 RDS983123:RDS983129 RNO983123:RNO983129 RXK983123:RXK983129 SHG983123:SHG983129 SRC983123:SRC983129 TAY983123:TAY983129 TKU983123:TKU983129 TUQ983123:TUQ983129 UEM983123:UEM983129 UOI983123:UOI983129 UYE983123:UYE983129 VIA983123:VIA983129 VRW983123:VRW983129 WBS983123:WBS983129 WLO983123:WLO983129 WVK983123:WVK983129 C65629:C65634 IY65629:IY65634 SU65629:SU65634 ACQ65629:ACQ65634 AMM65629:AMM65634 AWI65629:AWI65634 BGE65629:BGE65634 BQA65629:BQA65634 BZW65629:BZW65634 CJS65629:CJS65634 CTO65629:CTO65634 DDK65629:DDK65634 DNG65629:DNG65634 DXC65629:DXC65634 EGY65629:EGY65634 EQU65629:EQU65634 FAQ65629:FAQ65634 FKM65629:FKM65634 FUI65629:FUI65634 GEE65629:GEE65634 GOA65629:GOA65634 GXW65629:GXW65634 HHS65629:HHS65634 HRO65629:HRO65634 IBK65629:IBK65634 ILG65629:ILG65634 IVC65629:IVC65634 JEY65629:JEY65634 JOU65629:JOU65634 JYQ65629:JYQ65634 KIM65629:KIM65634 KSI65629:KSI65634 LCE65629:LCE65634 LMA65629:LMA65634 LVW65629:LVW65634 MFS65629:MFS65634 MPO65629:MPO65634 MZK65629:MZK65634 NJG65629:NJG65634 NTC65629:NTC65634 OCY65629:OCY65634 OMU65629:OMU65634 OWQ65629:OWQ65634 PGM65629:PGM65634 PQI65629:PQI65634 QAE65629:QAE65634 QKA65629:QKA65634 QTW65629:QTW65634 RDS65629:RDS65634 RNO65629:RNO65634 RXK65629:RXK65634 SHG65629:SHG65634 SRC65629:SRC65634 TAY65629:TAY65634 TKU65629:TKU65634 TUQ65629:TUQ65634 UEM65629:UEM65634 UOI65629:UOI65634 UYE65629:UYE65634 VIA65629:VIA65634 VRW65629:VRW65634 WBS65629:WBS65634 WLO65629:WLO65634 WVK65629:WVK65634 C131165:C131170 IY131165:IY131170 SU131165:SU131170 ACQ131165:ACQ131170 AMM131165:AMM131170 AWI131165:AWI131170 BGE131165:BGE131170 BQA131165:BQA131170 BZW131165:BZW131170 CJS131165:CJS131170 CTO131165:CTO131170 DDK131165:DDK131170 DNG131165:DNG131170 DXC131165:DXC131170 EGY131165:EGY131170 EQU131165:EQU131170 FAQ131165:FAQ131170 FKM131165:FKM131170 FUI131165:FUI131170 GEE131165:GEE131170 GOA131165:GOA131170 GXW131165:GXW131170 HHS131165:HHS131170 HRO131165:HRO131170 IBK131165:IBK131170 ILG131165:ILG131170 IVC131165:IVC131170 JEY131165:JEY131170 JOU131165:JOU131170 JYQ131165:JYQ131170 KIM131165:KIM131170 KSI131165:KSI131170 LCE131165:LCE131170 LMA131165:LMA131170 LVW131165:LVW131170 MFS131165:MFS131170 MPO131165:MPO131170 MZK131165:MZK131170 NJG131165:NJG131170 NTC131165:NTC131170 OCY131165:OCY131170 OMU131165:OMU131170 OWQ131165:OWQ131170 PGM131165:PGM131170 PQI131165:PQI131170 QAE131165:QAE131170 QKA131165:QKA131170 QTW131165:QTW131170 RDS131165:RDS131170 RNO131165:RNO131170 RXK131165:RXK131170 SHG131165:SHG131170 SRC131165:SRC131170 TAY131165:TAY131170 TKU131165:TKU131170 TUQ131165:TUQ131170 UEM131165:UEM131170 UOI131165:UOI131170 UYE131165:UYE131170 VIA131165:VIA131170 VRW131165:VRW131170 WBS131165:WBS131170 WLO131165:WLO131170 WVK131165:WVK131170 C196701:C196706 IY196701:IY196706 SU196701:SU196706 ACQ196701:ACQ196706 AMM196701:AMM196706 AWI196701:AWI196706 BGE196701:BGE196706 BQA196701:BQA196706 BZW196701:BZW196706 CJS196701:CJS196706 CTO196701:CTO196706 DDK196701:DDK196706 DNG196701:DNG196706 DXC196701:DXC196706 EGY196701:EGY196706 EQU196701:EQU196706 FAQ196701:FAQ196706 FKM196701:FKM196706 FUI196701:FUI196706 GEE196701:GEE196706 GOA196701:GOA196706 GXW196701:GXW196706 HHS196701:HHS196706 HRO196701:HRO196706 IBK196701:IBK196706 ILG196701:ILG196706 IVC196701:IVC196706 JEY196701:JEY196706 JOU196701:JOU196706 JYQ196701:JYQ196706 KIM196701:KIM196706 KSI196701:KSI196706 LCE196701:LCE196706 LMA196701:LMA196706 LVW196701:LVW196706 MFS196701:MFS196706 MPO196701:MPO196706 MZK196701:MZK196706 NJG196701:NJG196706 NTC196701:NTC196706 OCY196701:OCY196706 OMU196701:OMU196706 OWQ196701:OWQ196706 PGM196701:PGM196706 PQI196701:PQI196706 QAE196701:QAE196706 QKA196701:QKA196706 QTW196701:QTW196706 RDS196701:RDS196706 RNO196701:RNO196706 RXK196701:RXK196706 SHG196701:SHG196706 SRC196701:SRC196706 TAY196701:TAY196706 TKU196701:TKU196706 TUQ196701:TUQ196706 UEM196701:UEM196706 UOI196701:UOI196706 UYE196701:UYE196706 VIA196701:VIA196706 VRW196701:VRW196706 WBS196701:WBS196706 WLO196701:WLO196706 WVK196701:WVK196706 C262237:C262242 IY262237:IY262242 SU262237:SU262242 ACQ262237:ACQ262242 AMM262237:AMM262242 AWI262237:AWI262242 BGE262237:BGE262242 BQA262237:BQA262242 BZW262237:BZW262242 CJS262237:CJS262242 CTO262237:CTO262242 DDK262237:DDK262242 DNG262237:DNG262242 DXC262237:DXC262242 EGY262237:EGY262242 EQU262237:EQU262242 FAQ262237:FAQ262242 FKM262237:FKM262242 FUI262237:FUI262242 GEE262237:GEE262242 GOA262237:GOA262242 GXW262237:GXW262242 HHS262237:HHS262242 HRO262237:HRO262242 IBK262237:IBK262242 ILG262237:ILG262242 IVC262237:IVC262242 JEY262237:JEY262242 JOU262237:JOU262242 JYQ262237:JYQ262242 KIM262237:KIM262242 KSI262237:KSI262242 LCE262237:LCE262242 LMA262237:LMA262242 LVW262237:LVW262242 MFS262237:MFS262242 MPO262237:MPO262242 MZK262237:MZK262242 NJG262237:NJG262242 NTC262237:NTC262242 OCY262237:OCY262242 OMU262237:OMU262242 OWQ262237:OWQ262242 PGM262237:PGM262242 PQI262237:PQI262242 QAE262237:QAE262242 QKA262237:QKA262242 QTW262237:QTW262242 RDS262237:RDS262242 RNO262237:RNO262242 RXK262237:RXK262242 SHG262237:SHG262242 SRC262237:SRC262242 TAY262237:TAY262242 TKU262237:TKU262242 TUQ262237:TUQ262242 UEM262237:UEM262242 UOI262237:UOI262242 UYE262237:UYE262242 VIA262237:VIA262242 VRW262237:VRW262242 WBS262237:WBS262242 WLO262237:WLO262242 WVK262237:WVK262242 C327773:C327778 IY327773:IY327778 SU327773:SU327778 ACQ327773:ACQ327778 AMM327773:AMM327778 AWI327773:AWI327778 BGE327773:BGE327778 BQA327773:BQA327778 BZW327773:BZW327778 CJS327773:CJS327778 CTO327773:CTO327778 DDK327773:DDK327778 DNG327773:DNG327778 DXC327773:DXC327778 EGY327773:EGY327778 EQU327773:EQU327778 FAQ327773:FAQ327778 FKM327773:FKM327778 FUI327773:FUI327778 GEE327773:GEE327778 GOA327773:GOA327778 GXW327773:GXW327778 HHS327773:HHS327778 HRO327773:HRO327778 IBK327773:IBK327778 ILG327773:ILG327778 IVC327773:IVC327778 JEY327773:JEY327778 JOU327773:JOU327778 JYQ327773:JYQ327778 KIM327773:KIM327778 KSI327773:KSI327778 LCE327773:LCE327778 LMA327773:LMA327778 LVW327773:LVW327778 MFS327773:MFS327778 MPO327773:MPO327778 MZK327773:MZK327778 NJG327773:NJG327778 NTC327773:NTC327778 OCY327773:OCY327778 OMU327773:OMU327778 OWQ327773:OWQ327778 PGM327773:PGM327778 PQI327773:PQI327778 QAE327773:QAE327778 QKA327773:QKA327778 QTW327773:QTW327778 RDS327773:RDS327778 RNO327773:RNO327778 RXK327773:RXK327778 SHG327773:SHG327778 SRC327773:SRC327778 TAY327773:TAY327778 TKU327773:TKU327778 TUQ327773:TUQ327778 UEM327773:UEM327778 UOI327773:UOI327778 UYE327773:UYE327778 VIA327773:VIA327778 VRW327773:VRW327778 WBS327773:WBS327778 WLO327773:WLO327778 WVK327773:WVK327778 C393309:C393314 IY393309:IY393314 SU393309:SU393314 ACQ393309:ACQ393314 AMM393309:AMM393314 AWI393309:AWI393314 BGE393309:BGE393314 BQA393309:BQA393314 BZW393309:BZW393314 CJS393309:CJS393314 CTO393309:CTO393314 DDK393309:DDK393314 DNG393309:DNG393314 DXC393309:DXC393314 EGY393309:EGY393314 EQU393309:EQU393314 FAQ393309:FAQ393314 FKM393309:FKM393314 FUI393309:FUI393314 GEE393309:GEE393314 GOA393309:GOA393314 GXW393309:GXW393314 HHS393309:HHS393314 HRO393309:HRO393314 IBK393309:IBK393314 ILG393309:ILG393314 IVC393309:IVC393314 JEY393309:JEY393314 JOU393309:JOU393314 JYQ393309:JYQ393314 KIM393309:KIM393314 KSI393309:KSI393314 LCE393309:LCE393314 LMA393309:LMA393314 LVW393309:LVW393314 MFS393309:MFS393314 MPO393309:MPO393314 MZK393309:MZK393314 NJG393309:NJG393314 NTC393309:NTC393314 OCY393309:OCY393314 OMU393309:OMU393314 OWQ393309:OWQ393314 PGM393309:PGM393314 PQI393309:PQI393314 QAE393309:QAE393314 QKA393309:QKA393314 QTW393309:QTW393314 RDS393309:RDS393314 RNO393309:RNO393314 RXK393309:RXK393314 SHG393309:SHG393314 SRC393309:SRC393314 TAY393309:TAY393314 TKU393309:TKU393314 TUQ393309:TUQ393314 UEM393309:UEM393314 UOI393309:UOI393314 UYE393309:UYE393314 VIA393309:VIA393314 VRW393309:VRW393314 WBS393309:WBS393314 WLO393309:WLO393314 WVK393309:WVK393314 C458845:C458850 IY458845:IY458850 SU458845:SU458850 ACQ458845:ACQ458850 AMM458845:AMM458850 AWI458845:AWI458850 BGE458845:BGE458850 BQA458845:BQA458850 BZW458845:BZW458850 CJS458845:CJS458850 CTO458845:CTO458850 DDK458845:DDK458850 DNG458845:DNG458850 DXC458845:DXC458850 EGY458845:EGY458850 EQU458845:EQU458850 FAQ458845:FAQ458850 FKM458845:FKM458850 FUI458845:FUI458850 GEE458845:GEE458850 GOA458845:GOA458850 GXW458845:GXW458850 HHS458845:HHS458850 HRO458845:HRO458850 IBK458845:IBK458850 ILG458845:ILG458850 IVC458845:IVC458850 JEY458845:JEY458850 JOU458845:JOU458850 JYQ458845:JYQ458850 KIM458845:KIM458850 KSI458845:KSI458850 LCE458845:LCE458850 LMA458845:LMA458850 LVW458845:LVW458850 MFS458845:MFS458850 MPO458845:MPO458850 MZK458845:MZK458850 NJG458845:NJG458850 NTC458845:NTC458850 OCY458845:OCY458850 OMU458845:OMU458850 OWQ458845:OWQ458850 PGM458845:PGM458850 PQI458845:PQI458850 QAE458845:QAE458850 QKA458845:QKA458850 QTW458845:QTW458850 RDS458845:RDS458850 RNO458845:RNO458850 RXK458845:RXK458850 SHG458845:SHG458850 SRC458845:SRC458850 TAY458845:TAY458850 TKU458845:TKU458850 TUQ458845:TUQ458850 UEM458845:UEM458850 UOI458845:UOI458850 UYE458845:UYE458850 VIA458845:VIA458850 VRW458845:VRW458850 WBS458845:WBS458850 WLO458845:WLO458850 WVK458845:WVK458850 C524381:C524386 IY524381:IY524386 SU524381:SU524386 ACQ524381:ACQ524386 AMM524381:AMM524386 AWI524381:AWI524386 BGE524381:BGE524386 BQA524381:BQA524386 BZW524381:BZW524386 CJS524381:CJS524386 CTO524381:CTO524386 DDK524381:DDK524386 DNG524381:DNG524386 DXC524381:DXC524386 EGY524381:EGY524386 EQU524381:EQU524386 FAQ524381:FAQ524386 FKM524381:FKM524386 FUI524381:FUI524386 GEE524381:GEE524386 GOA524381:GOA524386 GXW524381:GXW524386 HHS524381:HHS524386 HRO524381:HRO524386 IBK524381:IBK524386 ILG524381:ILG524386 IVC524381:IVC524386 JEY524381:JEY524386 JOU524381:JOU524386 JYQ524381:JYQ524386 KIM524381:KIM524386 KSI524381:KSI524386 LCE524381:LCE524386 LMA524381:LMA524386 LVW524381:LVW524386 MFS524381:MFS524386 MPO524381:MPO524386 MZK524381:MZK524386 NJG524381:NJG524386 NTC524381:NTC524386 OCY524381:OCY524386 OMU524381:OMU524386 OWQ524381:OWQ524386 PGM524381:PGM524386 PQI524381:PQI524386 QAE524381:QAE524386 QKA524381:QKA524386 QTW524381:QTW524386 RDS524381:RDS524386 RNO524381:RNO524386 RXK524381:RXK524386 SHG524381:SHG524386 SRC524381:SRC524386 TAY524381:TAY524386 TKU524381:TKU524386 TUQ524381:TUQ524386 UEM524381:UEM524386 UOI524381:UOI524386 UYE524381:UYE524386 VIA524381:VIA524386 VRW524381:VRW524386 WBS524381:WBS524386 WLO524381:WLO524386 WVK524381:WVK524386 C589917:C589922 IY589917:IY589922 SU589917:SU589922 ACQ589917:ACQ589922 AMM589917:AMM589922 AWI589917:AWI589922 BGE589917:BGE589922 BQA589917:BQA589922 BZW589917:BZW589922 CJS589917:CJS589922 CTO589917:CTO589922 DDK589917:DDK589922 DNG589917:DNG589922 DXC589917:DXC589922 EGY589917:EGY589922 EQU589917:EQU589922 FAQ589917:FAQ589922 FKM589917:FKM589922 FUI589917:FUI589922 GEE589917:GEE589922 GOA589917:GOA589922 GXW589917:GXW589922 HHS589917:HHS589922 HRO589917:HRO589922 IBK589917:IBK589922 ILG589917:ILG589922 IVC589917:IVC589922 JEY589917:JEY589922 JOU589917:JOU589922 JYQ589917:JYQ589922 KIM589917:KIM589922 KSI589917:KSI589922 LCE589917:LCE589922 LMA589917:LMA589922 LVW589917:LVW589922 MFS589917:MFS589922 MPO589917:MPO589922 MZK589917:MZK589922 NJG589917:NJG589922 NTC589917:NTC589922 OCY589917:OCY589922 OMU589917:OMU589922 OWQ589917:OWQ589922 PGM589917:PGM589922 PQI589917:PQI589922 QAE589917:QAE589922 QKA589917:QKA589922 QTW589917:QTW589922 RDS589917:RDS589922 RNO589917:RNO589922 RXK589917:RXK589922 SHG589917:SHG589922 SRC589917:SRC589922 TAY589917:TAY589922 TKU589917:TKU589922 TUQ589917:TUQ589922 UEM589917:UEM589922 UOI589917:UOI589922 UYE589917:UYE589922 VIA589917:VIA589922 VRW589917:VRW589922 WBS589917:WBS589922 WLO589917:WLO589922 WVK589917:WVK589922 C655453:C655458 IY655453:IY655458 SU655453:SU655458 ACQ655453:ACQ655458 AMM655453:AMM655458 AWI655453:AWI655458 BGE655453:BGE655458 BQA655453:BQA655458 BZW655453:BZW655458 CJS655453:CJS655458 CTO655453:CTO655458 DDK655453:DDK655458 DNG655453:DNG655458 DXC655453:DXC655458 EGY655453:EGY655458 EQU655453:EQU655458 FAQ655453:FAQ655458 FKM655453:FKM655458 FUI655453:FUI655458 GEE655453:GEE655458 GOA655453:GOA655458 GXW655453:GXW655458 HHS655453:HHS655458 HRO655453:HRO655458 IBK655453:IBK655458 ILG655453:ILG655458 IVC655453:IVC655458 JEY655453:JEY655458 JOU655453:JOU655458 JYQ655453:JYQ655458 KIM655453:KIM655458 KSI655453:KSI655458 LCE655453:LCE655458 LMA655453:LMA655458 LVW655453:LVW655458 MFS655453:MFS655458 MPO655453:MPO655458 MZK655453:MZK655458 NJG655453:NJG655458 NTC655453:NTC655458 OCY655453:OCY655458 OMU655453:OMU655458 OWQ655453:OWQ655458 PGM655453:PGM655458 PQI655453:PQI655458 QAE655453:QAE655458 QKA655453:QKA655458 QTW655453:QTW655458 RDS655453:RDS655458 RNO655453:RNO655458 RXK655453:RXK655458 SHG655453:SHG655458 SRC655453:SRC655458 TAY655453:TAY655458 TKU655453:TKU655458 TUQ655453:TUQ655458 UEM655453:UEM655458 UOI655453:UOI655458 UYE655453:UYE655458 VIA655453:VIA655458 VRW655453:VRW655458 WBS655453:WBS655458 WLO655453:WLO655458 WVK655453:WVK655458 C720989:C720994 IY720989:IY720994 SU720989:SU720994 ACQ720989:ACQ720994 AMM720989:AMM720994 AWI720989:AWI720994 BGE720989:BGE720994 BQA720989:BQA720994 BZW720989:BZW720994 CJS720989:CJS720994 CTO720989:CTO720994 DDK720989:DDK720994 DNG720989:DNG720994 DXC720989:DXC720994 EGY720989:EGY720994 EQU720989:EQU720994 FAQ720989:FAQ720994 FKM720989:FKM720994 FUI720989:FUI720994 GEE720989:GEE720994 GOA720989:GOA720994 GXW720989:GXW720994 HHS720989:HHS720994 HRO720989:HRO720994 IBK720989:IBK720994 ILG720989:ILG720994 IVC720989:IVC720994 JEY720989:JEY720994 JOU720989:JOU720994 JYQ720989:JYQ720994 KIM720989:KIM720994 KSI720989:KSI720994 LCE720989:LCE720994 LMA720989:LMA720994 LVW720989:LVW720994 MFS720989:MFS720994 MPO720989:MPO720994 MZK720989:MZK720994 NJG720989:NJG720994 NTC720989:NTC720994 OCY720989:OCY720994 OMU720989:OMU720994 OWQ720989:OWQ720994 PGM720989:PGM720994 PQI720989:PQI720994 QAE720989:QAE720994 QKA720989:QKA720994 QTW720989:QTW720994 RDS720989:RDS720994 RNO720989:RNO720994 RXK720989:RXK720994 SHG720989:SHG720994 SRC720989:SRC720994 TAY720989:TAY720994 TKU720989:TKU720994 TUQ720989:TUQ720994 UEM720989:UEM720994 UOI720989:UOI720994 UYE720989:UYE720994 VIA720989:VIA720994 VRW720989:VRW720994 WBS720989:WBS720994 WLO720989:WLO720994 WVK720989:WVK720994 C786525:C786530 IY786525:IY786530 SU786525:SU786530 ACQ786525:ACQ786530 AMM786525:AMM786530 AWI786525:AWI786530 BGE786525:BGE786530 BQA786525:BQA786530 BZW786525:BZW786530 CJS786525:CJS786530 CTO786525:CTO786530 DDK786525:DDK786530 DNG786525:DNG786530 DXC786525:DXC786530 EGY786525:EGY786530 EQU786525:EQU786530 FAQ786525:FAQ786530 FKM786525:FKM786530 FUI786525:FUI786530 GEE786525:GEE786530 GOA786525:GOA786530 GXW786525:GXW786530 HHS786525:HHS786530 HRO786525:HRO786530 IBK786525:IBK786530 ILG786525:ILG786530 IVC786525:IVC786530 JEY786525:JEY786530 JOU786525:JOU786530 JYQ786525:JYQ786530 KIM786525:KIM786530 KSI786525:KSI786530 LCE786525:LCE786530 LMA786525:LMA786530 LVW786525:LVW786530 MFS786525:MFS786530 MPO786525:MPO786530 MZK786525:MZK786530 NJG786525:NJG786530 NTC786525:NTC786530 OCY786525:OCY786530 OMU786525:OMU786530 OWQ786525:OWQ786530 PGM786525:PGM786530 PQI786525:PQI786530 QAE786525:QAE786530 QKA786525:QKA786530 QTW786525:QTW786530 RDS786525:RDS786530 RNO786525:RNO786530 RXK786525:RXK786530 SHG786525:SHG786530 SRC786525:SRC786530 TAY786525:TAY786530 TKU786525:TKU786530 TUQ786525:TUQ786530 UEM786525:UEM786530 UOI786525:UOI786530 UYE786525:UYE786530 VIA786525:VIA786530 VRW786525:VRW786530 WBS786525:WBS786530 WLO786525:WLO786530 WVK786525:WVK786530 C852061:C852066 IY852061:IY852066 SU852061:SU852066 ACQ852061:ACQ852066 AMM852061:AMM852066 AWI852061:AWI852066 BGE852061:BGE852066 BQA852061:BQA852066 BZW852061:BZW852066 CJS852061:CJS852066 CTO852061:CTO852066 DDK852061:DDK852066 DNG852061:DNG852066 DXC852061:DXC852066 EGY852061:EGY852066 EQU852061:EQU852066 FAQ852061:FAQ852066 FKM852061:FKM852066 FUI852061:FUI852066 GEE852061:GEE852066 GOA852061:GOA852066 GXW852061:GXW852066 HHS852061:HHS852066 HRO852061:HRO852066 IBK852061:IBK852066 ILG852061:ILG852066 IVC852061:IVC852066 JEY852061:JEY852066 JOU852061:JOU852066 JYQ852061:JYQ852066 KIM852061:KIM852066 KSI852061:KSI852066 LCE852061:LCE852066 LMA852061:LMA852066 LVW852061:LVW852066 MFS852061:MFS852066 MPO852061:MPO852066 MZK852061:MZK852066 NJG852061:NJG852066 NTC852061:NTC852066 OCY852061:OCY852066 OMU852061:OMU852066 OWQ852061:OWQ852066 PGM852061:PGM852066 PQI852061:PQI852066 QAE852061:QAE852066 QKA852061:QKA852066 QTW852061:QTW852066 RDS852061:RDS852066 RNO852061:RNO852066 RXK852061:RXK852066 SHG852061:SHG852066 SRC852061:SRC852066 TAY852061:TAY852066 TKU852061:TKU852066 TUQ852061:TUQ852066 UEM852061:UEM852066 UOI852061:UOI852066 UYE852061:UYE852066 VIA852061:VIA852066 VRW852061:VRW852066 WBS852061:WBS852066 WLO852061:WLO852066 WVK852061:WVK852066 C917597:C917602 IY917597:IY917602 SU917597:SU917602 ACQ917597:ACQ917602 AMM917597:AMM917602 AWI917597:AWI917602 BGE917597:BGE917602 BQA917597:BQA917602 BZW917597:BZW917602 CJS917597:CJS917602 CTO917597:CTO917602 DDK917597:DDK917602 DNG917597:DNG917602 DXC917597:DXC917602 EGY917597:EGY917602 EQU917597:EQU917602 FAQ917597:FAQ917602 FKM917597:FKM917602 FUI917597:FUI917602 GEE917597:GEE917602 GOA917597:GOA917602 GXW917597:GXW917602 HHS917597:HHS917602 HRO917597:HRO917602 IBK917597:IBK917602 ILG917597:ILG917602 IVC917597:IVC917602 JEY917597:JEY917602 JOU917597:JOU917602 JYQ917597:JYQ917602 KIM917597:KIM917602 KSI917597:KSI917602 LCE917597:LCE917602 LMA917597:LMA917602 LVW917597:LVW917602 MFS917597:MFS917602 MPO917597:MPO917602 MZK917597:MZK917602 NJG917597:NJG917602 NTC917597:NTC917602 OCY917597:OCY917602 OMU917597:OMU917602 OWQ917597:OWQ917602 PGM917597:PGM917602 PQI917597:PQI917602 QAE917597:QAE917602 QKA917597:QKA917602 QTW917597:QTW917602 RDS917597:RDS917602 RNO917597:RNO917602 RXK917597:RXK917602 SHG917597:SHG917602 SRC917597:SRC917602 TAY917597:TAY917602 TKU917597:TKU917602 TUQ917597:TUQ917602 UEM917597:UEM917602 UOI917597:UOI917602 UYE917597:UYE917602 VIA917597:VIA917602 VRW917597:VRW917602 WBS917597:WBS917602 WLO917597:WLO917602 WVK917597:WVK917602 C983133:C983138 IY983133:IY983138 SU983133:SU983138 ACQ983133:ACQ983138 AMM983133:AMM983138 AWI983133:AWI983138 BGE983133:BGE983138 BQA983133:BQA983138 BZW983133:BZW983138 CJS983133:CJS983138 CTO983133:CTO983138 DDK983133:DDK983138 DNG983133:DNG983138 DXC983133:DXC983138 EGY983133:EGY983138 EQU983133:EQU983138 FAQ983133:FAQ983138 FKM983133:FKM983138 FUI983133:FUI983138 GEE983133:GEE983138 GOA983133:GOA983138 GXW983133:GXW983138 HHS983133:HHS983138 HRO983133:HRO983138 IBK983133:IBK983138 ILG983133:ILG983138 IVC983133:IVC983138 JEY983133:JEY983138 JOU983133:JOU983138 JYQ983133:JYQ983138 KIM983133:KIM983138 KSI983133:KSI983138 LCE983133:LCE983138 LMA983133:LMA983138 LVW983133:LVW983138 MFS983133:MFS983138 MPO983133:MPO983138 MZK983133:MZK983138 NJG983133:NJG983138 NTC983133:NTC983138 OCY983133:OCY983138 OMU983133:OMU983138 OWQ983133:OWQ983138 PGM983133:PGM983138 PQI983133:PQI983138 QAE983133:QAE983138 QKA983133:QKA983138 QTW983133:QTW983138 RDS983133:RDS983138 RNO983133:RNO983138 RXK983133:RXK983138 SHG983133:SHG983138 SRC983133:SRC983138 TAY983133:TAY983138 TKU983133:TKU983138 TUQ983133:TUQ983138 UEM983133:UEM983138 UOI983133:UOI983138 UYE983133:UYE983138 VIA983133:VIA983138 VRW983133:VRW983138 WBS983133:WBS983138 WLO983133:WLO983138 C133:C134 C103:C112 WVK139:WVK144 WLO139:WLO144 WBS139:WBS144 VRW139:VRW144 VIA139:VIA144 UYE139:UYE144 UOI139:UOI144 UEM139:UEM144 TUQ139:TUQ144 TKU139:TKU144 TAY139:TAY144 SRC139:SRC144 SHG139:SHG144 RXK139:RXK144 RNO139:RNO144 RDS139:RDS144 QTW139:QTW144 QKA139:QKA144 QAE139:QAE144 PQI139:PQI144 PGM139:PGM144 OWQ139:OWQ144 OMU139:OMU144 OCY139:OCY144 NTC139:NTC144 NJG139:NJG144 MZK139:MZK144 MPO139:MPO144 MFS139:MFS144 LVW139:LVW144 LMA139:LMA144 LCE139:LCE144 KSI139:KSI144 KIM139:KIM144 JYQ139:JYQ144 JOU139:JOU144 JEY139:JEY144 IVC139:IVC144 ILG139:ILG144 IBK139:IBK144 HRO139:HRO144 HHS139:HHS144 GXW139:GXW144 GOA139:GOA144 GEE139:GEE144 FUI139:FUI144 FKM139:FKM144 FAQ139:FAQ144 EQU139:EQU144 EGY139:EGY144 DXC139:DXC144 DNG139:DNG144 DDK139:DDK144 CTO139:CTO144 CJS139:CJS144 BZW139:BZW144 BQA139:BQA144 BGE139:BGE144 AWI139:AWI144 AMM139:AMM144 ACQ139:ACQ144 SU139:SU144 IY139:IY144 C137:C144 IY103:IY134 SU103:SU134 ACQ103:ACQ134 AMM103:AMM134 AWI103:AWI134 BGE103:BGE134 BQA103:BQA134 BZW103:BZW134 CJS103:CJS134 CTO103:CTO134 DDK103:DDK134 DNG103:DNG134 DXC103:DXC134 EGY103:EGY134 EQU103:EQU134 FAQ103:FAQ134 FKM103:FKM134 FUI103:FUI134 GEE103:GEE134 GOA103:GOA134 GXW103:GXW134 HHS103:HHS134 HRO103:HRO134 IBK103:IBK134 ILG103:ILG134 IVC103:IVC134 JEY103:JEY134 JOU103:JOU134 JYQ103:JYQ134 KIM103:KIM134 KSI103:KSI134 LCE103:LCE134 LMA103:LMA134 LVW103:LVW134 MFS103:MFS134 MPO103:MPO134 MZK103:MZK134 NJG103:NJG134 NTC103:NTC134 OCY103:OCY134 OMU103:OMU134 OWQ103:OWQ134 PGM103:PGM134 PQI103:PQI134 QAE103:QAE134 QKA103:QKA134 QTW103:QTW134 RDS103:RDS134 RNO103:RNO134 RXK103:RXK134 SHG103:SHG134 SRC103:SRC134 TAY103:TAY134 TKU103:TKU134 TUQ103:TUQ134 UEM103:UEM134 UOI103:UOI134 UYE103:UYE134 VIA103:VIA134 VRW103:VRW134 WBS103:WBS134 WLO103:WLO134 WVK103:WVK134" xr:uid="{00000000-0002-0000-0900-000001000000}">
      <formula1>"Verified, Not Verified, Checked but info available"</formula1>
    </dataValidation>
    <dataValidation type="list" allowBlank="1" showInputMessage="1" showErrorMessage="1" sqref="WVL983111 IZ92 SV92 ACR92 AMN92 AWJ92 BGF92 BQB92 BZX92 CJT92 CTP92 DDL92 DNH92 DXD92 EGZ92 EQV92 FAR92 FKN92 FUJ92 GEF92 GOB92 GXX92 HHT92 HRP92 IBL92 ILH92 IVD92 JEZ92 JOV92 JYR92 KIN92 KSJ92 LCF92 LMB92 LVX92 MFT92 MPP92 MZL92 NJH92 NTD92 OCZ92 OMV92 OWR92 PGN92 PQJ92 QAF92 QKB92 QTX92 RDT92 RNP92 RXL92 SHH92 SRD92 TAZ92 TKV92 TUR92 UEN92 UOJ92 UYF92 VIB92 VRX92 WBT92 WLP92 WVL92 D65607 IZ65607 SV65607 ACR65607 AMN65607 AWJ65607 BGF65607 BQB65607 BZX65607 CJT65607 CTP65607 DDL65607 DNH65607 DXD65607 EGZ65607 EQV65607 FAR65607 FKN65607 FUJ65607 GEF65607 GOB65607 GXX65607 HHT65607 HRP65607 IBL65607 ILH65607 IVD65607 JEZ65607 JOV65607 JYR65607 KIN65607 KSJ65607 LCF65607 LMB65607 LVX65607 MFT65607 MPP65607 MZL65607 NJH65607 NTD65607 OCZ65607 OMV65607 OWR65607 PGN65607 PQJ65607 QAF65607 QKB65607 QTX65607 RDT65607 RNP65607 RXL65607 SHH65607 SRD65607 TAZ65607 TKV65607 TUR65607 UEN65607 UOJ65607 UYF65607 VIB65607 VRX65607 WBT65607 WLP65607 WVL65607 D131143 IZ131143 SV131143 ACR131143 AMN131143 AWJ131143 BGF131143 BQB131143 BZX131143 CJT131143 CTP131143 DDL131143 DNH131143 DXD131143 EGZ131143 EQV131143 FAR131143 FKN131143 FUJ131143 GEF131143 GOB131143 GXX131143 HHT131143 HRP131143 IBL131143 ILH131143 IVD131143 JEZ131143 JOV131143 JYR131143 KIN131143 KSJ131143 LCF131143 LMB131143 LVX131143 MFT131143 MPP131143 MZL131143 NJH131143 NTD131143 OCZ131143 OMV131143 OWR131143 PGN131143 PQJ131143 QAF131143 QKB131143 QTX131143 RDT131143 RNP131143 RXL131143 SHH131143 SRD131143 TAZ131143 TKV131143 TUR131143 UEN131143 UOJ131143 UYF131143 VIB131143 VRX131143 WBT131143 WLP131143 WVL131143 D196679 IZ196679 SV196679 ACR196679 AMN196679 AWJ196679 BGF196679 BQB196679 BZX196679 CJT196679 CTP196679 DDL196679 DNH196679 DXD196679 EGZ196679 EQV196679 FAR196679 FKN196679 FUJ196679 GEF196679 GOB196679 GXX196679 HHT196679 HRP196679 IBL196679 ILH196679 IVD196679 JEZ196679 JOV196679 JYR196679 KIN196679 KSJ196679 LCF196679 LMB196679 LVX196679 MFT196679 MPP196679 MZL196679 NJH196679 NTD196679 OCZ196679 OMV196679 OWR196679 PGN196679 PQJ196679 QAF196679 QKB196679 QTX196679 RDT196679 RNP196679 RXL196679 SHH196679 SRD196679 TAZ196679 TKV196679 TUR196679 UEN196679 UOJ196679 UYF196679 VIB196679 VRX196679 WBT196679 WLP196679 WVL196679 D262215 IZ262215 SV262215 ACR262215 AMN262215 AWJ262215 BGF262215 BQB262215 BZX262215 CJT262215 CTP262215 DDL262215 DNH262215 DXD262215 EGZ262215 EQV262215 FAR262215 FKN262215 FUJ262215 GEF262215 GOB262215 GXX262215 HHT262215 HRP262215 IBL262215 ILH262215 IVD262215 JEZ262215 JOV262215 JYR262215 KIN262215 KSJ262215 LCF262215 LMB262215 LVX262215 MFT262215 MPP262215 MZL262215 NJH262215 NTD262215 OCZ262215 OMV262215 OWR262215 PGN262215 PQJ262215 QAF262215 QKB262215 QTX262215 RDT262215 RNP262215 RXL262215 SHH262215 SRD262215 TAZ262215 TKV262215 TUR262215 UEN262215 UOJ262215 UYF262215 VIB262215 VRX262215 WBT262215 WLP262215 WVL262215 D327751 IZ327751 SV327751 ACR327751 AMN327751 AWJ327751 BGF327751 BQB327751 BZX327751 CJT327751 CTP327751 DDL327751 DNH327751 DXD327751 EGZ327751 EQV327751 FAR327751 FKN327751 FUJ327751 GEF327751 GOB327751 GXX327751 HHT327751 HRP327751 IBL327751 ILH327751 IVD327751 JEZ327751 JOV327751 JYR327751 KIN327751 KSJ327751 LCF327751 LMB327751 LVX327751 MFT327751 MPP327751 MZL327751 NJH327751 NTD327751 OCZ327751 OMV327751 OWR327751 PGN327751 PQJ327751 QAF327751 QKB327751 QTX327751 RDT327751 RNP327751 RXL327751 SHH327751 SRD327751 TAZ327751 TKV327751 TUR327751 UEN327751 UOJ327751 UYF327751 VIB327751 VRX327751 WBT327751 WLP327751 WVL327751 D393287 IZ393287 SV393287 ACR393287 AMN393287 AWJ393287 BGF393287 BQB393287 BZX393287 CJT393287 CTP393287 DDL393287 DNH393287 DXD393287 EGZ393287 EQV393287 FAR393287 FKN393287 FUJ393287 GEF393287 GOB393287 GXX393287 HHT393287 HRP393287 IBL393287 ILH393287 IVD393287 JEZ393287 JOV393287 JYR393287 KIN393287 KSJ393287 LCF393287 LMB393287 LVX393287 MFT393287 MPP393287 MZL393287 NJH393287 NTD393287 OCZ393287 OMV393287 OWR393287 PGN393287 PQJ393287 QAF393287 QKB393287 QTX393287 RDT393287 RNP393287 RXL393287 SHH393287 SRD393287 TAZ393287 TKV393287 TUR393287 UEN393287 UOJ393287 UYF393287 VIB393287 VRX393287 WBT393287 WLP393287 WVL393287 D458823 IZ458823 SV458823 ACR458823 AMN458823 AWJ458823 BGF458823 BQB458823 BZX458823 CJT458823 CTP458823 DDL458823 DNH458823 DXD458823 EGZ458823 EQV458823 FAR458823 FKN458823 FUJ458823 GEF458823 GOB458823 GXX458823 HHT458823 HRP458823 IBL458823 ILH458823 IVD458823 JEZ458823 JOV458823 JYR458823 KIN458823 KSJ458823 LCF458823 LMB458823 LVX458823 MFT458823 MPP458823 MZL458823 NJH458823 NTD458823 OCZ458823 OMV458823 OWR458823 PGN458823 PQJ458823 QAF458823 QKB458823 QTX458823 RDT458823 RNP458823 RXL458823 SHH458823 SRD458823 TAZ458823 TKV458823 TUR458823 UEN458823 UOJ458823 UYF458823 VIB458823 VRX458823 WBT458823 WLP458823 WVL458823 D524359 IZ524359 SV524359 ACR524359 AMN524359 AWJ524359 BGF524359 BQB524359 BZX524359 CJT524359 CTP524359 DDL524359 DNH524359 DXD524359 EGZ524359 EQV524359 FAR524359 FKN524359 FUJ524359 GEF524359 GOB524359 GXX524359 HHT524359 HRP524359 IBL524359 ILH524359 IVD524359 JEZ524359 JOV524359 JYR524359 KIN524359 KSJ524359 LCF524359 LMB524359 LVX524359 MFT524359 MPP524359 MZL524359 NJH524359 NTD524359 OCZ524359 OMV524359 OWR524359 PGN524359 PQJ524359 QAF524359 QKB524359 QTX524359 RDT524359 RNP524359 RXL524359 SHH524359 SRD524359 TAZ524359 TKV524359 TUR524359 UEN524359 UOJ524359 UYF524359 VIB524359 VRX524359 WBT524359 WLP524359 WVL524359 D589895 IZ589895 SV589895 ACR589895 AMN589895 AWJ589895 BGF589895 BQB589895 BZX589895 CJT589895 CTP589895 DDL589895 DNH589895 DXD589895 EGZ589895 EQV589895 FAR589895 FKN589895 FUJ589895 GEF589895 GOB589895 GXX589895 HHT589895 HRP589895 IBL589895 ILH589895 IVD589895 JEZ589895 JOV589895 JYR589895 KIN589895 KSJ589895 LCF589895 LMB589895 LVX589895 MFT589895 MPP589895 MZL589895 NJH589895 NTD589895 OCZ589895 OMV589895 OWR589895 PGN589895 PQJ589895 QAF589895 QKB589895 QTX589895 RDT589895 RNP589895 RXL589895 SHH589895 SRD589895 TAZ589895 TKV589895 TUR589895 UEN589895 UOJ589895 UYF589895 VIB589895 VRX589895 WBT589895 WLP589895 WVL589895 D655431 IZ655431 SV655431 ACR655431 AMN655431 AWJ655431 BGF655431 BQB655431 BZX655431 CJT655431 CTP655431 DDL655431 DNH655431 DXD655431 EGZ655431 EQV655431 FAR655431 FKN655431 FUJ655431 GEF655431 GOB655431 GXX655431 HHT655431 HRP655431 IBL655431 ILH655431 IVD655431 JEZ655431 JOV655431 JYR655431 KIN655431 KSJ655431 LCF655431 LMB655431 LVX655431 MFT655431 MPP655431 MZL655431 NJH655431 NTD655431 OCZ655431 OMV655431 OWR655431 PGN655431 PQJ655431 QAF655431 QKB655431 QTX655431 RDT655431 RNP655431 RXL655431 SHH655431 SRD655431 TAZ655431 TKV655431 TUR655431 UEN655431 UOJ655431 UYF655431 VIB655431 VRX655431 WBT655431 WLP655431 WVL655431 D720967 IZ720967 SV720967 ACR720967 AMN720967 AWJ720967 BGF720967 BQB720967 BZX720967 CJT720967 CTP720967 DDL720967 DNH720967 DXD720967 EGZ720967 EQV720967 FAR720967 FKN720967 FUJ720967 GEF720967 GOB720967 GXX720967 HHT720967 HRP720967 IBL720967 ILH720967 IVD720967 JEZ720967 JOV720967 JYR720967 KIN720967 KSJ720967 LCF720967 LMB720967 LVX720967 MFT720967 MPP720967 MZL720967 NJH720967 NTD720967 OCZ720967 OMV720967 OWR720967 PGN720967 PQJ720967 QAF720967 QKB720967 QTX720967 RDT720967 RNP720967 RXL720967 SHH720967 SRD720967 TAZ720967 TKV720967 TUR720967 UEN720967 UOJ720967 UYF720967 VIB720967 VRX720967 WBT720967 WLP720967 WVL720967 D786503 IZ786503 SV786503 ACR786503 AMN786503 AWJ786503 BGF786503 BQB786503 BZX786503 CJT786503 CTP786503 DDL786503 DNH786503 DXD786503 EGZ786503 EQV786503 FAR786503 FKN786503 FUJ786503 GEF786503 GOB786503 GXX786503 HHT786503 HRP786503 IBL786503 ILH786503 IVD786503 JEZ786503 JOV786503 JYR786503 KIN786503 KSJ786503 LCF786503 LMB786503 LVX786503 MFT786503 MPP786503 MZL786503 NJH786503 NTD786503 OCZ786503 OMV786503 OWR786503 PGN786503 PQJ786503 QAF786503 QKB786503 QTX786503 RDT786503 RNP786503 RXL786503 SHH786503 SRD786503 TAZ786503 TKV786503 TUR786503 UEN786503 UOJ786503 UYF786503 VIB786503 VRX786503 WBT786503 WLP786503 WVL786503 D852039 IZ852039 SV852039 ACR852039 AMN852039 AWJ852039 BGF852039 BQB852039 BZX852039 CJT852039 CTP852039 DDL852039 DNH852039 DXD852039 EGZ852039 EQV852039 FAR852039 FKN852039 FUJ852039 GEF852039 GOB852039 GXX852039 HHT852039 HRP852039 IBL852039 ILH852039 IVD852039 JEZ852039 JOV852039 JYR852039 KIN852039 KSJ852039 LCF852039 LMB852039 LVX852039 MFT852039 MPP852039 MZL852039 NJH852039 NTD852039 OCZ852039 OMV852039 OWR852039 PGN852039 PQJ852039 QAF852039 QKB852039 QTX852039 RDT852039 RNP852039 RXL852039 SHH852039 SRD852039 TAZ852039 TKV852039 TUR852039 UEN852039 UOJ852039 UYF852039 VIB852039 VRX852039 WBT852039 WLP852039 WVL852039 D917575 IZ917575 SV917575 ACR917575 AMN917575 AWJ917575 BGF917575 BQB917575 BZX917575 CJT917575 CTP917575 DDL917575 DNH917575 DXD917575 EGZ917575 EQV917575 FAR917575 FKN917575 FUJ917575 GEF917575 GOB917575 GXX917575 HHT917575 HRP917575 IBL917575 ILH917575 IVD917575 JEZ917575 JOV917575 JYR917575 KIN917575 KSJ917575 LCF917575 LMB917575 LVX917575 MFT917575 MPP917575 MZL917575 NJH917575 NTD917575 OCZ917575 OMV917575 OWR917575 PGN917575 PQJ917575 QAF917575 QKB917575 QTX917575 RDT917575 RNP917575 RXL917575 SHH917575 SRD917575 TAZ917575 TKV917575 TUR917575 UEN917575 UOJ917575 UYF917575 VIB917575 VRX917575 WBT917575 WLP917575 WVL917575 D983111 IZ983111 SV983111 ACR983111 AMN983111 AWJ983111 BGF983111 BQB983111 BZX983111 CJT983111 CTP983111 DDL983111 DNH983111 DXD983111 EGZ983111 EQV983111 FAR983111 FKN983111 FUJ983111 GEF983111 GOB983111 GXX983111 HHT983111 HRP983111 IBL983111 ILH983111 IVD983111 JEZ983111 JOV983111 JYR983111 KIN983111 KSJ983111 LCF983111 LMB983111 LVX983111 MFT983111 MPP983111 MZL983111 NJH983111 NTD983111 OCZ983111 OMV983111 OWR983111 PGN983111 PQJ983111 QAF983111 QKB983111 QTX983111 RDT983111 RNP983111 RXL983111 SHH983111 SRD983111 TAZ983111 TKV983111 TUR983111 UEN983111 UOJ983111 UYF983111 VIB983111 VRX983111 WBT983111 WLP983111 D92:D98" xr:uid="{00000000-0002-0000-0900-000002000000}">
      <formula1>"One time, Monthly, Qtr'ly, Half Yearly, Annual"</formula1>
    </dataValidation>
    <dataValidation type="list" allowBlank="1" showInputMessage="1" showErrorMessage="1" sqref="F42 C65580 IY65580 SU65580 ACQ65580 AMM65580 AWI65580 BGE65580 BQA65580 BZW65580 CJS65580 CTO65580 DDK65580 DNG65580 DXC65580 EGY65580 EQU65580 FAQ65580 FKM65580 FUI65580 GEE65580 GOA65580 GXW65580 HHS65580 HRO65580 IBK65580 ILG65580 IVC65580 JEY65580 JOU65580 JYQ65580 KIM65580 KSI65580 LCE65580 LMA65580 LVW65580 MFS65580 MPO65580 MZK65580 NJG65580 NTC65580 OCY65580 OMU65580 OWQ65580 PGM65580 PQI65580 QAE65580 QKA65580 QTW65580 RDS65580 RNO65580 RXK65580 SHG65580 SRC65580 TAY65580 TKU65580 TUQ65580 UEM65580 UOI65580 UYE65580 VIA65580 VRW65580 WBS65580 WLO65580 WVK65580 C131116 IY131116 SU131116 ACQ131116 AMM131116 AWI131116 BGE131116 BQA131116 BZW131116 CJS131116 CTO131116 DDK131116 DNG131116 DXC131116 EGY131116 EQU131116 FAQ131116 FKM131116 FUI131116 GEE131116 GOA131116 GXW131116 HHS131116 HRO131116 IBK131116 ILG131116 IVC131116 JEY131116 JOU131116 JYQ131116 KIM131116 KSI131116 LCE131116 LMA131116 LVW131116 MFS131116 MPO131116 MZK131116 NJG131116 NTC131116 OCY131116 OMU131116 OWQ131116 PGM131116 PQI131116 QAE131116 QKA131116 QTW131116 RDS131116 RNO131116 RXK131116 SHG131116 SRC131116 TAY131116 TKU131116 TUQ131116 UEM131116 UOI131116 UYE131116 VIA131116 VRW131116 WBS131116 WLO131116 WVK131116 C196652 IY196652 SU196652 ACQ196652 AMM196652 AWI196652 BGE196652 BQA196652 BZW196652 CJS196652 CTO196652 DDK196652 DNG196652 DXC196652 EGY196652 EQU196652 FAQ196652 FKM196652 FUI196652 GEE196652 GOA196652 GXW196652 HHS196652 HRO196652 IBK196652 ILG196652 IVC196652 JEY196652 JOU196652 JYQ196652 KIM196652 KSI196652 LCE196652 LMA196652 LVW196652 MFS196652 MPO196652 MZK196652 NJG196652 NTC196652 OCY196652 OMU196652 OWQ196652 PGM196652 PQI196652 QAE196652 QKA196652 QTW196652 RDS196652 RNO196652 RXK196652 SHG196652 SRC196652 TAY196652 TKU196652 TUQ196652 UEM196652 UOI196652 UYE196652 VIA196652 VRW196652 WBS196652 WLO196652 WVK196652 C262188 IY262188 SU262188 ACQ262188 AMM262188 AWI262188 BGE262188 BQA262188 BZW262188 CJS262188 CTO262188 DDK262188 DNG262188 DXC262188 EGY262188 EQU262188 FAQ262188 FKM262188 FUI262188 GEE262188 GOA262188 GXW262188 HHS262188 HRO262188 IBK262188 ILG262188 IVC262188 JEY262188 JOU262188 JYQ262188 KIM262188 KSI262188 LCE262188 LMA262188 LVW262188 MFS262188 MPO262188 MZK262188 NJG262188 NTC262188 OCY262188 OMU262188 OWQ262188 PGM262188 PQI262188 QAE262188 QKA262188 QTW262188 RDS262188 RNO262188 RXK262188 SHG262188 SRC262188 TAY262188 TKU262188 TUQ262188 UEM262188 UOI262188 UYE262188 VIA262188 VRW262188 WBS262188 WLO262188 WVK262188 C327724 IY327724 SU327724 ACQ327724 AMM327724 AWI327724 BGE327724 BQA327724 BZW327724 CJS327724 CTO327724 DDK327724 DNG327724 DXC327724 EGY327724 EQU327724 FAQ327724 FKM327724 FUI327724 GEE327724 GOA327724 GXW327724 HHS327724 HRO327724 IBK327724 ILG327724 IVC327724 JEY327724 JOU327724 JYQ327724 KIM327724 KSI327724 LCE327724 LMA327724 LVW327724 MFS327724 MPO327724 MZK327724 NJG327724 NTC327724 OCY327724 OMU327724 OWQ327724 PGM327724 PQI327724 QAE327724 QKA327724 QTW327724 RDS327724 RNO327724 RXK327724 SHG327724 SRC327724 TAY327724 TKU327724 TUQ327724 UEM327724 UOI327724 UYE327724 VIA327724 VRW327724 WBS327724 WLO327724 WVK327724 C393260 IY393260 SU393260 ACQ393260 AMM393260 AWI393260 BGE393260 BQA393260 BZW393260 CJS393260 CTO393260 DDK393260 DNG393260 DXC393260 EGY393260 EQU393260 FAQ393260 FKM393260 FUI393260 GEE393260 GOA393260 GXW393260 HHS393260 HRO393260 IBK393260 ILG393260 IVC393260 JEY393260 JOU393260 JYQ393260 KIM393260 KSI393260 LCE393260 LMA393260 LVW393260 MFS393260 MPO393260 MZK393260 NJG393260 NTC393260 OCY393260 OMU393260 OWQ393260 PGM393260 PQI393260 QAE393260 QKA393260 QTW393260 RDS393260 RNO393260 RXK393260 SHG393260 SRC393260 TAY393260 TKU393260 TUQ393260 UEM393260 UOI393260 UYE393260 VIA393260 VRW393260 WBS393260 WLO393260 WVK393260 C458796 IY458796 SU458796 ACQ458796 AMM458796 AWI458796 BGE458796 BQA458796 BZW458796 CJS458796 CTO458796 DDK458796 DNG458796 DXC458796 EGY458796 EQU458796 FAQ458796 FKM458796 FUI458796 GEE458796 GOA458796 GXW458796 HHS458796 HRO458796 IBK458796 ILG458796 IVC458796 JEY458796 JOU458796 JYQ458796 KIM458796 KSI458796 LCE458796 LMA458796 LVW458796 MFS458796 MPO458796 MZK458796 NJG458796 NTC458796 OCY458796 OMU458796 OWQ458796 PGM458796 PQI458796 QAE458796 QKA458796 QTW458796 RDS458796 RNO458796 RXK458796 SHG458796 SRC458796 TAY458796 TKU458796 TUQ458796 UEM458796 UOI458796 UYE458796 VIA458796 VRW458796 WBS458796 WLO458796 WVK458796 C524332 IY524332 SU524332 ACQ524332 AMM524332 AWI524332 BGE524332 BQA524332 BZW524332 CJS524332 CTO524332 DDK524332 DNG524332 DXC524332 EGY524332 EQU524332 FAQ524332 FKM524332 FUI524332 GEE524332 GOA524332 GXW524332 HHS524332 HRO524332 IBK524332 ILG524332 IVC524332 JEY524332 JOU524332 JYQ524332 KIM524332 KSI524332 LCE524332 LMA524332 LVW524332 MFS524332 MPO524332 MZK524332 NJG524332 NTC524332 OCY524332 OMU524332 OWQ524332 PGM524332 PQI524332 QAE524332 QKA524332 QTW524332 RDS524332 RNO524332 RXK524332 SHG524332 SRC524332 TAY524332 TKU524332 TUQ524332 UEM524332 UOI524332 UYE524332 VIA524332 VRW524332 WBS524332 WLO524332 WVK524332 C589868 IY589868 SU589868 ACQ589868 AMM589868 AWI589868 BGE589868 BQA589868 BZW589868 CJS589868 CTO589868 DDK589868 DNG589868 DXC589868 EGY589868 EQU589868 FAQ589868 FKM589868 FUI589868 GEE589868 GOA589868 GXW589868 HHS589868 HRO589868 IBK589868 ILG589868 IVC589868 JEY589868 JOU589868 JYQ589868 KIM589868 KSI589868 LCE589868 LMA589868 LVW589868 MFS589868 MPO589868 MZK589868 NJG589868 NTC589868 OCY589868 OMU589868 OWQ589868 PGM589868 PQI589868 QAE589868 QKA589868 QTW589868 RDS589868 RNO589868 RXK589868 SHG589868 SRC589868 TAY589868 TKU589868 TUQ589868 UEM589868 UOI589868 UYE589868 VIA589868 VRW589868 WBS589868 WLO589868 WVK589868 C655404 IY655404 SU655404 ACQ655404 AMM655404 AWI655404 BGE655404 BQA655404 BZW655404 CJS655404 CTO655404 DDK655404 DNG655404 DXC655404 EGY655404 EQU655404 FAQ655404 FKM655404 FUI655404 GEE655404 GOA655404 GXW655404 HHS655404 HRO655404 IBK655404 ILG655404 IVC655404 JEY655404 JOU655404 JYQ655404 KIM655404 KSI655404 LCE655404 LMA655404 LVW655404 MFS655404 MPO655404 MZK655404 NJG655404 NTC655404 OCY655404 OMU655404 OWQ655404 PGM655404 PQI655404 QAE655404 QKA655404 QTW655404 RDS655404 RNO655404 RXK655404 SHG655404 SRC655404 TAY655404 TKU655404 TUQ655404 UEM655404 UOI655404 UYE655404 VIA655404 VRW655404 WBS655404 WLO655404 WVK655404 C720940 IY720940 SU720940 ACQ720940 AMM720940 AWI720940 BGE720940 BQA720940 BZW720940 CJS720940 CTO720940 DDK720940 DNG720940 DXC720940 EGY720940 EQU720940 FAQ720940 FKM720940 FUI720940 GEE720940 GOA720940 GXW720940 HHS720940 HRO720940 IBK720940 ILG720940 IVC720940 JEY720940 JOU720940 JYQ720940 KIM720940 KSI720940 LCE720940 LMA720940 LVW720940 MFS720940 MPO720940 MZK720940 NJG720940 NTC720940 OCY720940 OMU720940 OWQ720940 PGM720940 PQI720940 QAE720940 QKA720940 QTW720940 RDS720940 RNO720940 RXK720940 SHG720940 SRC720940 TAY720940 TKU720940 TUQ720940 UEM720940 UOI720940 UYE720940 VIA720940 VRW720940 WBS720940 WLO720940 WVK720940 C786476 IY786476 SU786476 ACQ786476 AMM786476 AWI786476 BGE786476 BQA786476 BZW786476 CJS786476 CTO786476 DDK786476 DNG786476 DXC786476 EGY786476 EQU786476 FAQ786476 FKM786476 FUI786476 GEE786476 GOA786476 GXW786476 HHS786476 HRO786476 IBK786476 ILG786476 IVC786476 JEY786476 JOU786476 JYQ786476 KIM786476 KSI786476 LCE786476 LMA786476 LVW786476 MFS786476 MPO786476 MZK786476 NJG786476 NTC786476 OCY786476 OMU786476 OWQ786476 PGM786476 PQI786476 QAE786476 QKA786476 QTW786476 RDS786476 RNO786476 RXK786476 SHG786476 SRC786476 TAY786476 TKU786476 TUQ786476 UEM786476 UOI786476 UYE786476 VIA786476 VRW786476 WBS786476 WLO786476 WVK786476 C852012 IY852012 SU852012 ACQ852012 AMM852012 AWI852012 BGE852012 BQA852012 BZW852012 CJS852012 CTO852012 DDK852012 DNG852012 DXC852012 EGY852012 EQU852012 FAQ852012 FKM852012 FUI852012 GEE852012 GOA852012 GXW852012 HHS852012 HRO852012 IBK852012 ILG852012 IVC852012 JEY852012 JOU852012 JYQ852012 KIM852012 KSI852012 LCE852012 LMA852012 LVW852012 MFS852012 MPO852012 MZK852012 NJG852012 NTC852012 OCY852012 OMU852012 OWQ852012 PGM852012 PQI852012 QAE852012 QKA852012 QTW852012 RDS852012 RNO852012 RXK852012 SHG852012 SRC852012 TAY852012 TKU852012 TUQ852012 UEM852012 UOI852012 UYE852012 VIA852012 VRW852012 WBS852012 WLO852012 WVK852012 C917548 IY917548 SU917548 ACQ917548 AMM917548 AWI917548 BGE917548 BQA917548 BZW917548 CJS917548 CTO917548 DDK917548 DNG917548 DXC917548 EGY917548 EQU917548 FAQ917548 FKM917548 FUI917548 GEE917548 GOA917548 GXW917548 HHS917548 HRO917548 IBK917548 ILG917548 IVC917548 JEY917548 JOU917548 JYQ917548 KIM917548 KSI917548 LCE917548 LMA917548 LVW917548 MFS917548 MPO917548 MZK917548 NJG917548 NTC917548 OCY917548 OMU917548 OWQ917548 PGM917548 PQI917548 QAE917548 QKA917548 QTW917548 RDS917548 RNO917548 RXK917548 SHG917548 SRC917548 TAY917548 TKU917548 TUQ917548 UEM917548 UOI917548 UYE917548 VIA917548 VRW917548 WBS917548 WLO917548 WVK917548 C983084 IY983084 SU983084 ACQ983084 AMM983084 AWI983084 BGE983084 BQA983084 BZW983084 CJS983084 CTO983084 DDK983084 DNG983084 DXC983084 EGY983084 EQU983084 FAQ983084 FKM983084 FUI983084 GEE983084 GOA983084 GXW983084 HHS983084 HRO983084 IBK983084 ILG983084 IVC983084 JEY983084 JOU983084 JYQ983084 KIM983084 KSI983084 LCE983084 LMA983084 LVW983084 MFS983084 MPO983084 MZK983084 NJG983084 NTC983084 OCY983084 OMU983084 OWQ983084 PGM983084 PQI983084 QAE983084 QKA983084 QTW983084 RDS983084 RNO983084 RXK983084 SHG983084 SRC983084 TAY983084 TKU983084 TUQ983084 UEM983084 UOI983084 UYE983084 VIA983084 VRW983084 WBS983084 WLO983084 WVK983084 C37 IY37 SU37 ACQ37 AMM37 AWI37 BGE37 BQA37 BZW37 CJS37 CTO37 DDK37 DNG37 DXC37 EGY37 EQU37 FAQ37 FKM37 FUI37 GEE37 GOA37 GXW37 HHS37 HRO37 IBK37 ILG37 IVC37 JEY37 JOU37 JYQ37 KIM37 KSI37 LCE37 LMA37 LVW37 MFS37 MPO37 MZK37 NJG37 NTC37 OCY37 OMU37 OWQ37 PGM37 PQI37 QAE37 QKA37 QTW37 RDS37 RNO37 RXK37 SHG37 SRC37 TAY37 TKU37 TUQ37 UEM37 UOI37 UYE37 VIA37 VRW37 WBS37 WLO37 WVK37 C65560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C131096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C196632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C262168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C327704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C393240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C458776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C524312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C589848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C655384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C720920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C786456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C851992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C917528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C983064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xr:uid="{00000000-0002-0000-0900-000003000000}">
      <formula1>"Yes,No"</formula1>
    </dataValidation>
    <dataValidation type="list" allowBlank="1" showInputMessage="1" showErrorMessage="1" sqref="F34 IY43 SU43 ACQ43 AMM43 AWI43 BGE43 BQA43 BZW43 CJS43 CTO43 DDK43 DNG43 DXC43 EGY43 EQU43 FAQ43 FKM43 FUI43 GEE43 GOA43 GXW43 HHS43 HRO43 IBK43 ILG43 IVC43 JEY43 JOU43 JYQ43 KIM43 KSI43 LCE43 LMA43 LVW43 MFS43 MPO43 MZK43 NJG43 NTC43 OCY43 OMU43 OWQ43 PGM43 PQI43 QAE43 QKA43 QTW43 RDS43 RNO43 RXK43 SHG43 SRC43 TAY43 TKU43 TUQ43 UEM43 UOI43 UYE43 VIA43 VRW43 WBS43 WLO43 WVK43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xr:uid="{00000000-0002-0000-0900-000004000000}">
      <formula1>"ICSE,CBSE,IB,State Board,ICE,Others"</formula1>
    </dataValidation>
    <dataValidation type="list" allowBlank="1" showInputMessage="1" showErrorMessage="1" sqref="C65596:C65604 IY65596:IY65604 SU65596:SU65604 ACQ65596:ACQ65604 AMM65596:AMM65604 AWI65596:AWI65604 BGE65596:BGE65604 BQA65596:BQA65604 BZW65596:BZW65604 CJS65596:CJS65604 CTO65596:CTO65604 DDK65596:DDK65604 DNG65596:DNG65604 DXC65596:DXC65604 EGY65596:EGY65604 EQU65596:EQU65604 FAQ65596:FAQ65604 FKM65596:FKM65604 FUI65596:FUI65604 GEE65596:GEE65604 GOA65596:GOA65604 GXW65596:GXW65604 HHS65596:HHS65604 HRO65596:HRO65604 IBK65596:IBK65604 ILG65596:ILG65604 IVC65596:IVC65604 JEY65596:JEY65604 JOU65596:JOU65604 JYQ65596:JYQ65604 KIM65596:KIM65604 KSI65596:KSI65604 LCE65596:LCE65604 LMA65596:LMA65604 LVW65596:LVW65604 MFS65596:MFS65604 MPO65596:MPO65604 MZK65596:MZK65604 NJG65596:NJG65604 NTC65596:NTC65604 OCY65596:OCY65604 OMU65596:OMU65604 OWQ65596:OWQ65604 PGM65596:PGM65604 PQI65596:PQI65604 QAE65596:QAE65604 QKA65596:QKA65604 QTW65596:QTW65604 RDS65596:RDS65604 RNO65596:RNO65604 RXK65596:RXK65604 SHG65596:SHG65604 SRC65596:SRC65604 TAY65596:TAY65604 TKU65596:TKU65604 TUQ65596:TUQ65604 UEM65596:UEM65604 UOI65596:UOI65604 UYE65596:UYE65604 VIA65596:VIA65604 VRW65596:VRW65604 WBS65596:WBS65604 WLO65596:WLO65604 WVK65596:WVK65604 C131132:C131140 IY131132:IY131140 SU131132:SU131140 ACQ131132:ACQ131140 AMM131132:AMM131140 AWI131132:AWI131140 BGE131132:BGE131140 BQA131132:BQA131140 BZW131132:BZW131140 CJS131132:CJS131140 CTO131132:CTO131140 DDK131132:DDK131140 DNG131132:DNG131140 DXC131132:DXC131140 EGY131132:EGY131140 EQU131132:EQU131140 FAQ131132:FAQ131140 FKM131132:FKM131140 FUI131132:FUI131140 GEE131132:GEE131140 GOA131132:GOA131140 GXW131132:GXW131140 HHS131132:HHS131140 HRO131132:HRO131140 IBK131132:IBK131140 ILG131132:ILG131140 IVC131132:IVC131140 JEY131132:JEY131140 JOU131132:JOU131140 JYQ131132:JYQ131140 KIM131132:KIM131140 KSI131132:KSI131140 LCE131132:LCE131140 LMA131132:LMA131140 LVW131132:LVW131140 MFS131132:MFS131140 MPO131132:MPO131140 MZK131132:MZK131140 NJG131132:NJG131140 NTC131132:NTC131140 OCY131132:OCY131140 OMU131132:OMU131140 OWQ131132:OWQ131140 PGM131132:PGM131140 PQI131132:PQI131140 QAE131132:QAE131140 QKA131132:QKA131140 QTW131132:QTW131140 RDS131132:RDS131140 RNO131132:RNO131140 RXK131132:RXK131140 SHG131132:SHG131140 SRC131132:SRC131140 TAY131132:TAY131140 TKU131132:TKU131140 TUQ131132:TUQ131140 UEM131132:UEM131140 UOI131132:UOI131140 UYE131132:UYE131140 VIA131132:VIA131140 VRW131132:VRW131140 WBS131132:WBS131140 WLO131132:WLO131140 WVK131132:WVK131140 C196668:C196676 IY196668:IY196676 SU196668:SU196676 ACQ196668:ACQ196676 AMM196668:AMM196676 AWI196668:AWI196676 BGE196668:BGE196676 BQA196668:BQA196676 BZW196668:BZW196676 CJS196668:CJS196676 CTO196668:CTO196676 DDK196668:DDK196676 DNG196668:DNG196676 DXC196668:DXC196676 EGY196668:EGY196676 EQU196668:EQU196676 FAQ196668:FAQ196676 FKM196668:FKM196676 FUI196668:FUI196676 GEE196668:GEE196676 GOA196668:GOA196676 GXW196668:GXW196676 HHS196668:HHS196676 HRO196668:HRO196676 IBK196668:IBK196676 ILG196668:ILG196676 IVC196668:IVC196676 JEY196668:JEY196676 JOU196668:JOU196676 JYQ196668:JYQ196676 KIM196668:KIM196676 KSI196668:KSI196676 LCE196668:LCE196676 LMA196668:LMA196676 LVW196668:LVW196676 MFS196668:MFS196676 MPO196668:MPO196676 MZK196668:MZK196676 NJG196668:NJG196676 NTC196668:NTC196676 OCY196668:OCY196676 OMU196668:OMU196676 OWQ196668:OWQ196676 PGM196668:PGM196676 PQI196668:PQI196676 QAE196668:QAE196676 QKA196668:QKA196676 QTW196668:QTW196676 RDS196668:RDS196676 RNO196668:RNO196676 RXK196668:RXK196676 SHG196668:SHG196676 SRC196668:SRC196676 TAY196668:TAY196676 TKU196668:TKU196676 TUQ196668:TUQ196676 UEM196668:UEM196676 UOI196668:UOI196676 UYE196668:UYE196676 VIA196668:VIA196676 VRW196668:VRW196676 WBS196668:WBS196676 WLO196668:WLO196676 WVK196668:WVK196676 C262204:C262212 IY262204:IY262212 SU262204:SU262212 ACQ262204:ACQ262212 AMM262204:AMM262212 AWI262204:AWI262212 BGE262204:BGE262212 BQA262204:BQA262212 BZW262204:BZW262212 CJS262204:CJS262212 CTO262204:CTO262212 DDK262204:DDK262212 DNG262204:DNG262212 DXC262204:DXC262212 EGY262204:EGY262212 EQU262204:EQU262212 FAQ262204:FAQ262212 FKM262204:FKM262212 FUI262204:FUI262212 GEE262204:GEE262212 GOA262204:GOA262212 GXW262204:GXW262212 HHS262204:HHS262212 HRO262204:HRO262212 IBK262204:IBK262212 ILG262204:ILG262212 IVC262204:IVC262212 JEY262204:JEY262212 JOU262204:JOU262212 JYQ262204:JYQ262212 KIM262204:KIM262212 KSI262204:KSI262212 LCE262204:LCE262212 LMA262204:LMA262212 LVW262204:LVW262212 MFS262204:MFS262212 MPO262204:MPO262212 MZK262204:MZK262212 NJG262204:NJG262212 NTC262204:NTC262212 OCY262204:OCY262212 OMU262204:OMU262212 OWQ262204:OWQ262212 PGM262204:PGM262212 PQI262204:PQI262212 QAE262204:QAE262212 QKA262204:QKA262212 QTW262204:QTW262212 RDS262204:RDS262212 RNO262204:RNO262212 RXK262204:RXK262212 SHG262204:SHG262212 SRC262204:SRC262212 TAY262204:TAY262212 TKU262204:TKU262212 TUQ262204:TUQ262212 UEM262204:UEM262212 UOI262204:UOI262212 UYE262204:UYE262212 VIA262204:VIA262212 VRW262204:VRW262212 WBS262204:WBS262212 WLO262204:WLO262212 WVK262204:WVK262212 C327740:C327748 IY327740:IY327748 SU327740:SU327748 ACQ327740:ACQ327748 AMM327740:AMM327748 AWI327740:AWI327748 BGE327740:BGE327748 BQA327740:BQA327748 BZW327740:BZW327748 CJS327740:CJS327748 CTO327740:CTO327748 DDK327740:DDK327748 DNG327740:DNG327748 DXC327740:DXC327748 EGY327740:EGY327748 EQU327740:EQU327748 FAQ327740:FAQ327748 FKM327740:FKM327748 FUI327740:FUI327748 GEE327740:GEE327748 GOA327740:GOA327748 GXW327740:GXW327748 HHS327740:HHS327748 HRO327740:HRO327748 IBK327740:IBK327748 ILG327740:ILG327748 IVC327740:IVC327748 JEY327740:JEY327748 JOU327740:JOU327748 JYQ327740:JYQ327748 KIM327740:KIM327748 KSI327740:KSI327748 LCE327740:LCE327748 LMA327740:LMA327748 LVW327740:LVW327748 MFS327740:MFS327748 MPO327740:MPO327748 MZK327740:MZK327748 NJG327740:NJG327748 NTC327740:NTC327748 OCY327740:OCY327748 OMU327740:OMU327748 OWQ327740:OWQ327748 PGM327740:PGM327748 PQI327740:PQI327748 QAE327740:QAE327748 QKA327740:QKA327748 QTW327740:QTW327748 RDS327740:RDS327748 RNO327740:RNO327748 RXK327740:RXK327748 SHG327740:SHG327748 SRC327740:SRC327748 TAY327740:TAY327748 TKU327740:TKU327748 TUQ327740:TUQ327748 UEM327740:UEM327748 UOI327740:UOI327748 UYE327740:UYE327748 VIA327740:VIA327748 VRW327740:VRW327748 WBS327740:WBS327748 WLO327740:WLO327748 WVK327740:WVK327748 C393276:C393284 IY393276:IY393284 SU393276:SU393284 ACQ393276:ACQ393284 AMM393276:AMM393284 AWI393276:AWI393284 BGE393276:BGE393284 BQA393276:BQA393284 BZW393276:BZW393284 CJS393276:CJS393284 CTO393276:CTO393284 DDK393276:DDK393284 DNG393276:DNG393284 DXC393276:DXC393284 EGY393276:EGY393284 EQU393276:EQU393284 FAQ393276:FAQ393284 FKM393276:FKM393284 FUI393276:FUI393284 GEE393276:GEE393284 GOA393276:GOA393284 GXW393276:GXW393284 HHS393276:HHS393284 HRO393276:HRO393284 IBK393276:IBK393284 ILG393276:ILG393284 IVC393276:IVC393284 JEY393276:JEY393284 JOU393276:JOU393284 JYQ393276:JYQ393284 KIM393276:KIM393284 KSI393276:KSI393284 LCE393276:LCE393284 LMA393276:LMA393284 LVW393276:LVW393284 MFS393276:MFS393284 MPO393276:MPO393284 MZK393276:MZK393284 NJG393276:NJG393284 NTC393276:NTC393284 OCY393276:OCY393284 OMU393276:OMU393284 OWQ393276:OWQ393284 PGM393276:PGM393284 PQI393276:PQI393284 QAE393276:QAE393284 QKA393276:QKA393284 QTW393276:QTW393284 RDS393276:RDS393284 RNO393276:RNO393284 RXK393276:RXK393284 SHG393276:SHG393284 SRC393276:SRC393284 TAY393276:TAY393284 TKU393276:TKU393284 TUQ393276:TUQ393284 UEM393276:UEM393284 UOI393276:UOI393284 UYE393276:UYE393284 VIA393276:VIA393284 VRW393276:VRW393284 WBS393276:WBS393284 WLO393276:WLO393284 WVK393276:WVK393284 C458812:C458820 IY458812:IY458820 SU458812:SU458820 ACQ458812:ACQ458820 AMM458812:AMM458820 AWI458812:AWI458820 BGE458812:BGE458820 BQA458812:BQA458820 BZW458812:BZW458820 CJS458812:CJS458820 CTO458812:CTO458820 DDK458812:DDK458820 DNG458812:DNG458820 DXC458812:DXC458820 EGY458812:EGY458820 EQU458812:EQU458820 FAQ458812:FAQ458820 FKM458812:FKM458820 FUI458812:FUI458820 GEE458812:GEE458820 GOA458812:GOA458820 GXW458812:GXW458820 HHS458812:HHS458820 HRO458812:HRO458820 IBK458812:IBK458820 ILG458812:ILG458820 IVC458812:IVC458820 JEY458812:JEY458820 JOU458812:JOU458820 JYQ458812:JYQ458820 KIM458812:KIM458820 KSI458812:KSI458820 LCE458812:LCE458820 LMA458812:LMA458820 LVW458812:LVW458820 MFS458812:MFS458820 MPO458812:MPO458820 MZK458812:MZK458820 NJG458812:NJG458820 NTC458812:NTC458820 OCY458812:OCY458820 OMU458812:OMU458820 OWQ458812:OWQ458820 PGM458812:PGM458820 PQI458812:PQI458820 QAE458812:QAE458820 QKA458812:QKA458820 QTW458812:QTW458820 RDS458812:RDS458820 RNO458812:RNO458820 RXK458812:RXK458820 SHG458812:SHG458820 SRC458812:SRC458820 TAY458812:TAY458820 TKU458812:TKU458820 TUQ458812:TUQ458820 UEM458812:UEM458820 UOI458812:UOI458820 UYE458812:UYE458820 VIA458812:VIA458820 VRW458812:VRW458820 WBS458812:WBS458820 WLO458812:WLO458820 WVK458812:WVK458820 C524348:C524356 IY524348:IY524356 SU524348:SU524356 ACQ524348:ACQ524356 AMM524348:AMM524356 AWI524348:AWI524356 BGE524348:BGE524356 BQA524348:BQA524356 BZW524348:BZW524356 CJS524348:CJS524356 CTO524348:CTO524356 DDK524348:DDK524356 DNG524348:DNG524356 DXC524348:DXC524356 EGY524348:EGY524356 EQU524348:EQU524356 FAQ524348:FAQ524356 FKM524348:FKM524356 FUI524348:FUI524356 GEE524348:GEE524356 GOA524348:GOA524356 GXW524348:GXW524356 HHS524348:HHS524356 HRO524348:HRO524356 IBK524348:IBK524356 ILG524348:ILG524356 IVC524348:IVC524356 JEY524348:JEY524356 JOU524348:JOU524356 JYQ524348:JYQ524356 KIM524348:KIM524356 KSI524348:KSI524356 LCE524348:LCE524356 LMA524348:LMA524356 LVW524348:LVW524356 MFS524348:MFS524356 MPO524348:MPO524356 MZK524348:MZK524356 NJG524348:NJG524356 NTC524348:NTC524356 OCY524348:OCY524356 OMU524348:OMU524356 OWQ524348:OWQ524356 PGM524348:PGM524356 PQI524348:PQI524356 QAE524348:QAE524356 QKA524348:QKA524356 QTW524348:QTW524356 RDS524348:RDS524356 RNO524348:RNO524356 RXK524348:RXK524356 SHG524348:SHG524356 SRC524348:SRC524356 TAY524348:TAY524356 TKU524348:TKU524356 TUQ524348:TUQ524356 UEM524348:UEM524356 UOI524348:UOI524356 UYE524348:UYE524356 VIA524348:VIA524356 VRW524348:VRW524356 WBS524348:WBS524356 WLO524348:WLO524356 WVK524348:WVK524356 C589884:C589892 IY589884:IY589892 SU589884:SU589892 ACQ589884:ACQ589892 AMM589884:AMM589892 AWI589884:AWI589892 BGE589884:BGE589892 BQA589884:BQA589892 BZW589884:BZW589892 CJS589884:CJS589892 CTO589884:CTO589892 DDK589884:DDK589892 DNG589884:DNG589892 DXC589884:DXC589892 EGY589884:EGY589892 EQU589884:EQU589892 FAQ589884:FAQ589892 FKM589884:FKM589892 FUI589884:FUI589892 GEE589884:GEE589892 GOA589884:GOA589892 GXW589884:GXW589892 HHS589884:HHS589892 HRO589884:HRO589892 IBK589884:IBK589892 ILG589884:ILG589892 IVC589884:IVC589892 JEY589884:JEY589892 JOU589884:JOU589892 JYQ589884:JYQ589892 KIM589884:KIM589892 KSI589884:KSI589892 LCE589884:LCE589892 LMA589884:LMA589892 LVW589884:LVW589892 MFS589884:MFS589892 MPO589884:MPO589892 MZK589884:MZK589892 NJG589884:NJG589892 NTC589884:NTC589892 OCY589884:OCY589892 OMU589884:OMU589892 OWQ589884:OWQ589892 PGM589884:PGM589892 PQI589884:PQI589892 QAE589884:QAE589892 QKA589884:QKA589892 QTW589884:QTW589892 RDS589884:RDS589892 RNO589884:RNO589892 RXK589884:RXK589892 SHG589884:SHG589892 SRC589884:SRC589892 TAY589884:TAY589892 TKU589884:TKU589892 TUQ589884:TUQ589892 UEM589884:UEM589892 UOI589884:UOI589892 UYE589884:UYE589892 VIA589884:VIA589892 VRW589884:VRW589892 WBS589884:WBS589892 WLO589884:WLO589892 WVK589884:WVK589892 C655420:C655428 IY655420:IY655428 SU655420:SU655428 ACQ655420:ACQ655428 AMM655420:AMM655428 AWI655420:AWI655428 BGE655420:BGE655428 BQA655420:BQA655428 BZW655420:BZW655428 CJS655420:CJS655428 CTO655420:CTO655428 DDK655420:DDK655428 DNG655420:DNG655428 DXC655420:DXC655428 EGY655420:EGY655428 EQU655420:EQU655428 FAQ655420:FAQ655428 FKM655420:FKM655428 FUI655420:FUI655428 GEE655420:GEE655428 GOA655420:GOA655428 GXW655420:GXW655428 HHS655420:HHS655428 HRO655420:HRO655428 IBK655420:IBK655428 ILG655420:ILG655428 IVC655420:IVC655428 JEY655420:JEY655428 JOU655420:JOU655428 JYQ655420:JYQ655428 KIM655420:KIM655428 KSI655420:KSI655428 LCE655420:LCE655428 LMA655420:LMA655428 LVW655420:LVW655428 MFS655420:MFS655428 MPO655420:MPO655428 MZK655420:MZK655428 NJG655420:NJG655428 NTC655420:NTC655428 OCY655420:OCY655428 OMU655420:OMU655428 OWQ655420:OWQ655428 PGM655420:PGM655428 PQI655420:PQI655428 QAE655420:QAE655428 QKA655420:QKA655428 QTW655420:QTW655428 RDS655420:RDS655428 RNO655420:RNO655428 RXK655420:RXK655428 SHG655420:SHG655428 SRC655420:SRC655428 TAY655420:TAY655428 TKU655420:TKU655428 TUQ655420:TUQ655428 UEM655420:UEM655428 UOI655420:UOI655428 UYE655420:UYE655428 VIA655420:VIA655428 VRW655420:VRW655428 WBS655420:WBS655428 WLO655420:WLO655428 WVK655420:WVK655428 C720956:C720964 IY720956:IY720964 SU720956:SU720964 ACQ720956:ACQ720964 AMM720956:AMM720964 AWI720956:AWI720964 BGE720956:BGE720964 BQA720956:BQA720964 BZW720956:BZW720964 CJS720956:CJS720964 CTO720956:CTO720964 DDK720956:DDK720964 DNG720956:DNG720964 DXC720956:DXC720964 EGY720956:EGY720964 EQU720956:EQU720964 FAQ720956:FAQ720964 FKM720956:FKM720964 FUI720956:FUI720964 GEE720956:GEE720964 GOA720956:GOA720964 GXW720956:GXW720964 HHS720956:HHS720964 HRO720956:HRO720964 IBK720956:IBK720964 ILG720956:ILG720964 IVC720956:IVC720964 JEY720956:JEY720964 JOU720956:JOU720964 JYQ720956:JYQ720964 KIM720956:KIM720964 KSI720956:KSI720964 LCE720956:LCE720964 LMA720956:LMA720964 LVW720956:LVW720964 MFS720956:MFS720964 MPO720956:MPO720964 MZK720956:MZK720964 NJG720956:NJG720964 NTC720956:NTC720964 OCY720956:OCY720964 OMU720956:OMU720964 OWQ720956:OWQ720964 PGM720956:PGM720964 PQI720956:PQI720964 QAE720956:QAE720964 QKA720956:QKA720964 QTW720956:QTW720964 RDS720956:RDS720964 RNO720956:RNO720964 RXK720956:RXK720964 SHG720956:SHG720964 SRC720956:SRC720964 TAY720956:TAY720964 TKU720956:TKU720964 TUQ720956:TUQ720964 UEM720956:UEM720964 UOI720956:UOI720964 UYE720956:UYE720964 VIA720956:VIA720964 VRW720956:VRW720964 WBS720956:WBS720964 WLO720956:WLO720964 WVK720956:WVK720964 C786492:C786500 IY786492:IY786500 SU786492:SU786500 ACQ786492:ACQ786500 AMM786492:AMM786500 AWI786492:AWI786500 BGE786492:BGE786500 BQA786492:BQA786500 BZW786492:BZW786500 CJS786492:CJS786500 CTO786492:CTO786500 DDK786492:DDK786500 DNG786492:DNG786500 DXC786492:DXC786500 EGY786492:EGY786500 EQU786492:EQU786500 FAQ786492:FAQ786500 FKM786492:FKM786500 FUI786492:FUI786500 GEE786492:GEE786500 GOA786492:GOA786500 GXW786492:GXW786500 HHS786492:HHS786500 HRO786492:HRO786500 IBK786492:IBK786500 ILG786492:ILG786500 IVC786492:IVC786500 JEY786492:JEY786500 JOU786492:JOU786500 JYQ786492:JYQ786500 KIM786492:KIM786500 KSI786492:KSI786500 LCE786492:LCE786500 LMA786492:LMA786500 LVW786492:LVW786500 MFS786492:MFS786500 MPO786492:MPO786500 MZK786492:MZK786500 NJG786492:NJG786500 NTC786492:NTC786500 OCY786492:OCY786500 OMU786492:OMU786500 OWQ786492:OWQ786500 PGM786492:PGM786500 PQI786492:PQI786500 QAE786492:QAE786500 QKA786492:QKA786500 QTW786492:QTW786500 RDS786492:RDS786500 RNO786492:RNO786500 RXK786492:RXK786500 SHG786492:SHG786500 SRC786492:SRC786500 TAY786492:TAY786500 TKU786492:TKU786500 TUQ786492:TUQ786500 UEM786492:UEM786500 UOI786492:UOI786500 UYE786492:UYE786500 VIA786492:VIA786500 VRW786492:VRW786500 WBS786492:WBS786500 WLO786492:WLO786500 WVK786492:WVK786500 C852028:C852036 IY852028:IY852036 SU852028:SU852036 ACQ852028:ACQ852036 AMM852028:AMM852036 AWI852028:AWI852036 BGE852028:BGE852036 BQA852028:BQA852036 BZW852028:BZW852036 CJS852028:CJS852036 CTO852028:CTO852036 DDK852028:DDK852036 DNG852028:DNG852036 DXC852028:DXC852036 EGY852028:EGY852036 EQU852028:EQU852036 FAQ852028:FAQ852036 FKM852028:FKM852036 FUI852028:FUI852036 GEE852028:GEE852036 GOA852028:GOA852036 GXW852028:GXW852036 HHS852028:HHS852036 HRO852028:HRO852036 IBK852028:IBK852036 ILG852028:ILG852036 IVC852028:IVC852036 JEY852028:JEY852036 JOU852028:JOU852036 JYQ852028:JYQ852036 KIM852028:KIM852036 KSI852028:KSI852036 LCE852028:LCE852036 LMA852028:LMA852036 LVW852028:LVW852036 MFS852028:MFS852036 MPO852028:MPO852036 MZK852028:MZK852036 NJG852028:NJG852036 NTC852028:NTC852036 OCY852028:OCY852036 OMU852028:OMU852036 OWQ852028:OWQ852036 PGM852028:PGM852036 PQI852028:PQI852036 QAE852028:QAE852036 QKA852028:QKA852036 QTW852028:QTW852036 RDS852028:RDS852036 RNO852028:RNO852036 RXK852028:RXK852036 SHG852028:SHG852036 SRC852028:SRC852036 TAY852028:TAY852036 TKU852028:TKU852036 TUQ852028:TUQ852036 UEM852028:UEM852036 UOI852028:UOI852036 UYE852028:UYE852036 VIA852028:VIA852036 VRW852028:VRW852036 WBS852028:WBS852036 WLO852028:WLO852036 WVK852028:WVK852036 C917564:C917572 IY917564:IY917572 SU917564:SU917572 ACQ917564:ACQ917572 AMM917564:AMM917572 AWI917564:AWI917572 BGE917564:BGE917572 BQA917564:BQA917572 BZW917564:BZW917572 CJS917564:CJS917572 CTO917564:CTO917572 DDK917564:DDK917572 DNG917564:DNG917572 DXC917564:DXC917572 EGY917564:EGY917572 EQU917564:EQU917572 FAQ917564:FAQ917572 FKM917564:FKM917572 FUI917564:FUI917572 GEE917564:GEE917572 GOA917564:GOA917572 GXW917564:GXW917572 HHS917564:HHS917572 HRO917564:HRO917572 IBK917564:IBK917572 ILG917564:ILG917572 IVC917564:IVC917572 JEY917564:JEY917572 JOU917564:JOU917572 JYQ917564:JYQ917572 KIM917564:KIM917572 KSI917564:KSI917572 LCE917564:LCE917572 LMA917564:LMA917572 LVW917564:LVW917572 MFS917564:MFS917572 MPO917564:MPO917572 MZK917564:MZK917572 NJG917564:NJG917572 NTC917564:NTC917572 OCY917564:OCY917572 OMU917564:OMU917572 OWQ917564:OWQ917572 PGM917564:PGM917572 PQI917564:PQI917572 QAE917564:QAE917572 QKA917564:QKA917572 QTW917564:QTW917572 RDS917564:RDS917572 RNO917564:RNO917572 RXK917564:RXK917572 SHG917564:SHG917572 SRC917564:SRC917572 TAY917564:TAY917572 TKU917564:TKU917572 TUQ917564:TUQ917572 UEM917564:UEM917572 UOI917564:UOI917572 UYE917564:UYE917572 VIA917564:VIA917572 VRW917564:VRW917572 WBS917564:WBS917572 WLO917564:WLO917572 WVK917564:WVK917572 C983100:C983108 IY983100:IY983108 SU983100:SU983108 ACQ983100:ACQ983108 AMM983100:AMM983108 AWI983100:AWI983108 BGE983100:BGE983108 BQA983100:BQA983108 BZW983100:BZW983108 CJS983100:CJS983108 CTO983100:CTO983108 DDK983100:DDK983108 DNG983100:DNG983108 DXC983100:DXC983108 EGY983100:EGY983108 EQU983100:EQU983108 FAQ983100:FAQ983108 FKM983100:FKM983108 FUI983100:FUI983108 GEE983100:GEE983108 GOA983100:GOA983108 GXW983100:GXW983108 HHS983100:HHS983108 HRO983100:HRO983108 IBK983100:IBK983108 ILG983100:ILG983108 IVC983100:IVC983108 JEY983100:JEY983108 JOU983100:JOU983108 JYQ983100:JYQ983108 KIM983100:KIM983108 KSI983100:KSI983108 LCE983100:LCE983108 LMA983100:LMA983108 LVW983100:LVW983108 MFS983100:MFS983108 MPO983100:MPO983108 MZK983100:MZK983108 NJG983100:NJG983108 NTC983100:NTC983108 OCY983100:OCY983108 OMU983100:OMU983108 OWQ983100:OWQ983108 PGM983100:PGM983108 PQI983100:PQI983108 QAE983100:QAE983108 QKA983100:QKA983108 QTW983100:QTW983108 RDS983100:RDS983108 RNO983100:RNO983108 RXK983100:RXK983108 SHG983100:SHG983108 SRC983100:SRC983108 TAY983100:TAY983108 TKU983100:TKU983108 TUQ983100:TUQ983108 UEM983100:UEM983108 UOI983100:UOI983108 UYE983100:UYE983108 VIA983100:VIA983108 VRW983100:VRW983108 WBS983100:WBS983108 WLO983100:WLO983108 WVK983100:WVK983108 C87:C88 IY71:IY79 SU71:SU79 ACQ71:ACQ79 AMM71:AMM79 AWI71:AWI79 BGE71:BGE79 BQA71:BQA79 BZW71:BZW79 CJS71:CJS79 CTO71:CTO79 DDK71:DDK79 DNG71:DNG79 DXC71:DXC79 EGY71:EGY79 EQU71:EQU79 FAQ71:FAQ79 FKM71:FKM79 FUI71:FUI79 GEE71:GEE79 GOA71:GOA79 GXW71:GXW79 HHS71:HHS79 HRO71:HRO79 IBK71:IBK79 ILG71:ILG79 IVC71:IVC79 JEY71:JEY79 JOU71:JOU79 JYQ71:JYQ79 KIM71:KIM79 KSI71:KSI79 LCE71:LCE79 LMA71:LMA79 LVW71:LVW79 MFS71:MFS79 MPO71:MPO79 MZK71:MZK79 NJG71:NJG79 NTC71:NTC79 OCY71:OCY79 OMU71:OMU79 OWQ71:OWQ79 PGM71:PGM79 PQI71:PQI79 QAE71:QAE79 QKA71:QKA79 QTW71:QTW79 RDS71:RDS79 RNO71:RNO79 RXK71:RXK79 SHG71:SHG79 SRC71:SRC79 TAY71:TAY79 TKU71:TKU79 TUQ71:TUQ79 UEM71:UEM79 UOI71:UOI79 UYE71:UYE79 VIA71:VIA79 VRW71:VRW79 WBS71:WBS79 WLO71:WLO79 WVK71:WVK79 WVK81:WVK88 WLO81:WLO88 IY81:IY88 SU81:SU88 ACQ81:ACQ88 AMM81:AMM88 AWI81:AWI88 BGE81:BGE88 BQA81:BQA88 BZW81:BZW88 CJS81:CJS88 CTO81:CTO88 DDK81:DDK88 DNG81:DNG88 DXC81:DXC88 EGY81:EGY88 EQU81:EQU88 FAQ81:FAQ88 FKM81:FKM88 FUI81:FUI88 GEE81:GEE88 GOA81:GOA88 GXW81:GXW88 HHS81:HHS88 HRO81:HRO88 IBK81:IBK88 ILG81:ILG88 IVC81:IVC88 JEY81:JEY88 JOU81:JOU88 JYQ81:JYQ88 KIM81:KIM88 KSI81:KSI88 LCE81:LCE88 LMA81:LMA88 LVW81:LVW88 MFS81:MFS88 MPO81:MPO88 MZK81:MZK88 NJG81:NJG88 NTC81:NTC88 OCY81:OCY88 OMU81:OMU88 OWQ81:OWQ88 PGM81:PGM88 PQI81:PQI88 QAE81:QAE88 QKA81:QKA88 QTW81:QTW88 RDS81:RDS88 RNO81:RNO88 RXK81:RXK88 SHG81:SHG88 SRC81:SRC88 TAY81:TAY88 TKU81:TKU88 TUQ81:TUQ88 UEM81:UEM88 UOI81:UOI88 UYE81:UYE88 VIA81:VIA88 VRW81:VRW88 WBS81:WBS88 C78:C79" xr:uid="{00000000-0002-0000-0900-000005000000}">
      <formula1>"Main Trustee, Secretary, Chairman, Member,Other"</formula1>
    </dataValidation>
    <dataValidation type="list" allowBlank="1" showInputMessage="1" showErrorMessage="1" sqref="M65596:M65600 JI65596:JI65600 TE65596:TE65600 ADA65596:ADA65600 AMW65596:AMW65600 AWS65596:AWS65600 BGO65596:BGO65600 BQK65596:BQK65600 CAG65596:CAG65600 CKC65596:CKC65600 CTY65596:CTY65600 DDU65596:DDU65600 DNQ65596:DNQ65600 DXM65596:DXM65600 EHI65596:EHI65600 ERE65596:ERE65600 FBA65596:FBA65600 FKW65596:FKW65600 FUS65596:FUS65600 GEO65596:GEO65600 GOK65596:GOK65600 GYG65596:GYG65600 HIC65596:HIC65600 HRY65596:HRY65600 IBU65596:IBU65600 ILQ65596:ILQ65600 IVM65596:IVM65600 JFI65596:JFI65600 JPE65596:JPE65600 JZA65596:JZA65600 KIW65596:KIW65600 KSS65596:KSS65600 LCO65596:LCO65600 LMK65596:LMK65600 LWG65596:LWG65600 MGC65596:MGC65600 MPY65596:MPY65600 MZU65596:MZU65600 NJQ65596:NJQ65600 NTM65596:NTM65600 ODI65596:ODI65600 ONE65596:ONE65600 OXA65596:OXA65600 PGW65596:PGW65600 PQS65596:PQS65600 QAO65596:QAO65600 QKK65596:QKK65600 QUG65596:QUG65600 REC65596:REC65600 RNY65596:RNY65600 RXU65596:RXU65600 SHQ65596:SHQ65600 SRM65596:SRM65600 TBI65596:TBI65600 TLE65596:TLE65600 TVA65596:TVA65600 UEW65596:UEW65600 UOS65596:UOS65600 UYO65596:UYO65600 VIK65596:VIK65600 VSG65596:VSG65600 WCC65596:WCC65600 WLY65596:WLY65600 WVU65596:WVU65600 M131132:M131136 JI131132:JI131136 TE131132:TE131136 ADA131132:ADA131136 AMW131132:AMW131136 AWS131132:AWS131136 BGO131132:BGO131136 BQK131132:BQK131136 CAG131132:CAG131136 CKC131132:CKC131136 CTY131132:CTY131136 DDU131132:DDU131136 DNQ131132:DNQ131136 DXM131132:DXM131136 EHI131132:EHI131136 ERE131132:ERE131136 FBA131132:FBA131136 FKW131132:FKW131136 FUS131132:FUS131136 GEO131132:GEO131136 GOK131132:GOK131136 GYG131132:GYG131136 HIC131132:HIC131136 HRY131132:HRY131136 IBU131132:IBU131136 ILQ131132:ILQ131136 IVM131132:IVM131136 JFI131132:JFI131136 JPE131132:JPE131136 JZA131132:JZA131136 KIW131132:KIW131136 KSS131132:KSS131136 LCO131132:LCO131136 LMK131132:LMK131136 LWG131132:LWG131136 MGC131132:MGC131136 MPY131132:MPY131136 MZU131132:MZU131136 NJQ131132:NJQ131136 NTM131132:NTM131136 ODI131132:ODI131136 ONE131132:ONE131136 OXA131132:OXA131136 PGW131132:PGW131136 PQS131132:PQS131136 QAO131132:QAO131136 QKK131132:QKK131136 QUG131132:QUG131136 REC131132:REC131136 RNY131132:RNY131136 RXU131132:RXU131136 SHQ131132:SHQ131136 SRM131132:SRM131136 TBI131132:TBI131136 TLE131132:TLE131136 TVA131132:TVA131136 UEW131132:UEW131136 UOS131132:UOS131136 UYO131132:UYO131136 VIK131132:VIK131136 VSG131132:VSG131136 WCC131132:WCC131136 WLY131132:WLY131136 WVU131132:WVU131136 M196668:M196672 JI196668:JI196672 TE196668:TE196672 ADA196668:ADA196672 AMW196668:AMW196672 AWS196668:AWS196672 BGO196668:BGO196672 BQK196668:BQK196672 CAG196668:CAG196672 CKC196668:CKC196672 CTY196668:CTY196672 DDU196668:DDU196672 DNQ196668:DNQ196672 DXM196668:DXM196672 EHI196668:EHI196672 ERE196668:ERE196672 FBA196668:FBA196672 FKW196668:FKW196672 FUS196668:FUS196672 GEO196668:GEO196672 GOK196668:GOK196672 GYG196668:GYG196672 HIC196668:HIC196672 HRY196668:HRY196672 IBU196668:IBU196672 ILQ196668:ILQ196672 IVM196668:IVM196672 JFI196668:JFI196672 JPE196668:JPE196672 JZA196668:JZA196672 KIW196668:KIW196672 KSS196668:KSS196672 LCO196668:LCO196672 LMK196668:LMK196672 LWG196668:LWG196672 MGC196668:MGC196672 MPY196668:MPY196672 MZU196668:MZU196672 NJQ196668:NJQ196672 NTM196668:NTM196672 ODI196668:ODI196672 ONE196668:ONE196672 OXA196668:OXA196672 PGW196668:PGW196672 PQS196668:PQS196672 QAO196668:QAO196672 QKK196668:QKK196672 QUG196668:QUG196672 REC196668:REC196672 RNY196668:RNY196672 RXU196668:RXU196672 SHQ196668:SHQ196672 SRM196668:SRM196672 TBI196668:TBI196672 TLE196668:TLE196672 TVA196668:TVA196672 UEW196668:UEW196672 UOS196668:UOS196672 UYO196668:UYO196672 VIK196668:VIK196672 VSG196668:VSG196672 WCC196668:WCC196672 WLY196668:WLY196672 WVU196668:WVU196672 M262204:M262208 JI262204:JI262208 TE262204:TE262208 ADA262204:ADA262208 AMW262204:AMW262208 AWS262204:AWS262208 BGO262204:BGO262208 BQK262204:BQK262208 CAG262204:CAG262208 CKC262204:CKC262208 CTY262204:CTY262208 DDU262204:DDU262208 DNQ262204:DNQ262208 DXM262204:DXM262208 EHI262204:EHI262208 ERE262204:ERE262208 FBA262204:FBA262208 FKW262204:FKW262208 FUS262204:FUS262208 GEO262204:GEO262208 GOK262204:GOK262208 GYG262204:GYG262208 HIC262204:HIC262208 HRY262204:HRY262208 IBU262204:IBU262208 ILQ262204:ILQ262208 IVM262204:IVM262208 JFI262204:JFI262208 JPE262204:JPE262208 JZA262204:JZA262208 KIW262204:KIW262208 KSS262204:KSS262208 LCO262204:LCO262208 LMK262204:LMK262208 LWG262204:LWG262208 MGC262204:MGC262208 MPY262204:MPY262208 MZU262204:MZU262208 NJQ262204:NJQ262208 NTM262204:NTM262208 ODI262204:ODI262208 ONE262204:ONE262208 OXA262204:OXA262208 PGW262204:PGW262208 PQS262204:PQS262208 QAO262204:QAO262208 QKK262204:QKK262208 QUG262204:QUG262208 REC262204:REC262208 RNY262204:RNY262208 RXU262204:RXU262208 SHQ262204:SHQ262208 SRM262204:SRM262208 TBI262204:TBI262208 TLE262204:TLE262208 TVA262204:TVA262208 UEW262204:UEW262208 UOS262204:UOS262208 UYO262204:UYO262208 VIK262204:VIK262208 VSG262204:VSG262208 WCC262204:WCC262208 WLY262204:WLY262208 WVU262204:WVU262208 M327740:M327744 JI327740:JI327744 TE327740:TE327744 ADA327740:ADA327744 AMW327740:AMW327744 AWS327740:AWS327744 BGO327740:BGO327744 BQK327740:BQK327744 CAG327740:CAG327744 CKC327740:CKC327744 CTY327740:CTY327744 DDU327740:DDU327744 DNQ327740:DNQ327744 DXM327740:DXM327744 EHI327740:EHI327744 ERE327740:ERE327744 FBA327740:FBA327744 FKW327740:FKW327744 FUS327740:FUS327744 GEO327740:GEO327744 GOK327740:GOK327744 GYG327740:GYG327744 HIC327740:HIC327744 HRY327740:HRY327744 IBU327740:IBU327744 ILQ327740:ILQ327744 IVM327740:IVM327744 JFI327740:JFI327744 JPE327740:JPE327744 JZA327740:JZA327744 KIW327740:KIW327744 KSS327740:KSS327744 LCO327740:LCO327744 LMK327740:LMK327744 LWG327740:LWG327744 MGC327740:MGC327744 MPY327740:MPY327744 MZU327740:MZU327744 NJQ327740:NJQ327744 NTM327740:NTM327744 ODI327740:ODI327744 ONE327740:ONE327744 OXA327740:OXA327744 PGW327740:PGW327744 PQS327740:PQS327744 QAO327740:QAO327744 QKK327740:QKK327744 QUG327740:QUG327744 REC327740:REC327744 RNY327740:RNY327744 RXU327740:RXU327744 SHQ327740:SHQ327744 SRM327740:SRM327744 TBI327740:TBI327744 TLE327740:TLE327744 TVA327740:TVA327744 UEW327740:UEW327744 UOS327740:UOS327744 UYO327740:UYO327744 VIK327740:VIK327744 VSG327740:VSG327744 WCC327740:WCC327744 WLY327740:WLY327744 WVU327740:WVU327744 M393276:M393280 JI393276:JI393280 TE393276:TE393280 ADA393276:ADA393280 AMW393276:AMW393280 AWS393276:AWS393280 BGO393276:BGO393280 BQK393276:BQK393280 CAG393276:CAG393280 CKC393276:CKC393280 CTY393276:CTY393280 DDU393276:DDU393280 DNQ393276:DNQ393280 DXM393276:DXM393280 EHI393276:EHI393280 ERE393276:ERE393280 FBA393276:FBA393280 FKW393276:FKW393280 FUS393276:FUS393280 GEO393276:GEO393280 GOK393276:GOK393280 GYG393276:GYG393280 HIC393276:HIC393280 HRY393276:HRY393280 IBU393276:IBU393280 ILQ393276:ILQ393280 IVM393276:IVM393280 JFI393276:JFI393280 JPE393276:JPE393280 JZA393276:JZA393280 KIW393276:KIW393280 KSS393276:KSS393280 LCO393276:LCO393280 LMK393276:LMK393280 LWG393276:LWG393280 MGC393276:MGC393280 MPY393276:MPY393280 MZU393276:MZU393280 NJQ393276:NJQ393280 NTM393276:NTM393280 ODI393276:ODI393280 ONE393276:ONE393280 OXA393276:OXA393280 PGW393276:PGW393280 PQS393276:PQS393280 QAO393276:QAO393280 QKK393276:QKK393280 QUG393276:QUG393280 REC393276:REC393280 RNY393276:RNY393280 RXU393276:RXU393280 SHQ393276:SHQ393280 SRM393276:SRM393280 TBI393276:TBI393280 TLE393276:TLE393280 TVA393276:TVA393280 UEW393276:UEW393280 UOS393276:UOS393280 UYO393276:UYO393280 VIK393276:VIK393280 VSG393276:VSG393280 WCC393276:WCC393280 WLY393276:WLY393280 WVU393276:WVU393280 M458812:M458816 JI458812:JI458816 TE458812:TE458816 ADA458812:ADA458816 AMW458812:AMW458816 AWS458812:AWS458816 BGO458812:BGO458816 BQK458812:BQK458816 CAG458812:CAG458816 CKC458812:CKC458816 CTY458812:CTY458816 DDU458812:DDU458816 DNQ458812:DNQ458816 DXM458812:DXM458816 EHI458812:EHI458816 ERE458812:ERE458816 FBA458812:FBA458816 FKW458812:FKW458816 FUS458812:FUS458816 GEO458812:GEO458816 GOK458812:GOK458816 GYG458812:GYG458816 HIC458812:HIC458816 HRY458812:HRY458816 IBU458812:IBU458816 ILQ458812:ILQ458816 IVM458812:IVM458816 JFI458812:JFI458816 JPE458812:JPE458816 JZA458812:JZA458816 KIW458812:KIW458816 KSS458812:KSS458816 LCO458812:LCO458816 LMK458812:LMK458816 LWG458812:LWG458816 MGC458812:MGC458816 MPY458812:MPY458816 MZU458812:MZU458816 NJQ458812:NJQ458816 NTM458812:NTM458816 ODI458812:ODI458816 ONE458812:ONE458816 OXA458812:OXA458816 PGW458812:PGW458816 PQS458812:PQS458816 QAO458812:QAO458816 QKK458812:QKK458816 QUG458812:QUG458816 REC458812:REC458816 RNY458812:RNY458816 RXU458812:RXU458816 SHQ458812:SHQ458816 SRM458812:SRM458816 TBI458812:TBI458816 TLE458812:TLE458816 TVA458812:TVA458816 UEW458812:UEW458816 UOS458812:UOS458816 UYO458812:UYO458816 VIK458812:VIK458816 VSG458812:VSG458816 WCC458812:WCC458816 WLY458812:WLY458816 WVU458812:WVU458816 M524348:M524352 JI524348:JI524352 TE524348:TE524352 ADA524348:ADA524352 AMW524348:AMW524352 AWS524348:AWS524352 BGO524348:BGO524352 BQK524348:BQK524352 CAG524348:CAG524352 CKC524348:CKC524352 CTY524348:CTY524352 DDU524348:DDU524352 DNQ524348:DNQ524352 DXM524348:DXM524352 EHI524348:EHI524352 ERE524348:ERE524352 FBA524348:FBA524352 FKW524348:FKW524352 FUS524348:FUS524352 GEO524348:GEO524352 GOK524348:GOK524352 GYG524348:GYG524352 HIC524348:HIC524352 HRY524348:HRY524352 IBU524348:IBU524352 ILQ524348:ILQ524352 IVM524348:IVM524352 JFI524348:JFI524352 JPE524348:JPE524352 JZA524348:JZA524352 KIW524348:KIW524352 KSS524348:KSS524352 LCO524348:LCO524352 LMK524348:LMK524352 LWG524348:LWG524352 MGC524348:MGC524352 MPY524348:MPY524352 MZU524348:MZU524352 NJQ524348:NJQ524352 NTM524348:NTM524352 ODI524348:ODI524352 ONE524348:ONE524352 OXA524348:OXA524352 PGW524348:PGW524352 PQS524348:PQS524352 QAO524348:QAO524352 QKK524348:QKK524352 QUG524348:QUG524352 REC524348:REC524352 RNY524348:RNY524352 RXU524348:RXU524352 SHQ524348:SHQ524352 SRM524348:SRM524352 TBI524348:TBI524352 TLE524348:TLE524352 TVA524348:TVA524352 UEW524348:UEW524352 UOS524348:UOS524352 UYO524348:UYO524352 VIK524348:VIK524352 VSG524348:VSG524352 WCC524348:WCC524352 WLY524348:WLY524352 WVU524348:WVU524352 M589884:M589888 JI589884:JI589888 TE589884:TE589888 ADA589884:ADA589888 AMW589884:AMW589888 AWS589884:AWS589888 BGO589884:BGO589888 BQK589884:BQK589888 CAG589884:CAG589888 CKC589884:CKC589888 CTY589884:CTY589888 DDU589884:DDU589888 DNQ589884:DNQ589888 DXM589884:DXM589888 EHI589884:EHI589888 ERE589884:ERE589888 FBA589884:FBA589888 FKW589884:FKW589888 FUS589884:FUS589888 GEO589884:GEO589888 GOK589884:GOK589888 GYG589884:GYG589888 HIC589884:HIC589888 HRY589884:HRY589888 IBU589884:IBU589888 ILQ589884:ILQ589888 IVM589884:IVM589888 JFI589884:JFI589888 JPE589884:JPE589888 JZA589884:JZA589888 KIW589884:KIW589888 KSS589884:KSS589888 LCO589884:LCO589888 LMK589884:LMK589888 LWG589884:LWG589888 MGC589884:MGC589888 MPY589884:MPY589888 MZU589884:MZU589888 NJQ589884:NJQ589888 NTM589884:NTM589888 ODI589884:ODI589888 ONE589884:ONE589888 OXA589884:OXA589888 PGW589884:PGW589888 PQS589884:PQS589888 QAO589884:QAO589888 QKK589884:QKK589888 QUG589884:QUG589888 REC589884:REC589888 RNY589884:RNY589888 RXU589884:RXU589888 SHQ589884:SHQ589888 SRM589884:SRM589888 TBI589884:TBI589888 TLE589884:TLE589888 TVA589884:TVA589888 UEW589884:UEW589888 UOS589884:UOS589888 UYO589884:UYO589888 VIK589884:VIK589888 VSG589884:VSG589888 WCC589884:WCC589888 WLY589884:WLY589888 WVU589884:WVU589888 M655420:M655424 JI655420:JI655424 TE655420:TE655424 ADA655420:ADA655424 AMW655420:AMW655424 AWS655420:AWS655424 BGO655420:BGO655424 BQK655420:BQK655424 CAG655420:CAG655424 CKC655420:CKC655424 CTY655420:CTY655424 DDU655420:DDU655424 DNQ655420:DNQ655424 DXM655420:DXM655424 EHI655420:EHI655424 ERE655420:ERE655424 FBA655420:FBA655424 FKW655420:FKW655424 FUS655420:FUS655424 GEO655420:GEO655424 GOK655420:GOK655424 GYG655420:GYG655424 HIC655420:HIC655424 HRY655420:HRY655424 IBU655420:IBU655424 ILQ655420:ILQ655424 IVM655420:IVM655424 JFI655420:JFI655424 JPE655420:JPE655424 JZA655420:JZA655424 KIW655420:KIW655424 KSS655420:KSS655424 LCO655420:LCO655424 LMK655420:LMK655424 LWG655420:LWG655424 MGC655420:MGC655424 MPY655420:MPY655424 MZU655420:MZU655424 NJQ655420:NJQ655424 NTM655420:NTM655424 ODI655420:ODI655424 ONE655420:ONE655424 OXA655420:OXA655424 PGW655420:PGW655424 PQS655420:PQS655424 QAO655420:QAO655424 QKK655420:QKK655424 QUG655420:QUG655424 REC655420:REC655424 RNY655420:RNY655424 RXU655420:RXU655424 SHQ655420:SHQ655424 SRM655420:SRM655424 TBI655420:TBI655424 TLE655420:TLE655424 TVA655420:TVA655424 UEW655420:UEW655424 UOS655420:UOS655424 UYO655420:UYO655424 VIK655420:VIK655424 VSG655420:VSG655424 WCC655420:WCC655424 WLY655420:WLY655424 WVU655420:WVU655424 M720956:M720960 JI720956:JI720960 TE720956:TE720960 ADA720956:ADA720960 AMW720956:AMW720960 AWS720956:AWS720960 BGO720956:BGO720960 BQK720956:BQK720960 CAG720956:CAG720960 CKC720956:CKC720960 CTY720956:CTY720960 DDU720956:DDU720960 DNQ720956:DNQ720960 DXM720956:DXM720960 EHI720956:EHI720960 ERE720956:ERE720960 FBA720956:FBA720960 FKW720956:FKW720960 FUS720956:FUS720960 GEO720956:GEO720960 GOK720956:GOK720960 GYG720956:GYG720960 HIC720956:HIC720960 HRY720956:HRY720960 IBU720956:IBU720960 ILQ720956:ILQ720960 IVM720956:IVM720960 JFI720956:JFI720960 JPE720956:JPE720960 JZA720956:JZA720960 KIW720956:KIW720960 KSS720956:KSS720960 LCO720956:LCO720960 LMK720956:LMK720960 LWG720956:LWG720960 MGC720956:MGC720960 MPY720956:MPY720960 MZU720956:MZU720960 NJQ720956:NJQ720960 NTM720956:NTM720960 ODI720956:ODI720960 ONE720956:ONE720960 OXA720956:OXA720960 PGW720956:PGW720960 PQS720956:PQS720960 QAO720956:QAO720960 QKK720956:QKK720960 QUG720956:QUG720960 REC720956:REC720960 RNY720956:RNY720960 RXU720956:RXU720960 SHQ720956:SHQ720960 SRM720956:SRM720960 TBI720956:TBI720960 TLE720956:TLE720960 TVA720956:TVA720960 UEW720956:UEW720960 UOS720956:UOS720960 UYO720956:UYO720960 VIK720956:VIK720960 VSG720956:VSG720960 WCC720956:WCC720960 WLY720956:WLY720960 WVU720956:WVU720960 M786492:M786496 JI786492:JI786496 TE786492:TE786496 ADA786492:ADA786496 AMW786492:AMW786496 AWS786492:AWS786496 BGO786492:BGO786496 BQK786492:BQK786496 CAG786492:CAG786496 CKC786492:CKC786496 CTY786492:CTY786496 DDU786492:DDU786496 DNQ786492:DNQ786496 DXM786492:DXM786496 EHI786492:EHI786496 ERE786492:ERE786496 FBA786492:FBA786496 FKW786492:FKW786496 FUS786492:FUS786496 GEO786492:GEO786496 GOK786492:GOK786496 GYG786492:GYG786496 HIC786492:HIC786496 HRY786492:HRY786496 IBU786492:IBU786496 ILQ786492:ILQ786496 IVM786492:IVM786496 JFI786492:JFI786496 JPE786492:JPE786496 JZA786492:JZA786496 KIW786492:KIW786496 KSS786492:KSS786496 LCO786492:LCO786496 LMK786492:LMK786496 LWG786492:LWG786496 MGC786492:MGC786496 MPY786492:MPY786496 MZU786492:MZU786496 NJQ786492:NJQ786496 NTM786492:NTM786496 ODI786492:ODI786496 ONE786492:ONE786496 OXA786492:OXA786496 PGW786492:PGW786496 PQS786492:PQS786496 QAO786492:QAO786496 QKK786492:QKK786496 QUG786492:QUG786496 REC786492:REC786496 RNY786492:RNY786496 RXU786492:RXU786496 SHQ786492:SHQ786496 SRM786492:SRM786496 TBI786492:TBI786496 TLE786492:TLE786496 TVA786492:TVA786496 UEW786492:UEW786496 UOS786492:UOS786496 UYO786492:UYO786496 VIK786492:VIK786496 VSG786492:VSG786496 WCC786492:WCC786496 WLY786492:WLY786496 WVU786492:WVU786496 M852028:M852032 JI852028:JI852032 TE852028:TE852032 ADA852028:ADA852032 AMW852028:AMW852032 AWS852028:AWS852032 BGO852028:BGO852032 BQK852028:BQK852032 CAG852028:CAG852032 CKC852028:CKC852032 CTY852028:CTY852032 DDU852028:DDU852032 DNQ852028:DNQ852032 DXM852028:DXM852032 EHI852028:EHI852032 ERE852028:ERE852032 FBA852028:FBA852032 FKW852028:FKW852032 FUS852028:FUS852032 GEO852028:GEO852032 GOK852028:GOK852032 GYG852028:GYG852032 HIC852028:HIC852032 HRY852028:HRY852032 IBU852028:IBU852032 ILQ852028:ILQ852032 IVM852028:IVM852032 JFI852028:JFI852032 JPE852028:JPE852032 JZA852028:JZA852032 KIW852028:KIW852032 KSS852028:KSS852032 LCO852028:LCO852032 LMK852028:LMK852032 LWG852028:LWG852032 MGC852028:MGC852032 MPY852028:MPY852032 MZU852028:MZU852032 NJQ852028:NJQ852032 NTM852028:NTM852032 ODI852028:ODI852032 ONE852028:ONE852032 OXA852028:OXA852032 PGW852028:PGW852032 PQS852028:PQS852032 QAO852028:QAO852032 QKK852028:QKK852032 QUG852028:QUG852032 REC852028:REC852032 RNY852028:RNY852032 RXU852028:RXU852032 SHQ852028:SHQ852032 SRM852028:SRM852032 TBI852028:TBI852032 TLE852028:TLE852032 TVA852028:TVA852032 UEW852028:UEW852032 UOS852028:UOS852032 UYO852028:UYO852032 VIK852028:VIK852032 VSG852028:VSG852032 WCC852028:WCC852032 WLY852028:WLY852032 WVU852028:WVU852032 M917564:M917568 JI917564:JI917568 TE917564:TE917568 ADA917564:ADA917568 AMW917564:AMW917568 AWS917564:AWS917568 BGO917564:BGO917568 BQK917564:BQK917568 CAG917564:CAG917568 CKC917564:CKC917568 CTY917564:CTY917568 DDU917564:DDU917568 DNQ917564:DNQ917568 DXM917564:DXM917568 EHI917564:EHI917568 ERE917564:ERE917568 FBA917564:FBA917568 FKW917564:FKW917568 FUS917564:FUS917568 GEO917564:GEO917568 GOK917564:GOK917568 GYG917564:GYG917568 HIC917564:HIC917568 HRY917564:HRY917568 IBU917564:IBU917568 ILQ917564:ILQ917568 IVM917564:IVM917568 JFI917564:JFI917568 JPE917564:JPE917568 JZA917564:JZA917568 KIW917564:KIW917568 KSS917564:KSS917568 LCO917564:LCO917568 LMK917564:LMK917568 LWG917564:LWG917568 MGC917564:MGC917568 MPY917564:MPY917568 MZU917564:MZU917568 NJQ917564:NJQ917568 NTM917564:NTM917568 ODI917564:ODI917568 ONE917564:ONE917568 OXA917564:OXA917568 PGW917564:PGW917568 PQS917564:PQS917568 QAO917564:QAO917568 QKK917564:QKK917568 QUG917564:QUG917568 REC917564:REC917568 RNY917564:RNY917568 RXU917564:RXU917568 SHQ917564:SHQ917568 SRM917564:SRM917568 TBI917564:TBI917568 TLE917564:TLE917568 TVA917564:TVA917568 UEW917564:UEW917568 UOS917564:UOS917568 UYO917564:UYO917568 VIK917564:VIK917568 VSG917564:VSG917568 WCC917564:WCC917568 WLY917564:WLY917568 WVU917564:WVU917568 M983100:M983104 JI983100:JI983104 TE983100:TE983104 ADA983100:ADA983104 AMW983100:AMW983104 AWS983100:AWS983104 BGO983100:BGO983104 BQK983100:BQK983104 CAG983100:CAG983104 CKC983100:CKC983104 CTY983100:CTY983104 DDU983100:DDU983104 DNQ983100:DNQ983104 DXM983100:DXM983104 EHI983100:EHI983104 ERE983100:ERE983104 FBA983100:FBA983104 FKW983100:FKW983104 FUS983100:FUS983104 GEO983100:GEO983104 GOK983100:GOK983104 GYG983100:GYG983104 HIC983100:HIC983104 HRY983100:HRY983104 IBU983100:IBU983104 ILQ983100:ILQ983104 IVM983100:IVM983104 JFI983100:JFI983104 JPE983100:JPE983104 JZA983100:JZA983104 KIW983100:KIW983104 KSS983100:KSS983104 LCO983100:LCO983104 LMK983100:LMK983104 LWG983100:LWG983104 MGC983100:MGC983104 MPY983100:MPY983104 MZU983100:MZU983104 NJQ983100:NJQ983104 NTM983100:NTM983104 ODI983100:ODI983104 ONE983100:ONE983104 OXA983100:OXA983104 PGW983100:PGW983104 PQS983100:PQS983104 QAO983100:QAO983104 QKK983100:QKK983104 QUG983100:QUG983104 REC983100:REC983104 RNY983100:RNY983104 RXU983100:RXU983104 SHQ983100:SHQ983104 SRM983100:SRM983104 TBI983100:TBI983104 TLE983100:TLE983104 TVA983100:TVA983104 UEW983100:UEW983104 UOS983100:UOS983104 UYO983100:UYO983104 VIK983100:VIK983104 VSG983100:VSG983104 WCC983100:WCC983104 WLY983100:WLY983104 WVU983100:WVU983104 F46 IY65 SU65 ACQ65 AMM65 AWI65 BGE65 BQA65 BZW65 CJS65 CTO65 DDK65 DNG65 DXC65 EGY65 EQU65 FAQ65 FKM65 FUI65 GEE65 GOA65 GXW65 HHS65 HRO65 IBK65 ILG65 IVC65 JEY65 JOU65 JYQ65 KIM65 KSI65 LCE65 LMA65 LVW65 MFS65 MPO65 MZK65 NJG65 NTC65 OCY65 OMU65 OWQ65 PGM65 PQI65 QAE65 QKA65 QTW65 RDS65 RNO65 RXK65 SHG65 SRC65 TAY65 TKU65 TUQ65 UEM65 UOI65 UYE65 VIA65 VRW65 WBS65 WLO65 WVK65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F48:F49 F65596:F65599 JB65596:JB65599 SX65596:SX65599 ACT65596:ACT65599 AMP65596:AMP65599 AWL65596:AWL65599 BGH65596:BGH65599 BQD65596:BQD65599 BZZ65596:BZZ65599 CJV65596:CJV65599 CTR65596:CTR65599 DDN65596:DDN65599 DNJ65596:DNJ65599 DXF65596:DXF65599 EHB65596:EHB65599 EQX65596:EQX65599 FAT65596:FAT65599 FKP65596:FKP65599 FUL65596:FUL65599 GEH65596:GEH65599 GOD65596:GOD65599 GXZ65596:GXZ65599 HHV65596:HHV65599 HRR65596:HRR65599 IBN65596:IBN65599 ILJ65596:ILJ65599 IVF65596:IVF65599 JFB65596:JFB65599 JOX65596:JOX65599 JYT65596:JYT65599 KIP65596:KIP65599 KSL65596:KSL65599 LCH65596:LCH65599 LMD65596:LMD65599 LVZ65596:LVZ65599 MFV65596:MFV65599 MPR65596:MPR65599 MZN65596:MZN65599 NJJ65596:NJJ65599 NTF65596:NTF65599 ODB65596:ODB65599 OMX65596:OMX65599 OWT65596:OWT65599 PGP65596:PGP65599 PQL65596:PQL65599 QAH65596:QAH65599 QKD65596:QKD65599 QTZ65596:QTZ65599 RDV65596:RDV65599 RNR65596:RNR65599 RXN65596:RXN65599 SHJ65596:SHJ65599 SRF65596:SRF65599 TBB65596:TBB65599 TKX65596:TKX65599 TUT65596:TUT65599 UEP65596:UEP65599 UOL65596:UOL65599 UYH65596:UYH65599 VID65596:VID65599 VRZ65596:VRZ65599 WBV65596:WBV65599 WLR65596:WLR65599 WVN65596:WVN65599 F131132:F131135 JB131132:JB131135 SX131132:SX131135 ACT131132:ACT131135 AMP131132:AMP131135 AWL131132:AWL131135 BGH131132:BGH131135 BQD131132:BQD131135 BZZ131132:BZZ131135 CJV131132:CJV131135 CTR131132:CTR131135 DDN131132:DDN131135 DNJ131132:DNJ131135 DXF131132:DXF131135 EHB131132:EHB131135 EQX131132:EQX131135 FAT131132:FAT131135 FKP131132:FKP131135 FUL131132:FUL131135 GEH131132:GEH131135 GOD131132:GOD131135 GXZ131132:GXZ131135 HHV131132:HHV131135 HRR131132:HRR131135 IBN131132:IBN131135 ILJ131132:ILJ131135 IVF131132:IVF131135 JFB131132:JFB131135 JOX131132:JOX131135 JYT131132:JYT131135 KIP131132:KIP131135 KSL131132:KSL131135 LCH131132:LCH131135 LMD131132:LMD131135 LVZ131132:LVZ131135 MFV131132:MFV131135 MPR131132:MPR131135 MZN131132:MZN131135 NJJ131132:NJJ131135 NTF131132:NTF131135 ODB131132:ODB131135 OMX131132:OMX131135 OWT131132:OWT131135 PGP131132:PGP131135 PQL131132:PQL131135 QAH131132:QAH131135 QKD131132:QKD131135 QTZ131132:QTZ131135 RDV131132:RDV131135 RNR131132:RNR131135 RXN131132:RXN131135 SHJ131132:SHJ131135 SRF131132:SRF131135 TBB131132:TBB131135 TKX131132:TKX131135 TUT131132:TUT131135 UEP131132:UEP131135 UOL131132:UOL131135 UYH131132:UYH131135 VID131132:VID131135 VRZ131132:VRZ131135 WBV131132:WBV131135 WLR131132:WLR131135 WVN131132:WVN131135 F196668:F196671 JB196668:JB196671 SX196668:SX196671 ACT196668:ACT196671 AMP196668:AMP196671 AWL196668:AWL196671 BGH196668:BGH196671 BQD196668:BQD196671 BZZ196668:BZZ196671 CJV196668:CJV196671 CTR196668:CTR196671 DDN196668:DDN196671 DNJ196668:DNJ196671 DXF196668:DXF196671 EHB196668:EHB196671 EQX196668:EQX196671 FAT196668:FAT196671 FKP196668:FKP196671 FUL196668:FUL196671 GEH196668:GEH196671 GOD196668:GOD196671 GXZ196668:GXZ196671 HHV196668:HHV196671 HRR196668:HRR196671 IBN196668:IBN196671 ILJ196668:ILJ196671 IVF196668:IVF196671 JFB196668:JFB196671 JOX196668:JOX196671 JYT196668:JYT196671 KIP196668:KIP196671 KSL196668:KSL196671 LCH196668:LCH196671 LMD196668:LMD196671 LVZ196668:LVZ196671 MFV196668:MFV196671 MPR196668:MPR196671 MZN196668:MZN196671 NJJ196668:NJJ196671 NTF196668:NTF196671 ODB196668:ODB196671 OMX196668:OMX196671 OWT196668:OWT196671 PGP196668:PGP196671 PQL196668:PQL196671 QAH196668:QAH196671 QKD196668:QKD196671 QTZ196668:QTZ196671 RDV196668:RDV196671 RNR196668:RNR196671 RXN196668:RXN196671 SHJ196668:SHJ196671 SRF196668:SRF196671 TBB196668:TBB196671 TKX196668:TKX196671 TUT196668:TUT196671 UEP196668:UEP196671 UOL196668:UOL196671 UYH196668:UYH196671 VID196668:VID196671 VRZ196668:VRZ196671 WBV196668:WBV196671 WLR196668:WLR196671 WVN196668:WVN196671 F262204:F262207 JB262204:JB262207 SX262204:SX262207 ACT262204:ACT262207 AMP262204:AMP262207 AWL262204:AWL262207 BGH262204:BGH262207 BQD262204:BQD262207 BZZ262204:BZZ262207 CJV262204:CJV262207 CTR262204:CTR262207 DDN262204:DDN262207 DNJ262204:DNJ262207 DXF262204:DXF262207 EHB262204:EHB262207 EQX262204:EQX262207 FAT262204:FAT262207 FKP262204:FKP262207 FUL262204:FUL262207 GEH262204:GEH262207 GOD262204:GOD262207 GXZ262204:GXZ262207 HHV262204:HHV262207 HRR262204:HRR262207 IBN262204:IBN262207 ILJ262204:ILJ262207 IVF262204:IVF262207 JFB262204:JFB262207 JOX262204:JOX262207 JYT262204:JYT262207 KIP262204:KIP262207 KSL262204:KSL262207 LCH262204:LCH262207 LMD262204:LMD262207 LVZ262204:LVZ262207 MFV262204:MFV262207 MPR262204:MPR262207 MZN262204:MZN262207 NJJ262204:NJJ262207 NTF262204:NTF262207 ODB262204:ODB262207 OMX262204:OMX262207 OWT262204:OWT262207 PGP262204:PGP262207 PQL262204:PQL262207 QAH262204:QAH262207 QKD262204:QKD262207 QTZ262204:QTZ262207 RDV262204:RDV262207 RNR262204:RNR262207 RXN262204:RXN262207 SHJ262204:SHJ262207 SRF262204:SRF262207 TBB262204:TBB262207 TKX262204:TKX262207 TUT262204:TUT262207 UEP262204:UEP262207 UOL262204:UOL262207 UYH262204:UYH262207 VID262204:VID262207 VRZ262204:VRZ262207 WBV262204:WBV262207 WLR262204:WLR262207 WVN262204:WVN262207 F327740:F327743 JB327740:JB327743 SX327740:SX327743 ACT327740:ACT327743 AMP327740:AMP327743 AWL327740:AWL327743 BGH327740:BGH327743 BQD327740:BQD327743 BZZ327740:BZZ327743 CJV327740:CJV327743 CTR327740:CTR327743 DDN327740:DDN327743 DNJ327740:DNJ327743 DXF327740:DXF327743 EHB327740:EHB327743 EQX327740:EQX327743 FAT327740:FAT327743 FKP327740:FKP327743 FUL327740:FUL327743 GEH327740:GEH327743 GOD327740:GOD327743 GXZ327740:GXZ327743 HHV327740:HHV327743 HRR327740:HRR327743 IBN327740:IBN327743 ILJ327740:ILJ327743 IVF327740:IVF327743 JFB327740:JFB327743 JOX327740:JOX327743 JYT327740:JYT327743 KIP327740:KIP327743 KSL327740:KSL327743 LCH327740:LCH327743 LMD327740:LMD327743 LVZ327740:LVZ327743 MFV327740:MFV327743 MPR327740:MPR327743 MZN327740:MZN327743 NJJ327740:NJJ327743 NTF327740:NTF327743 ODB327740:ODB327743 OMX327740:OMX327743 OWT327740:OWT327743 PGP327740:PGP327743 PQL327740:PQL327743 QAH327740:QAH327743 QKD327740:QKD327743 QTZ327740:QTZ327743 RDV327740:RDV327743 RNR327740:RNR327743 RXN327740:RXN327743 SHJ327740:SHJ327743 SRF327740:SRF327743 TBB327740:TBB327743 TKX327740:TKX327743 TUT327740:TUT327743 UEP327740:UEP327743 UOL327740:UOL327743 UYH327740:UYH327743 VID327740:VID327743 VRZ327740:VRZ327743 WBV327740:WBV327743 WLR327740:WLR327743 WVN327740:WVN327743 F393276:F393279 JB393276:JB393279 SX393276:SX393279 ACT393276:ACT393279 AMP393276:AMP393279 AWL393276:AWL393279 BGH393276:BGH393279 BQD393276:BQD393279 BZZ393276:BZZ393279 CJV393276:CJV393279 CTR393276:CTR393279 DDN393276:DDN393279 DNJ393276:DNJ393279 DXF393276:DXF393279 EHB393276:EHB393279 EQX393276:EQX393279 FAT393276:FAT393279 FKP393276:FKP393279 FUL393276:FUL393279 GEH393276:GEH393279 GOD393276:GOD393279 GXZ393276:GXZ393279 HHV393276:HHV393279 HRR393276:HRR393279 IBN393276:IBN393279 ILJ393276:ILJ393279 IVF393276:IVF393279 JFB393276:JFB393279 JOX393276:JOX393279 JYT393276:JYT393279 KIP393276:KIP393279 KSL393276:KSL393279 LCH393276:LCH393279 LMD393276:LMD393279 LVZ393276:LVZ393279 MFV393276:MFV393279 MPR393276:MPR393279 MZN393276:MZN393279 NJJ393276:NJJ393279 NTF393276:NTF393279 ODB393276:ODB393279 OMX393276:OMX393279 OWT393276:OWT393279 PGP393276:PGP393279 PQL393276:PQL393279 QAH393276:QAH393279 QKD393276:QKD393279 QTZ393276:QTZ393279 RDV393276:RDV393279 RNR393276:RNR393279 RXN393276:RXN393279 SHJ393276:SHJ393279 SRF393276:SRF393279 TBB393276:TBB393279 TKX393276:TKX393279 TUT393276:TUT393279 UEP393276:UEP393279 UOL393276:UOL393279 UYH393276:UYH393279 VID393276:VID393279 VRZ393276:VRZ393279 WBV393276:WBV393279 WLR393276:WLR393279 WVN393276:WVN393279 F458812:F458815 JB458812:JB458815 SX458812:SX458815 ACT458812:ACT458815 AMP458812:AMP458815 AWL458812:AWL458815 BGH458812:BGH458815 BQD458812:BQD458815 BZZ458812:BZZ458815 CJV458812:CJV458815 CTR458812:CTR458815 DDN458812:DDN458815 DNJ458812:DNJ458815 DXF458812:DXF458815 EHB458812:EHB458815 EQX458812:EQX458815 FAT458812:FAT458815 FKP458812:FKP458815 FUL458812:FUL458815 GEH458812:GEH458815 GOD458812:GOD458815 GXZ458812:GXZ458815 HHV458812:HHV458815 HRR458812:HRR458815 IBN458812:IBN458815 ILJ458812:ILJ458815 IVF458812:IVF458815 JFB458812:JFB458815 JOX458812:JOX458815 JYT458812:JYT458815 KIP458812:KIP458815 KSL458812:KSL458815 LCH458812:LCH458815 LMD458812:LMD458815 LVZ458812:LVZ458815 MFV458812:MFV458815 MPR458812:MPR458815 MZN458812:MZN458815 NJJ458812:NJJ458815 NTF458812:NTF458815 ODB458812:ODB458815 OMX458812:OMX458815 OWT458812:OWT458815 PGP458812:PGP458815 PQL458812:PQL458815 QAH458812:QAH458815 QKD458812:QKD458815 QTZ458812:QTZ458815 RDV458812:RDV458815 RNR458812:RNR458815 RXN458812:RXN458815 SHJ458812:SHJ458815 SRF458812:SRF458815 TBB458812:TBB458815 TKX458812:TKX458815 TUT458812:TUT458815 UEP458812:UEP458815 UOL458812:UOL458815 UYH458812:UYH458815 VID458812:VID458815 VRZ458812:VRZ458815 WBV458812:WBV458815 WLR458812:WLR458815 WVN458812:WVN458815 F524348:F524351 JB524348:JB524351 SX524348:SX524351 ACT524348:ACT524351 AMP524348:AMP524351 AWL524348:AWL524351 BGH524348:BGH524351 BQD524348:BQD524351 BZZ524348:BZZ524351 CJV524348:CJV524351 CTR524348:CTR524351 DDN524348:DDN524351 DNJ524348:DNJ524351 DXF524348:DXF524351 EHB524348:EHB524351 EQX524348:EQX524351 FAT524348:FAT524351 FKP524348:FKP524351 FUL524348:FUL524351 GEH524348:GEH524351 GOD524348:GOD524351 GXZ524348:GXZ524351 HHV524348:HHV524351 HRR524348:HRR524351 IBN524348:IBN524351 ILJ524348:ILJ524351 IVF524348:IVF524351 JFB524348:JFB524351 JOX524348:JOX524351 JYT524348:JYT524351 KIP524348:KIP524351 KSL524348:KSL524351 LCH524348:LCH524351 LMD524348:LMD524351 LVZ524348:LVZ524351 MFV524348:MFV524351 MPR524348:MPR524351 MZN524348:MZN524351 NJJ524348:NJJ524351 NTF524348:NTF524351 ODB524348:ODB524351 OMX524348:OMX524351 OWT524348:OWT524351 PGP524348:PGP524351 PQL524348:PQL524351 QAH524348:QAH524351 QKD524348:QKD524351 QTZ524348:QTZ524351 RDV524348:RDV524351 RNR524348:RNR524351 RXN524348:RXN524351 SHJ524348:SHJ524351 SRF524348:SRF524351 TBB524348:TBB524351 TKX524348:TKX524351 TUT524348:TUT524351 UEP524348:UEP524351 UOL524348:UOL524351 UYH524348:UYH524351 VID524348:VID524351 VRZ524348:VRZ524351 WBV524348:WBV524351 WLR524348:WLR524351 WVN524348:WVN524351 F589884:F589887 JB589884:JB589887 SX589884:SX589887 ACT589884:ACT589887 AMP589884:AMP589887 AWL589884:AWL589887 BGH589884:BGH589887 BQD589884:BQD589887 BZZ589884:BZZ589887 CJV589884:CJV589887 CTR589884:CTR589887 DDN589884:DDN589887 DNJ589884:DNJ589887 DXF589884:DXF589887 EHB589884:EHB589887 EQX589884:EQX589887 FAT589884:FAT589887 FKP589884:FKP589887 FUL589884:FUL589887 GEH589884:GEH589887 GOD589884:GOD589887 GXZ589884:GXZ589887 HHV589884:HHV589887 HRR589884:HRR589887 IBN589884:IBN589887 ILJ589884:ILJ589887 IVF589884:IVF589887 JFB589884:JFB589887 JOX589884:JOX589887 JYT589884:JYT589887 KIP589884:KIP589887 KSL589884:KSL589887 LCH589884:LCH589887 LMD589884:LMD589887 LVZ589884:LVZ589887 MFV589884:MFV589887 MPR589884:MPR589887 MZN589884:MZN589887 NJJ589884:NJJ589887 NTF589884:NTF589887 ODB589884:ODB589887 OMX589884:OMX589887 OWT589884:OWT589887 PGP589884:PGP589887 PQL589884:PQL589887 QAH589884:QAH589887 QKD589884:QKD589887 QTZ589884:QTZ589887 RDV589884:RDV589887 RNR589884:RNR589887 RXN589884:RXN589887 SHJ589884:SHJ589887 SRF589884:SRF589887 TBB589884:TBB589887 TKX589884:TKX589887 TUT589884:TUT589887 UEP589884:UEP589887 UOL589884:UOL589887 UYH589884:UYH589887 VID589884:VID589887 VRZ589884:VRZ589887 WBV589884:WBV589887 WLR589884:WLR589887 WVN589884:WVN589887 F655420:F655423 JB655420:JB655423 SX655420:SX655423 ACT655420:ACT655423 AMP655420:AMP655423 AWL655420:AWL655423 BGH655420:BGH655423 BQD655420:BQD655423 BZZ655420:BZZ655423 CJV655420:CJV655423 CTR655420:CTR655423 DDN655420:DDN655423 DNJ655420:DNJ655423 DXF655420:DXF655423 EHB655420:EHB655423 EQX655420:EQX655423 FAT655420:FAT655423 FKP655420:FKP655423 FUL655420:FUL655423 GEH655420:GEH655423 GOD655420:GOD655423 GXZ655420:GXZ655423 HHV655420:HHV655423 HRR655420:HRR655423 IBN655420:IBN655423 ILJ655420:ILJ655423 IVF655420:IVF655423 JFB655420:JFB655423 JOX655420:JOX655423 JYT655420:JYT655423 KIP655420:KIP655423 KSL655420:KSL655423 LCH655420:LCH655423 LMD655420:LMD655423 LVZ655420:LVZ655423 MFV655420:MFV655423 MPR655420:MPR655423 MZN655420:MZN655423 NJJ655420:NJJ655423 NTF655420:NTF655423 ODB655420:ODB655423 OMX655420:OMX655423 OWT655420:OWT655423 PGP655420:PGP655423 PQL655420:PQL655423 QAH655420:QAH655423 QKD655420:QKD655423 QTZ655420:QTZ655423 RDV655420:RDV655423 RNR655420:RNR655423 RXN655420:RXN655423 SHJ655420:SHJ655423 SRF655420:SRF655423 TBB655420:TBB655423 TKX655420:TKX655423 TUT655420:TUT655423 UEP655420:UEP655423 UOL655420:UOL655423 UYH655420:UYH655423 VID655420:VID655423 VRZ655420:VRZ655423 WBV655420:WBV655423 WLR655420:WLR655423 WVN655420:WVN655423 F720956:F720959 JB720956:JB720959 SX720956:SX720959 ACT720956:ACT720959 AMP720956:AMP720959 AWL720956:AWL720959 BGH720956:BGH720959 BQD720956:BQD720959 BZZ720956:BZZ720959 CJV720956:CJV720959 CTR720956:CTR720959 DDN720956:DDN720959 DNJ720956:DNJ720959 DXF720956:DXF720959 EHB720956:EHB720959 EQX720956:EQX720959 FAT720956:FAT720959 FKP720956:FKP720959 FUL720956:FUL720959 GEH720956:GEH720959 GOD720956:GOD720959 GXZ720956:GXZ720959 HHV720956:HHV720959 HRR720956:HRR720959 IBN720956:IBN720959 ILJ720956:ILJ720959 IVF720956:IVF720959 JFB720956:JFB720959 JOX720956:JOX720959 JYT720956:JYT720959 KIP720956:KIP720959 KSL720956:KSL720959 LCH720956:LCH720959 LMD720956:LMD720959 LVZ720956:LVZ720959 MFV720956:MFV720959 MPR720956:MPR720959 MZN720956:MZN720959 NJJ720956:NJJ720959 NTF720956:NTF720959 ODB720956:ODB720959 OMX720956:OMX720959 OWT720956:OWT720959 PGP720956:PGP720959 PQL720956:PQL720959 QAH720956:QAH720959 QKD720956:QKD720959 QTZ720956:QTZ720959 RDV720956:RDV720959 RNR720956:RNR720959 RXN720956:RXN720959 SHJ720956:SHJ720959 SRF720956:SRF720959 TBB720956:TBB720959 TKX720956:TKX720959 TUT720956:TUT720959 UEP720956:UEP720959 UOL720956:UOL720959 UYH720956:UYH720959 VID720956:VID720959 VRZ720956:VRZ720959 WBV720956:WBV720959 WLR720956:WLR720959 WVN720956:WVN720959 F786492:F786495 JB786492:JB786495 SX786492:SX786495 ACT786492:ACT786495 AMP786492:AMP786495 AWL786492:AWL786495 BGH786492:BGH786495 BQD786492:BQD786495 BZZ786492:BZZ786495 CJV786492:CJV786495 CTR786492:CTR786495 DDN786492:DDN786495 DNJ786492:DNJ786495 DXF786492:DXF786495 EHB786492:EHB786495 EQX786492:EQX786495 FAT786492:FAT786495 FKP786492:FKP786495 FUL786492:FUL786495 GEH786492:GEH786495 GOD786492:GOD786495 GXZ786492:GXZ786495 HHV786492:HHV786495 HRR786492:HRR786495 IBN786492:IBN786495 ILJ786492:ILJ786495 IVF786492:IVF786495 JFB786492:JFB786495 JOX786492:JOX786495 JYT786492:JYT786495 KIP786492:KIP786495 KSL786492:KSL786495 LCH786492:LCH786495 LMD786492:LMD786495 LVZ786492:LVZ786495 MFV786492:MFV786495 MPR786492:MPR786495 MZN786492:MZN786495 NJJ786492:NJJ786495 NTF786492:NTF786495 ODB786492:ODB786495 OMX786492:OMX786495 OWT786492:OWT786495 PGP786492:PGP786495 PQL786492:PQL786495 QAH786492:QAH786495 QKD786492:QKD786495 QTZ786492:QTZ786495 RDV786492:RDV786495 RNR786492:RNR786495 RXN786492:RXN786495 SHJ786492:SHJ786495 SRF786492:SRF786495 TBB786492:TBB786495 TKX786492:TKX786495 TUT786492:TUT786495 UEP786492:UEP786495 UOL786492:UOL786495 UYH786492:UYH786495 VID786492:VID786495 VRZ786492:VRZ786495 WBV786492:WBV786495 WLR786492:WLR786495 WVN786492:WVN786495 F852028:F852031 JB852028:JB852031 SX852028:SX852031 ACT852028:ACT852031 AMP852028:AMP852031 AWL852028:AWL852031 BGH852028:BGH852031 BQD852028:BQD852031 BZZ852028:BZZ852031 CJV852028:CJV852031 CTR852028:CTR852031 DDN852028:DDN852031 DNJ852028:DNJ852031 DXF852028:DXF852031 EHB852028:EHB852031 EQX852028:EQX852031 FAT852028:FAT852031 FKP852028:FKP852031 FUL852028:FUL852031 GEH852028:GEH852031 GOD852028:GOD852031 GXZ852028:GXZ852031 HHV852028:HHV852031 HRR852028:HRR852031 IBN852028:IBN852031 ILJ852028:ILJ852031 IVF852028:IVF852031 JFB852028:JFB852031 JOX852028:JOX852031 JYT852028:JYT852031 KIP852028:KIP852031 KSL852028:KSL852031 LCH852028:LCH852031 LMD852028:LMD852031 LVZ852028:LVZ852031 MFV852028:MFV852031 MPR852028:MPR852031 MZN852028:MZN852031 NJJ852028:NJJ852031 NTF852028:NTF852031 ODB852028:ODB852031 OMX852028:OMX852031 OWT852028:OWT852031 PGP852028:PGP852031 PQL852028:PQL852031 QAH852028:QAH852031 QKD852028:QKD852031 QTZ852028:QTZ852031 RDV852028:RDV852031 RNR852028:RNR852031 RXN852028:RXN852031 SHJ852028:SHJ852031 SRF852028:SRF852031 TBB852028:TBB852031 TKX852028:TKX852031 TUT852028:TUT852031 UEP852028:UEP852031 UOL852028:UOL852031 UYH852028:UYH852031 VID852028:VID852031 VRZ852028:VRZ852031 WBV852028:WBV852031 WLR852028:WLR852031 WVN852028:WVN852031 F917564:F917567 JB917564:JB917567 SX917564:SX917567 ACT917564:ACT917567 AMP917564:AMP917567 AWL917564:AWL917567 BGH917564:BGH917567 BQD917564:BQD917567 BZZ917564:BZZ917567 CJV917564:CJV917567 CTR917564:CTR917567 DDN917564:DDN917567 DNJ917564:DNJ917567 DXF917564:DXF917567 EHB917564:EHB917567 EQX917564:EQX917567 FAT917564:FAT917567 FKP917564:FKP917567 FUL917564:FUL917567 GEH917564:GEH917567 GOD917564:GOD917567 GXZ917564:GXZ917567 HHV917564:HHV917567 HRR917564:HRR917567 IBN917564:IBN917567 ILJ917564:ILJ917567 IVF917564:IVF917567 JFB917564:JFB917567 JOX917564:JOX917567 JYT917564:JYT917567 KIP917564:KIP917567 KSL917564:KSL917567 LCH917564:LCH917567 LMD917564:LMD917567 LVZ917564:LVZ917567 MFV917564:MFV917567 MPR917564:MPR917567 MZN917564:MZN917567 NJJ917564:NJJ917567 NTF917564:NTF917567 ODB917564:ODB917567 OMX917564:OMX917567 OWT917564:OWT917567 PGP917564:PGP917567 PQL917564:PQL917567 QAH917564:QAH917567 QKD917564:QKD917567 QTZ917564:QTZ917567 RDV917564:RDV917567 RNR917564:RNR917567 RXN917564:RXN917567 SHJ917564:SHJ917567 SRF917564:SRF917567 TBB917564:TBB917567 TKX917564:TKX917567 TUT917564:TUT917567 UEP917564:UEP917567 UOL917564:UOL917567 UYH917564:UYH917567 VID917564:VID917567 VRZ917564:VRZ917567 WBV917564:WBV917567 WLR917564:WLR917567 WVN917564:WVN917567 F983100:F983103 JB983100:JB983103 SX983100:SX983103 ACT983100:ACT983103 AMP983100:AMP983103 AWL983100:AWL983103 BGH983100:BGH983103 BQD983100:BQD983103 BZZ983100:BZZ983103 CJV983100:CJV983103 CTR983100:CTR983103 DDN983100:DDN983103 DNJ983100:DNJ983103 DXF983100:DXF983103 EHB983100:EHB983103 EQX983100:EQX983103 FAT983100:FAT983103 FKP983100:FKP983103 FUL983100:FUL983103 GEH983100:GEH983103 GOD983100:GOD983103 GXZ983100:GXZ983103 HHV983100:HHV983103 HRR983100:HRR983103 IBN983100:IBN983103 ILJ983100:ILJ983103 IVF983100:IVF983103 JFB983100:JFB983103 JOX983100:JOX983103 JYT983100:JYT983103 KIP983100:KIP983103 KSL983100:KSL983103 LCH983100:LCH983103 LMD983100:LMD983103 LVZ983100:LVZ983103 MFV983100:MFV983103 MPR983100:MPR983103 MZN983100:MZN983103 NJJ983100:NJJ983103 NTF983100:NTF983103 ODB983100:ODB983103 OMX983100:OMX983103 OWT983100:OWT983103 PGP983100:PGP983103 PQL983100:PQL983103 QAH983100:QAH983103 QKD983100:QKD983103 QTZ983100:QTZ983103 RDV983100:RDV983103 RNR983100:RNR983103 RXN983100:RXN983103 SHJ983100:SHJ983103 SRF983100:SRF983103 TBB983100:TBB983103 TKX983100:TKX983103 TUT983100:TUT983103 UEP983100:UEP983103 UOL983100:UOL983103 UYH983100:UYH983103 VID983100:VID983103 VRZ983100:VRZ983103 WBV983100:WBV983103 WLR983100:WLR983103 WVN983100:WVN983103 F44 C65583 IY65583 SU65583 ACQ65583 AMM65583 AWI65583 BGE65583 BQA65583 BZW65583 CJS65583 CTO65583 DDK65583 DNG65583 DXC65583 EGY65583 EQU65583 FAQ65583 FKM65583 FUI65583 GEE65583 GOA65583 GXW65583 HHS65583 HRO65583 IBK65583 ILG65583 IVC65583 JEY65583 JOU65583 JYQ65583 KIM65583 KSI65583 LCE65583 LMA65583 LVW65583 MFS65583 MPO65583 MZK65583 NJG65583 NTC65583 OCY65583 OMU65583 OWQ65583 PGM65583 PQI65583 QAE65583 QKA65583 QTW65583 RDS65583 RNO65583 RXK65583 SHG65583 SRC65583 TAY65583 TKU65583 TUQ65583 UEM65583 UOI65583 UYE65583 VIA65583 VRW65583 WBS65583 WLO65583 WVK65583 C131119 IY131119 SU131119 ACQ131119 AMM131119 AWI131119 BGE131119 BQA131119 BZW131119 CJS131119 CTO131119 DDK131119 DNG131119 DXC131119 EGY131119 EQU131119 FAQ131119 FKM131119 FUI131119 GEE131119 GOA131119 GXW131119 HHS131119 HRO131119 IBK131119 ILG131119 IVC131119 JEY131119 JOU131119 JYQ131119 KIM131119 KSI131119 LCE131119 LMA131119 LVW131119 MFS131119 MPO131119 MZK131119 NJG131119 NTC131119 OCY131119 OMU131119 OWQ131119 PGM131119 PQI131119 QAE131119 QKA131119 QTW131119 RDS131119 RNO131119 RXK131119 SHG131119 SRC131119 TAY131119 TKU131119 TUQ131119 UEM131119 UOI131119 UYE131119 VIA131119 VRW131119 WBS131119 WLO131119 WVK131119 C196655 IY196655 SU196655 ACQ196655 AMM196655 AWI196655 BGE196655 BQA196655 BZW196655 CJS196655 CTO196655 DDK196655 DNG196655 DXC196655 EGY196655 EQU196655 FAQ196655 FKM196655 FUI196655 GEE196655 GOA196655 GXW196655 HHS196655 HRO196655 IBK196655 ILG196655 IVC196655 JEY196655 JOU196655 JYQ196655 KIM196655 KSI196655 LCE196655 LMA196655 LVW196655 MFS196655 MPO196655 MZK196655 NJG196655 NTC196655 OCY196655 OMU196655 OWQ196655 PGM196655 PQI196655 QAE196655 QKA196655 QTW196655 RDS196655 RNO196655 RXK196655 SHG196655 SRC196655 TAY196655 TKU196655 TUQ196655 UEM196655 UOI196655 UYE196655 VIA196655 VRW196655 WBS196655 WLO196655 WVK196655 C262191 IY262191 SU262191 ACQ262191 AMM262191 AWI262191 BGE262191 BQA262191 BZW262191 CJS262191 CTO262191 DDK262191 DNG262191 DXC262191 EGY262191 EQU262191 FAQ262191 FKM262191 FUI262191 GEE262191 GOA262191 GXW262191 HHS262191 HRO262191 IBK262191 ILG262191 IVC262191 JEY262191 JOU262191 JYQ262191 KIM262191 KSI262191 LCE262191 LMA262191 LVW262191 MFS262191 MPO262191 MZK262191 NJG262191 NTC262191 OCY262191 OMU262191 OWQ262191 PGM262191 PQI262191 QAE262191 QKA262191 QTW262191 RDS262191 RNO262191 RXK262191 SHG262191 SRC262191 TAY262191 TKU262191 TUQ262191 UEM262191 UOI262191 UYE262191 VIA262191 VRW262191 WBS262191 WLO262191 WVK262191 C327727 IY327727 SU327727 ACQ327727 AMM327727 AWI327727 BGE327727 BQA327727 BZW327727 CJS327727 CTO327727 DDK327727 DNG327727 DXC327727 EGY327727 EQU327727 FAQ327727 FKM327727 FUI327727 GEE327727 GOA327727 GXW327727 HHS327727 HRO327727 IBK327727 ILG327727 IVC327727 JEY327727 JOU327727 JYQ327727 KIM327727 KSI327727 LCE327727 LMA327727 LVW327727 MFS327727 MPO327727 MZK327727 NJG327727 NTC327727 OCY327727 OMU327727 OWQ327727 PGM327727 PQI327727 QAE327727 QKA327727 QTW327727 RDS327727 RNO327727 RXK327727 SHG327727 SRC327727 TAY327727 TKU327727 TUQ327727 UEM327727 UOI327727 UYE327727 VIA327727 VRW327727 WBS327727 WLO327727 WVK327727 C393263 IY393263 SU393263 ACQ393263 AMM393263 AWI393263 BGE393263 BQA393263 BZW393263 CJS393263 CTO393263 DDK393263 DNG393263 DXC393263 EGY393263 EQU393263 FAQ393263 FKM393263 FUI393263 GEE393263 GOA393263 GXW393263 HHS393263 HRO393263 IBK393263 ILG393263 IVC393263 JEY393263 JOU393263 JYQ393263 KIM393263 KSI393263 LCE393263 LMA393263 LVW393263 MFS393263 MPO393263 MZK393263 NJG393263 NTC393263 OCY393263 OMU393263 OWQ393263 PGM393263 PQI393263 QAE393263 QKA393263 QTW393263 RDS393263 RNO393263 RXK393263 SHG393263 SRC393263 TAY393263 TKU393263 TUQ393263 UEM393263 UOI393263 UYE393263 VIA393263 VRW393263 WBS393263 WLO393263 WVK393263 C458799 IY458799 SU458799 ACQ458799 AMM458799 AWI458799 BGE458799 BQA458799 BZW458799 CJS458799 CTO458799 DDK458799 DNG458799 DXC458799 EGY458799 EQU458799 FAQ458799 FKM458799 FUI458799 GEE458799 GOA458799 GXW458799 HHS458799 HRO458799 IBK458799 ILG458799 IVC458799 JEY458799 JOU458799 JYQ458799 KIM458799 KSI458799 LCE458799 LMA458799 LVW458799 MFS458799 MPO458799 MZK458799 NJG458799 NTC458799 OCY458799 OMU458799 OWQ458799 PGM458799 PQI458799 QAE458799 QKA458799 QTW458799 RDS458799 RNO458799 RXK458799 SHG458799 SRC458799 TAY458799 TKU458799 TUQ458799 UEM458799 UOI458799 UYE458799 VIA458799 VRW458799 WBS458799 WLO458799 WVK458799 C524335 IY524335 SU524335 ACQ524335 AMM524335 AWI524335 BGE524335 BQA524335 BZW524335 CJS524335 CTO524335 DDK524335 DNG524335 DXC524335 EGY524335 EQU524335 FAQ524335 FKM524335 FUI524335 GEE524335 GOA524335 GXW524335 HHS524335 HRO524335 IBK524335 ILG524335 IVC524335 JEY524335 JOU524335 JYQ524335 KIM524335 KSI524335 LCE524335 LMA524335 LVW524335 MFS524335 MPO524335 MZK524335 NJG524335 NTC524335 OCY524335 OMU524335 OWQ524335 PGM524335 PQI524335 QAE524335 QKA524335 QTW524335 RDS524335 RNO524335 RXK524335 SHG524335 SRC524335 TAY524335 TKU524335 TUQ524335 UEM524335 UOI524335 UYE524335 VIA524335 VRW524335 WBS524335 WLO524335 WVK524335 C589871 IY589871 SU589871 ACQ589871 AMM589871 AWI589871 BGE589871 BQA589871 BZW589871 CJS589871 CTO589871 DDK589871 DNG589871 DXC589871 EGY589871 EQU589871 FAQ589871 FKM589871 FUI589871 GEE589871 GOA589871 GXW589871 HHS589871 HRO589871 IBK589871 ILG589871 IVC589871 JEY589871 JOU589871 JYQ589871 KIM589871 KSI589871 LCE589871 LMA589871 LVW589871 MFS589871 MPO589871 MZK589871 NJG589871 NTC589871 OCY589871 OMU589871 OWQ589871 PGM589871 PQI589871 QAE589871 QKA589871 QTW589871 RDS589871 RNO589871 RXK589871 SHG589871 SRC589871 TAY589871 TKU589871 TUQ589871 UEM589871 UOI589871 UYE589871 VIA589871 VRW589871 WBS589871 WLO589871 WVK589871 C655407 IY655407 SU655407 ACQ655407 AMM655407 AWI655407 BGE655407 BQA655407 BZW655407 CJS655407 CTO655407 DDK655407 DNG655407 DXC655407 EGY655407 EQU655407 FAQ655407 FKM655407 FUI655407 GEE655407 GOA655407 GXW655407 HHS655407 HRO655407 IBK655407 ILG655407 IVC655407 JEY655407 JOU655407 JYQ655407 KIM655407 KSI655407 LCE655407 LMA655407 LVW655407 MFS655407 MPO655407 MZK655407 NJG655407 NTC655407 OCY655407 OMU655407 OWQ655407 PGM655407 PQI655407 QAE655407 QKA655407 QTW655407 RDS655407 RNO655407 RXK655407 SHG655407 SRC655407 TAY655407 TKU655407 TUQ655407 UEM655407 UOI655407 UYE655407 VIA655407 VRW655407 WBS655407 WLO655407 WVK655407 C720943 IY720943 SU720943 ACQ720943 AMM720943 AWI720943 BGE720943 BQA720943 BZW720943 CJS720943 CTO720943 DDK720943 DNG720943 DXC720943 EGY720943 EQU720943 FAQ720943 FKM720943 FUI720943 GEE720943 GOA720943 GXW720943 HHS720943 HRO720943 IBK720943 ILG720943 IVC720943 JEY720943 JOU720943 JYQ720943 KIM720943 KSI720943 LCE720943 LMA720943 LVW720943 MFS720943 MPO720943 MZK720943 NJG720943 NTC720943 OCY720943 OMU720943 OWQ720943 PGM720943 PQI720943 QAE720943 QKA720943 QTW720943 RDS720943 RNO720943 RXK720943 SHG720943 SRC720943 TAY720943 TKU720943 TUQ720943 UEM720943 UOI720943 UYE720943 VIA720943 VRW720943 WBS720943 WLO720943 WVK720943 C786479 IY786479 SU786479 ACQ786479 AMM786479 AWI786479 BGE786479 BQA786479 BZW786479 CJS786479 CTO786479 DDK786479 DNG786479 DXC786479 EGY786479 EQU786479 FAQ786479 FKM786479 FUI786479 GEE786479 GOA786479 GXW786479 HHS786479 HRO786479 IBK786479 ILG786479 IVC786479 JEY786479 JOU786479 JYQ786479 KIM786479 KSI786479 LCE786479 LMA786479 LVW786479 MFS786479 MPO786479 MZK786479 NJG786479 NTC786479 OCY786479 OMU786479 OWQ786479 PGM786479 PQI786479 QAE786479 QKA786479 QTW786479 RDS786479 RNO786479 RXK786479 SHG786479 SRC786479 TAY786479 TKU786479 TUQ786479 UEM786479 UOI786479 UYE786479 VIA786479 VRW786479 WBS786479 WLO786479 WVK786479 C852015 IY852015 SU852015 ACQ852015 AMM852015 AWI852015 BGE852015 BQA852015 BZW852015 CJS852015 CTO852015 DDK852015 DNG852015 DXC852015 EGY852015 EQU852015 FAQ852015 FKM852015 FUI852015 GEE852015 GOA852015 GXW852015 HHS852015 HRO852015 IBK852015 ILG852015 IVC852015 JEY852015 JOU852015 JYQ852015 KIM852015 KSI852015 LCE852015 LMA852015 LVW852015 MFS852015 MPO852015 MZK852015 NJG852015 NTC852015 OCY852015 OMU852015 OWQ852015 PGM852015 PQI852015 QAE852015 QKA852015 QTW852015 RDS852015 RNO852015 RXK852015 SHG852015 SRC852015 TAY852015 TKU852015 TUQ852015 UEM852015 UOI852015 UYE852015 VIA852015 VRW852015 WBS852015 WLO852015 WVK852015 C917551 IY917551 SU917551 ACQ917551 AMM917551 AWI917551 BGE917551 BQA917551 BZW917551 CJS917551 CTO917551 DDK917551 DNG917551 DXC917551 EGY917551 EQU917551 FAQ917551 FKM917551 FUI917551 GEE917551 GOA917551 GXW917551 HHS917551 HRO917551 IBK917551 ILG917551 IVC917551 JEY917551 JOU917551 JYQ917551 KIM917551 KSI917551 LCE917551 LMA917551 LVW917551 MFS917551 MPO917551 MZK917551 NJG917551 NTC917551 OCY917551 OMU917551 OWQ917551 PGM917551 PQI917551 QAE917551 QKA917551 QTW917551 RDS917551 RNO917551 RXK917551 SHG917551 SRC917551 TAY917551 TKU917551 TUQ917551 UEM917551 UOI917551 UYE917551 VIA917551 VRW917551 WBS917551 WLO917551 WVK917551 C983087 IY983087 SU983087 ACQ983087 AMM983087 AWI983087 BGE983087 BQA983087 BZW983087 CJS983087 CTO983087 DDK983087 DNG983087 DXC983087 EGY983087 EQU983087 FAQ983087 FKM983087 FUI983087 GEE983087 GOA983087 GXW983087 HHS983087 HRO983087 IBK983087 ILG983087 IVC983087 JEY983087 JOU983087 JYQ983087 KIM983087 KSI983087 LCE983087 LMA983087 LVW983087 MFS983087 MPO983087 MZK983087 NJG983087 NTC983087 OCY983087 OMU983087 OWQ983087 PGM983087 PQI983087 QAE983087 QKA983087 QTW983087 RDS983087 RNO983087 RXK983087 SHG983087 SRC983087 TAY983087 TKU983087 TUQ983087 UEM983087 UOI983087 UYE983087 VIA983087 VRW983087 WBS983087 WLO983087 WVK983087 WVN71:WVN79 WLR71:WLR79 WBV71:WBV79 VRZ71:VRZ79 VID71:VID79 UYH71:UYH79 UOL71:UOL79 UEP71:UEP79 TUT71:TUT79 TKX71:TKX79 TBB71:TBB79 SRF71:SRF79 SHJ71:SHJ79 RXN71:RXN79 RNR71:RNR79 RDV71:RDV79 QTZ71:QTZ79 QKD71:QKD79 QAH71:QAH79 PQL71:PQL79 PGP71:PGP79 OWT71:OWT79 OMX71:OMX79 ODB71:ODB79 NTF71:NTF79 NJJ71:NJJ79 MZN71:MZN79 MPR71:MPR79 MFV71:MFV79 LVZ71:LVZ79 LMD71:LMD79 LCH71:LCH79 KSL71:KSL79 KIP71:KIP79 JYT71:JYT79 JOX71:JOX79 JFB71:JFB79 IVF71:IVF79 ILJ71:ILJ79 IBN71:IBN79 HRR71:HRR79 HHV71:HHV79 GXZ71:GXZ79 GOD71:GOD79 GEH71:GEH79 FUL71:FUL79 FKP71:FKP79 FAT71:FAT79 EQX71:EQX79 EHB71:EHB79 DXF71:DXF79 DNJ71:DNJ79 DDN71:DDN79 CTR71:CTR79 CJV71:CJV79 BZZ71:BZZ79 BQD71:BQD79 BGH71:BGH79 AWL71:AWL79 AMP71:AMP79 ACT71:ACT79 SX71:SX79 JB71:JB79 G71:G79 WVU71:WVU79 WLY71:WLY79 WCC71:WCC79 VSG71:VSG79 VIK71:VIK79 UYO71:UYO79 UOS71:UOS79 UEW71:UEW79 TVA71:TVA79 TLE71:TLE79 TBI71:TBI79 SRM71:SRM79 SHQ71:SHQ79 RXU71:RXU79 RNY71:RNY79 REC71:REC79 QUG71:QUG79 QKK71:QKK79 QAO71:QAO79 PQS71:PQS79 PGW71:PGW79 OXA71:OXA79 ONE71:ONE79 ODI71:ODI79 NTM71:NTM79 NJQ71:NJQ79 MZU71:MZU79 MPY71:MPY79 MGC71:MGC79 LWG71:LWG79 LMK71:LMK79 LCO71:LCO79 KSS71:KSS79 KIW71:KIW79 JZA71:JZA79 JPE71:JPE79 JFI71:JFI79 IVM71:IVM79 ILQ71:ILQ79 IBU71:IBU79 HRY71:HRY79 HIC71:HIC79 GYG71:GYG79 GOK71:GOK79 GEO71:GEO79 FUS71:FUS79 FKW71:FKW79 FBA71:FBA79 ERE71:ERE79 EHI71:EHI79 DXM71:DXM79 DNQ71:DNQ79 DDU71:DDU79 CTY71:CTY79 CKC71:CKC79 CAG71:CAG79 BQK71:BQK79 BGO71:BGO79 AWS71:AWS79 AMW71:AMW79 ADA71:ADA79 TE71:TE79 JI71:JI79 JI81:JI87 WVN81:WVN87 WLR81:WLR87 WBV81:WBV87 VRZ81:VRZ87 VID81:VID87 UYH81:UYH87 UOL81:UOL87 UEP81:UEP87 TUT81:TUT87 TKX81:TKX87 TBB81:TBB87 SRF81:SRF87 SHJ81:SHJ87 RXN81:RXN87 RNR81:RNR87 RDV81:RDV87 QTZ81:QTZ87 QKD81:QKD87 QAH81:QAH87 PQL81:PQL87 PGP81:PGP87 OWT81:OWT87 OMX81:OMX87 ODB81:ODB87 NTF81:NTF87 NJJ81:NJJ87 MZN81:MZN87 MPR81:MPR87 MFV81:MFV87 LVZ81:LVZ87 LMD81:LMD87 LCH81:LCH87 KSL81:KSL87 KIP81:KIP87 JYT81:JYT87 JOX81:JOX87 JFB81:JFB87 IVF81:IVF87 ILJ81:ILJ87 IBN81:IBN87 HRR81:HRR87 HHV81:HHV87 GXZ81:GXZ87 GOD81:GOD87 GEH81:GEH87 FUL81:FUL87 FKP81:FKP87 FAT81:FAT87 EQX81:EQX87 EHB81:EHB87 DXF81:DXF87 DNJ81:DNJ87 DDN81:DDN87 CTR81:CTR87 CJV81:CJV87 BZZ81:BZZ87 BQD81:BQD87 BGH81:BGH87 AWL81:AWL87 AMP81:AMP87 ACT81:ACT87 SX81:SX87 JB81:JB87 G81:G87 WVU81:WVU87 WLY81:WLY87 WCC81:WCC87 VSG81:VSG87 VIK81:VIK87 UYO81:UYO87 UOS81:UOS87 UEW81:UEW87 TVA81:TVA87 TLE81:TLE87 TBI81:TBI87 SRM81:SRM87 SHQ81:SHQ87 RXU81:RXU87 RNY81:RNY87 REC81:REC87 QUG81:QUG87 QKK81:QKK87 QAO81:QAO87 PQS81:PQS87 PGW81:PGW87 OXA81:OXA87 ONE81:ONE87 ODI81:ODI87 NTM81:NTM87 NJQ81:NJQ87 MZU81:MZU87 MPY81:MPY87 MGC81:MGC87 LWG81:LWG87 LMK81:LMK87 LCO81:LCO87 KSS81:KSS87 KIW81:KIW87 JZA81:JZA87 JPE81:JPE87 JFI81:JFI87 IVM81:IVM87 ILQ81:ILQ87 IBU81:IBU87 HRY81:HRY87 HIC81:HIC87 GYG81:GYG87 GOK81:GOK87 GEO81:GEO87 FUS81:FUS87 FKW81:FKW87 FBA81:FBA87 ERE81:ERE87 EHI81:EHI87 DXM81:DXM87 DNQ81:DNQ87 DDU81:DDU87 CTY81:CTY87 CKC81:CKC87 CAG81:CAG87 BQK81:BQK87 BGO81:BGO87 AWS81:AWS87 AMW81:AMW87 ADA81:ADA87 TE81:TE87 N81:N87 N71:N79" xr:uid="{00000000-0002-0000-0900-000006000000}">
      <formula1>"Yes, No"</formula1>
    </dataValidation>
    <dataValidation type="list" allowBlank="1" showInputMessage="1" showErrorMessage="1" sqref="E65554 JA65554 SW65554 ACS65554 AMO65554 AWK65554 BGG65554 BQC65554 BZY65554 CJU65554 CTQ65554 DDM65554 DNI65554 DXE65554 EHA65554 EQW65554 FAS65554 FKO65554 FUK65554 GEG65554 GOC65554 GXY65554 HHU65554 HRQ65554 IBM65554 ILI65554 IVE65554 JFA65554 JOW65554 JYS65554 KIO65554 KSK65554 LCG65554 LMC65554 LVY65554 MFU65554 MPQ65554 MZM65554 NJI65554 NTE65554 ODA65554 OMW65554 OWS65554 PGO65554 PQK65554 QAG65554 QKC65554 QTY65554 RDU65554 RNQ65554 RXM65554 SHI65554 SRE65554 TBA65554 TKW65554 TUS65554 UEO65554 UOK65554 UYG65554 VIC65554 VRY65554 WBU65554 WLQ65554 WVM65554 E131090 JA131090 SW131090 ACS131090 AMO131090 AWK131090 BGG131090 BQC131090 BZY131090 CJU131090 CTQ131090 DDM131090 DNI131090 DXE131090 EHA131090 EQW131090 FAS131090 FKO131090 FUK131090 GEG131090 GOC131090 GXY131090 HHU131090 HRQ131090 IBM131090 ILI131090 IVE131090 JFA131090 JOW131090 JYS131090 KIO131090 KSK131090 LCG131090 LMC131090 LVY131090 MFU131090 MPQ131090 MZM131090 NJI131090 NTE131090 ODA131090 OMW131090 OWS131090 PGO131090 PQK131090 QAG131090 QKC131090 QTY131090 RDU131090 RNQ131090 RXM131090 SHI131090 SRE131090 TBA131090 TKW131090 TUS131090 UEO131090 UOK131090 UYG131090 VIC131090 VRY131090 WBU131090 WLQ131090 WVM131090 E196626 JA196626 SW196626 ACS196626 AMO196626 AWK196626 BGG196626 BQC196626 BZY196626 CJU196626 CTQ196626 DDM196626 DNI196626 DXE196626 EHA196626 EQW196626 FAS196626 FKO196626 FUK196626 GEG196626 GOC196626 GXY196626 HHU196626 HRQ196626 IBM196626 ILI196626 IVE196626 JFA196626 JOW196626 JYS196626 KIO196626 KSK196626 LCG196626 LMC196626 LVY196626 MFU196626 MPQ196626 MZM196626 NJI196626 NTE196626 ODA196626 OMW196626 OWS196626 PGO196626 PQK196626 QAG196626 QKC196626 QTY196626 RDU196626 RNQ196626 RXM196626 SHI196626 SRE196626 TBA196626 TKW196626 TUS196626 UEO196626 UOK196626 UYG196626 VIC196626 VRY196626 WBU196626 WLQ196626 WVM196626 E262162 JA262162 SW262162 ACS262162 AMO262162 AWK262162 BGG262162 BQC262162 BZY262162 CJU262162 CTQ262162 DDM262162 DNI262162 DXE262162 EHA262162 EQW262162 FAS262162 FKO262162 FUK262162 GEG262162 GOC262162 GXY262162 HHU262162 HRQ262162 IBM262162 ILI262162 IVE262162 JFA262162 JOW262162 JYS262162 KIO262162 KSK262162 LCG262162 LMC262162 LVY262162 MFU262162 MPQ262162 MZM262162 NJI262162 NTE262162 ODA262162 OMW262162 OWS262162 PGO262162 PQK262162 QAG262162 QKC262162 QTY262162 RDU262162 RNQ262162 RXM262162 SHI262162 SRE262162 TBA262162 TKW262162 TUS262162 UEO262162 UOK262162 UYG262162 VIC262162 VRY262162 WBU262162 WLQ262162 WVM262162 E327698 JA327698 SW327698 ACS327698 AMO327698 AWK327698 BGG327698 BQC327698 BZY327698 CJU327698 CTQ327698 DDM327698 DNI327698 DXE327698 EHA327698 EQW327698 FAS327698 FKO327698 FUK327698 GEG327698 GOC327698 GXY327698 HHU327698 HRQ327698 IBM327698 ILI327698 IVE327698 JFA327698 JOW327698 JYS327698 KIO327698 KSK327698 LCG327698 LMC327698 LVY327698 MFU327698 MPQ327698 MZM327698 NJI327698 NTE327698 ODA327698 OMW327698 OWS327698 PGO327698 PQK327698 QAG327698 QKC327698 QTY327698 RDU327698 RNQ327698 RXM327698 SHI327698 SRE327698 TBA327698 TKW327698 TUS327698 UEO327698 UOK327698 UYG327698 VIC327698 VRY327698 WBU327698 WLQ327698 WVM327698 E393234 JA393234 SW393234 ACS393234 AMO393234 AWK393234 BGG393234 BQC393234 BZY393234 CJU393234 CTQ393234 DDM393234 DNI393234 DXE393234 EHA393234 EQW393234 FAS393234 FKO393234 FUK393234 GEG393234 GOC393234 GXY393234 HHU393234 HRQ393234 IBM393234 ILI393234 IVE393234 JFA393234 JOW393234 JYS393234 KIO393234 KSK393234 LCG393234 LMC393234 LVY393234 MFU393234 MPQ393234 MZM393234 NJI393234 NTE393234 ODA393234 OMW393234 OWS393234 PGO393234 PQK393234 QAG393234 QKC393234 QTY393234 RDU393234 RNQ393234 RXM393234 SHI393234 SRE393234 TBA393234 TKW393234 TUS393234 UEO393234 UOK393234 UYG393234 VIC393234 VRY393234 WBU393234 WLQ393234 WVM393234 E458770 JA458770 SW458770 ACS458770 AMO458770 AWK458770 BGG458770 BQC458770 BZY458770 CJU458770 CTQ458770 DDM458770 DNI458770 DXE458770 EHA458770 EQW458770 FAS458770 FKO458770 FUK458770 GEG458770 GOC458770 GXY458770 HHU458770 HRQ458770 IBM458770 ILI458770 IVE458770 JFA458770 JOW458770 JYS458770 KIO458770 KSK458770 LCG458770 LMC458770 LVY458770 MFU458770 MPQ458770 MZM458770 NJI458770 NTE458770 ODA458770 OMW458770 OWS458770 PGO458770 PQK458770 QAG458770 QKC458770 QTY458770 RDU458770 RNQ458770 RXM458770 SHI458770 SRE458770 TBA458770 TKW458770 TUS458770 UEO458770 UOK458770 UYG458770 VIC458770 VRY458770 WBU458770 WLQ458770 WVM458770 E524306 JA524306 SW524306 ACS524306 AMO524306 AWK524306 BGG524306 BQC524306 BZY524306 CJU524306 CTQ524306 DDM524306 DNI524306 DXE524306 EHA524306 EQW524306 FAS524306 FKO524306 FUK524306 GEG524306 GOC524306 GXY524306 HHU524306 HRQ524306 IBM524306 ILI524306 IVE524306 JFA524306 JOW524306 JYS524306 KIO524306 KSK524306 LCG524306 LMC524306 LVY524306 MFU524306 MPQ524306 MZM524306 NJI524306 NTE524306 ODA524306 OMW524306 OWS524306 PGO524306 PQK524306 QAG524306 QKC524306 QTY524306 RDU524306 RNQ524306 RXM524306 SHI524306 SRE524306 TBA524306 TKW524306 TUS524306 UEO524306 UOK524306 UYG524306 VIC524306 VRY524306 WBU524306 WLQ524306 WVM524306 E589842 JA589842 SW589842 ACS589842 AMO589842 AWK589842 BGG589842 BQC589842 BZY589842 CJU589842 CTQ589842 DDM589842 DNI589842 DXE589842 EHA589842 EQW589842 FAS589842 FKO589842 FUK589842 GEG589842 GOC589842 GXY589842 HHU589842 HRQ589842 IBM589842 ILI589842 IVE589842 JFA589842 JOW589842 JYS589842 KIO589842 KSK589842 LCG589842 LMC589842 LVY589842 MFU589842 MPQ589842 MZM589842 NJI589842 NTE589842 ODA589842 OMW589842 OWS589842 PGO589842 PQK589842 QAG589842 QKC589842 QTY589842 RDU589842 RNQ589842 RXM589842 SHI589842 SRE589842 TBA589842 TKW589842 TUS589842 UEO589842 UOK589842 UYG589842 VIC589842 VRY589842 WBU589842 WLQ589842 WVM589842 E655378 JA655378 SW655378 ACS655378 AMO655378 AWK655378 BGG655378 BQC655378 BZY655378 CJU655378 CTQ655378 DDM655378 DNI655378 DXE655378 EHA655378 EQW655378 FAS655378 FKO655378 FUK655378 GEG655378 GOC655378 GXY655378 HHU655378 HRQ655378 IBM655378 ILI655378 IVE655378 JFA655378 JOW655378 JYS655378 KIO655378 KSK655378 LCG655378 LMC655378 LVY655378 MFU655378 MPQ655378 MZM655378 NJI655378 NTE655378 ODA655378 OMW655378 OWS655378 PGO655378 PQK655378 QAG655378 QKC655378 QTY655378 RDU655378 RNQ655378 RXM655378 SHI655378 SRE655378 TBA655378 TKW655378 TUS655378 UEO655378 UOK655378 UYG655378 VIC655378 VRY655378 WBU655378 WLQ655378 WVM655378 E720914 JA720914 SW720914 ACS720914 AMO720914 AWK720914 BGG720914 BQC720914 BZY720914 CJU720914 CTQ720914 DDM720914 DNI720914 DXE720914 EHA720914 EQW720914 FAS720914 FKO720914 FUK720914 GEG720914 GOC720914 GXY720914 HHU720914 HRQ720914 IBM720914 ILI720914 IVE720914 JFA720914 JOW720914 JYS720914 KIO720914 KSK720914 LCG720914 LMC720914 LVY720914 MFU720914 MPQ720914 MZM720914 NJI720914 NTE720914 ODA720914 OMW720914 OWS720914 PGO720914 PQK720914 QAG720914 QKC720914 QTY720914 RDU720914 RNQ720914 RXM720914 SHI720914 SRE720914 TBA720914 TKW720914 TUS720914 UEO720914 UOK720914 UYG720914 VIC720914 VRY720914 WBU720914 WLQ720914 WVM720914 E786450 JA786450 SW786450 ACS786450 AMO786450 AWK786450 BGG786450 BQC786450 BZY786450 CJU786450 CTQ786450 DDM786450 DNI786450 DXE786450 EHA786450 EQW786450 FAS786450 FKO786450 FUK786450 GEG786450 GOC786450 GXY786450 HHU786450 HRQ786450 IBM786450 ILI786450 IVE786450 JFA786450 JOW786450 JYS786450 KIO786450 KSK786450 LCG786450 LMC786450 LVY786450 MFU786450 MPQ786450 MZM786450 NJI786450 NTE786450 ODA786450 OMW786450 OWS786450 PGO786450 PQK786450 QAG786450 QKC786450 QTY786450 RDU786450 RNQ786450 RXM786450 SHI786450 SRE786450 TBA786450 TKW786450 TUS786450 UEO786450 UOK786450 UYG786450 VIC786450 VRY786450 WBU786450 WLQ786450 WVM786450 E851986 JA851986 SW851986 ACS851986 AMO851986 AWK851986 BGG851986 BQC851986 BZY851986 CJU851986 CTQ851986 DDM851986 DNI851986 DXE851986 EHA851986 EQW851986 FAS851986 FKO851986 FUK851986 GEG851986 GOC851986 GXY851986 HHU851986 HRQ851986 IBM851986 ILI851986 IVE851986 JFA851986 JOW851986 JYS851986 KIO851986 KSK851986 LCG851986 LMC851986 LVY851986 MFU851986 MPQ851986 MZM851986 NJI851986 NTE851986 ODA851986 OMW851986 OWS851986 PGO851986 PQK851986 QAG851986 QKC851986 QTY851986 RDU851986 RNQ851986 RXM851986 SHI851986 SRE851986 TBA851986 TKW851986 TUS851986 UEO851986 UOK851986 UYG851986 VIC851986 VRY851986 WBU851986 WLQ851986 WVM851986 E917522 JA917522 SW917522 ACS917522 AMO917522 AWK917522 BGG917522 BQC917522 BZY917522 CJU917522 CTQ917522 DDM917522 DNI917522 DXE917522 EHA917522 EQW917522 FAS917522 FKO917522 FUK917522 GEG917522 GOC917522 GXY917522 HHU917522 HRQ917522 IBM917522 ILI917522 IVE917522 JFA917522 JOW917522 JYS917522 KIO917522 KSK917522 LCG917522 LMC917522 LVY917522 MFU917522 MPQ917522 MZM917522 NJI917522 NTE917522 ODA917522 OMW917522 OWS917522 PGO917522 PQK917522 QAG917522 QKC917522 QTY917522 RDU917522 RNQ917522 RXM917522 SHI917522 SRE917522 TBA917522 TKW917522 TUS917522 UEO917522 UOK917522 UYG917522 VIC917522 VRY917522 WBU917522 WLQ917522 WVM917522 E983058 JA983058 SW983058 ACS983058 AMO983058 AWK983058 BGG983058 BQC983058 BZY983058 CJU983058 CTQ983058 DDM983058 DNI983058 DXE983058 EHA983058 EQW983058 FAS983058 FKO983058 FUK983058 GEG983058 GOC983058 GXY983058 HHU983058 HRQ983058 IBM983058 ILI983058 IVE983058 JFA983058 JOW983058 JYS983058 KIO983058 KSK983058 LCG983058 LMC983058 LVY983058 MFU983058 MPQ983058 MZM983058 NJI983058 NTE983058 ODA983058 OMW983058 OWS983058 PGO983058 PQK983058 QAG983058 QKC983058 QTY983058 RDU983058 RNQ983058 RXM983058 SHI983058 SRE983058 TBA983058 TKW983058 TUS983058 UEO983058 UOK983058 UYG983058 VIC983058 VRY983058 WBU983058 WLQ983058 WVM983058 C65554 IY65554 SU65554 ACQ65554 AMM65554 AWI65554 BGE65554 BQA65554 BZW65554 CJS65554 CTO65554 DDK65554 DNG65554 DXC65554 EGY65554 EQU65554 FAQ65554 FKM65554 FUI65554 GEE65554 GOA65554 GXW65554 HHS65554 HRO65554 IBK65554 ILG65554 IVC65554 JEY65554 JOU65554 JYQ65554 KIM65554 KSI65554 LCE65554 LMA65554 LVW65554 MFS65554 MPO65554 MZK65554 NJG65554 NTC65554 OCY65554 OMU65554 OWQ65554 PGM65554 PQI65554 QAE65554 QKA65554 QTW65554 RDS65554 RNO65554 RXK65554 SHG65554 SRC65554 TAY65554 TKU65554 TUQ65554 UEM65554 UOI65554 UYE65554 VIA65554 VRW65554 WBS65554 WLO65554 WVK65554 C131090 IY131090 SU131090 ACQ131090 AMM131090 AWI131090 BGE131090 BQA131090 BZW131090 CJS131090 CTO131090 DDK131090 DNG131090 DXC131090 EGY131090 EQU131090 FAQ131090 FKM131090 FUI131090 GEE131090 GOA131090 GXW131090 HHS131090 HRO131090 IBK131090 ILG131090 IVC131090 JEY131090 JOU131090 JYQ131090 KIM131090 KSI131090 LCE131090 LMA131090 LVW131090 MFS131090 MPO131090 MZK131090 NJG131090 NTC131090 OCY131090 OMU131090 OWQ131090 PGM131090 PQI131090 QAE131090 QKA131090 QTW131090 RDS131090 RNO131090 RXK131090 SHG131090 SRC131090 TAY131090 TKU131090 TUQ131090 UEM131090 UOI131090 UYE131090 VIA131090 VRW131090 WBS131090 WLO131090 WVK131090 C196626 IY196626 SU196626 ACQ196626 AMM196626 AWI196626 BGE196626 BQA196626 BZW196626 CJS196626 CTO196626 DDK196626 DNG196626 DXC196626 EGY196626 EQU196626 FAQ196626 FKM196626 FUI196626 GEE196626 GOA196626 GXW196626 HHS196626 HRO196626 IBK196626 ILG196626 IVC196626 JEY196626 JOU196626 JYQ196626 KIM196626 KSI196626 LCE196626 LMA196626 LVW196626 MFS196626 MPO196626 MZK196626 NJG196626 NTC196626 OCY196626 OMU196626 OWQ196626 PGM196626 PQI196626 QAE196626 QKA196626 QTW196626 RDS196626 RNO196626 RXK196626 SHG196626 SRC196626 TAY196626 TKU196626 TUQ196626 UEM196626 UOI196626 UYE196626 VIA196626 VRW196626 WBS196626 WLO196626 WVK196626 C262162 IY262162 SU262162 ACQ262162 AMM262162 AWI262162 BGE262162 BQA262162 BZW262162 CJS262162 CTO262162 DDK262162 DNG262162 DXC262162 EGY262162 EQU262162 FAQ262162 FKM262162 FUI262162 GEE262162 GOA262162 GXW262162 HHS262162 HRO262162 IBK262162 ILG262162 IVC262162 JEY262162 JOU262162 JYQ262162 KIM262162 KSI262162 LCE262162 LMA262162 LVW262162 MFS262162 MPO262162 MZK262162 NJG262162 NTC262162 OCY262162 OMU262162 OWQ262162 PGM262162 PQI262162 QAE262162 QKA262162 QTW262162 RDS262162 RNO262162 RXK262162 SHG262162 SRC262162 TAY262162 TKU262162 TUQ262162 UEM262162 UOI262162 UYE262162 VIA262162 VRW262162 WBS262162 WLO262162 WVK262162 C327698 IY327698 SU327698 ACQ327698 AMM327698 AWI327698 BGE327698 BQA327698 BZW327698 CJS327698 CTO327698 DDK327698 DNG327698 DXC327698 EGY327698 EQU327698 FAQ327698 FKM327698 FUI327698 GEE327698 GOA327698 GXW327698 HHS327698 HRO327698 IBK327698 ILG327698 IVC327698 JEY327698 JOU327698 JYQ327698 KIM327698 KSI327698 LCE327698 LMA327698 LVW327698 MFS327698 MPO327698 MZK327698 NJG327698 NTC327698 OCY327698 OMU327698 OWQ327698 PGM327698 PQI327698 QAE327698 QKA327698 QTW327698 RDS327698 RNO327698 RXK327698 SHG327698 SRC327698 TAY327698 TKU327698 TUQ327698 UEM327698 UOI327698 UYE327698 VIA327698 VRW327698 WBS327698 WLO327698 WVK327698 C393234 IY393234 SU393234 ACQ393234 AMM393234 AWI393234 BGE393234 BQA393234 BZW393234 CJS393234 CTO393234 DDK393234 DNG393234 DXC393234 EGY393234 EQU393234 FAQ393234 FKM393234 FUI393234 GEE393234 GOA393234 GXW393234 HHS393234 HRO393234 IBK393234 ILG393234 IVC393234 JEY393234 JOU393234 JYQ393234 KIM393234 KSI393234 LCE393234 LMA393234 LVW393234 MFS393234 MPO393234 MZK393234 NJG393234 NTC393234 OCY393234 OMU393234 OWQ393234 PGM393234 PQI393234 QAE393234 QKA393234 QTW393234 RDS393234 RNO393234 RXK393234 SHG393234 SRC393234 TAY393234 TKU393234 TUQ393234 UEM393234 UOI393234 UYE393234 VIA393234 VRW393234 WBS393234 WLO393234 WVK393234 C458770 IY458770 SU458770 ACQ458770 AMM458770 AWI458770 BGE458770 BQA458770 BZW458770 CJS458770 CTO458770 DDK458770 DNG458770 DXC458770 EGY458770 EQU458770 FAQ458770 FKM458770 FUI458770 GEE458770 GOA458770 GXW458770 HHS458770 HRO458770 IBK458770 ILG458770 IVC458770 JEY458770 JOU458770 JYQ458770 KIM458770 KSI458770 LCE458770 LMA458770 LVW458770 MFS458770 MPO458770 MZK458770 NJG458770 NTC458770 OCY458770 OMU458770 OWQ458770 PGM458770 PQI458770 QAE458770 QKA458770 QTW458770 RDS458770 RNO458770 RXK458770 SHG458770 SRC458770 TAY458770 TKU458770 TUQ458770 UEM458770 UOI458770 UYE458770 VIA458770 VRW458770 WBS458770 WLO458770 WVK458770 C524306 IY524306 SU524306 ACQ524306 AMM524306 AWI524306 BGE524306 BQA524306 BZW524306 CJS524306 CTO524306 DDK524306 DNG524306 DXC524306 EGY524306 EQU524306 FAQ524306 FKM524306 FUI524306 GEE524306 GOA524306 GXW524306 HHS524306 HRO524306 IBK524306 ILG524306 IVC524306 JEY524306 JOU524306 JYQ524306 KIM524306 KSI524306 LCE524306 LMA524306 LVW524306 MFS524306 MPO524306 MZK524306 NJG524306 NTC524306 OCY524306 OMU524306 OWQ524306 PGM524306 PQI524306 QAE524306 QKA524306 QTW524306 RDS524306 RNO524306 RXK524306 SHG524306 SRC524306 TAY524306 TKU524306 TUQ524306 UEM524306 UOI524306 UYE524306 VIA524306 VRW524306 WBS524306 WLO524306 WVK524306 C589842 IY589842 SU589842 ACQ589842 AMM589842 AWI589842 BGE589842 BQA589842 BZW589842 CJS589842 CTO589842 DDK589842 DNG589842 DXC589842 EGY589842 EQU589842 FAQ589842 FKM589842 FUI589842 GEE589842 GOA589842 GXW589842 HHS589842 HRO589842 IBK589842 ILG589842 IVC589842 JEY589842 JOU589842 JYQ589842 KIM589842 KSI589842 LCE589842 LMA589842 LVW589842 MFS589842 MPO589842 MZK589842 NJG589842 NTC589842 OCY589842 OMU589842 OWQ589842 PGM589842 PQI589842 QAE589842 QKA589842 QTW589842 RDS589842 RNO589842 RXK589842 SHG589842 SRC589842 TAY589842 TKU589842 TUQ589842 UEM589842 UOI589842 UYE589842 VIA589842 VRW589842 WBS589842 WLO589842 WVK589842 C655378 IY655378 SU655378 ACQ655378 AMM655378 AWI655378 BGE655378 BQA655378 BZW655378 CJS655378 CTO655378 DDK655378 DNG655378 DXC655378 EGY655378 EQU655378 FAQ655378 FKM655378 FUI655378 GEE655378 GOA655378 GXW655378 HHS655378 HRO655378 IBK655378 ILG655378 IVC655378 JEY655378 JOU655378 JYQ655378 KIM655378 KSI655378 LCE655378 LMA655378 LVW655378 MFS655378 MPO655378 MZK655378 NJG655378 NTC655378 OCY655378 OMU655378 OWQ655378 PGM655378 PQI655378 QAE655378 QKA655378 QTW655378 RDS655378 RNO655378 RXK655378 SHG655378 SRC655378 TAY655378 TKU655378 TUQ655378 UEM655378 UOI655378 UYE655378 VIA655378 VRW655378 WBS655378 WLO655378 WVK655378 C720914 IY720914 SU720914 ACQ720914 AMM720914 AWI720914 BGE720914 BQA720914 BZW720914 CJS720914 CTO720914 DDK720914 DNG720914 DXC720914 EGY720914 EQU720914 FAQ720914 FKM720914 FUI720914 GEE720914 GOA720914 GXW720914 HHS720914 HRO720914 IBK720914 ILG720914 IVC720914 JEY720914 JOU720914 JYQ720914 KIM720914 KSI720914 LCE720914 LMA720914 LVW720914 MFS720914 MPO720914 MZK720914 NJG720914 NTC720914 OCY720914 OMU720914 OWQ720914 PGM720914 PQI720914 QAE720914 QKA720914 QTW720914 RDS720914 RNO720914 RXK720914 SHG720914 SRC720914 TAY720914 TKU720914 TUQ720914 UEM720914 UOI720914 UYE720914 VIA720914 VRW720914 WBS720914 WLO720914 WVK720914 C786450 IY786450 SU786450 ACQ786450 AMM786450 AWI786450 BGE786450 BQA786450 BZW786450 CJS786450 CTO786450 DDK786450 DNG786450 DXC786450 EGY786450 EQU786450 FAQ786450 FKM786450 FUI786450 GEE786450 GOA786450 GXW786450 HHS786450 HRO786450 IBK786450 ILG786450 IVC786450 JEY786450 JOU786450 JYQ786450 KIM786450 KSI786450 LCE786450 LMA786450 LVW786450 MFS786450 MPO786450 MZK786450 NJG786450 NTC786450 OCY786450 OMU786450 OWQ786450 PGM786450 PQI786450 QAE786450 QKA786450 QTW786450 RDS786450 RNO786450 RXK786450 SHG786450 SRC786450 TAY786450 TKU786450 TUQ786450 UEM786450 UOI786450 UYE786450 VIA786450 VRW786450 WBS786450 WLO786450 WVK786450 C851986 IY851986 SU851986 ACQ851986 AMM851986 AWI851986 BGE851986 BQA851986 BZW851986 CJS851986 CTO851986 DDK851986 DNG851986 DXC851986 EGY851986 EQU851986 FAQ851986 FKM851986 FUI851986 GEE851986 GOA851986 GXW851986 HHS851986 HRO851986 IBK851986 ILG851986 IVC851986 JEY851986 JOU851986 JYQ851986 KIM851986 KSI851986 LCE851986 LMA851986 LVW851986 MFS851986 MPO851986 MZK851986 NJG851986 NTC851986 OCY851986 OMU851986 OWQ851986 PGM851986 PQI851986 QAE851986 QKA851986 QTW851986 RDS851986 RNO851986 RXK851986 SHG851986 SRC851986 TAY851986 TKU851986 TUQ851986 UEM851986 UOI851986 UYE851986 VIA851986 VRW851986 WBS851986 WLO851986 WVK851986 C917522 IY917522 SU917522 ACQ917522 AMM917522 AWI917522 BGE917522 BQA917522 BZW917522 CJS917522 CTO917522 DDK917522 DNG917522 DXC917522 EGY917522 EQU917522 FAQ917522 FKM917522 FUI917522 GEE917522 GOA917522 GXW917522 HHS917522 HRO917522 IBK917522 ILG917522 IVC917522 JEY917522 JOU917522 JYQ917522 KIM917522 KSI917522 LCE917522 LMA917522 LVW917522 MFS917522 MPO917522 MZK917522 NJG917522 NTC917522 OCY917522 OMU917522 OWQ917522 PGM917522 PQI917522 QAE917522 QKA917522 QTW917522 RDS917522 RNO917522 RXK917522 SHG917522 SRC917522 TAY917522 TKU917522 TUQ917522 UEM917522 UOI917522 UYE917522 VIA917522 VRW917522 WBS917522 WLO917522 WVK917522 C983058 IY983058 SU983058 ACQ983058 AMM983058 AWI983058 BGE983058 BQA983058 BZW983058 CJS983058 CTO983058 DDK983058 DNG983058 DXC983058 EGY983058 EQU983058 FAQ983058 FKM983058 FUI983058 GEE983058 GOA983058 GXW983058 HHS983058 HRO983058 IBK983058 ILG983058 IVC983058 JEY983058 JOU983058 JYQ983058 KIM983058 KSI983058 LCE983058 LMA983058 LVW983058 MFS983058 MPO983058 MZK983058 NJG983058 NTC983058 OCY983058 OMU983058 OWQ983058 PGM983058 PQI983058 QAE983058 QKA983058 QTW983058 RDS983058 RNO983058 RXK983058 SHG983058 SRC983058 TAY983058 TKU983058 TUQ983058 UEM983058 UOI983058 UYE983058 VIA983058 VRW983058 WBS983058 WLO983058 WVK983058" xr:uid="{00000000-0002-0000-0900-000007000000}">
      <formula1>"EduComp Smart Class, Unsecured Loan"</formula1>
    </dataValidation>
    <dataValidation type="list" allowBlank="1" showInputMessage="1" showErrorMessage="1" sqref="F37" xr:uid="{00000000-0002-0000-0900-000008000000}">
      <formula1>"VIII,IX,X,XI,XII"</formula1>
    </dataValidation>
    <dataValidation type="list" allowBlank="1" showInputMessage="1" showErrorMessage="1" sqref="C5" xr:uid="{00000000-0002-0000-0900-000009000000}">
      <formula1>"CA LIP,Credit LIP,Based on Reported Financials"</formula1>
    </dataValidation>
    <dataValidation type="list" allowBlank="1" showInputMessage="1" showErrorMessage="1" sqref="C191:C192" xr:uid="{00000000-0002-0000-0900-00000A000000}">
      <formula1>Yes</formula1>
      <formula2>0</formula2>
    </dataValidation>
    <dataValidation type="list" allowBlank="1" showInputMessage="1" showErrorMessage="1" sqref="C49" xr:uid="{00000000-0002-0000-0900-00000B000000}">
      <formula1>"English, Hindi, Local Language"</formula1>
    </dataValidation>
    <dataValidation type="list" allowBlank="1" showInputMessage="1" showErrorMessage="1" sqref="F71:F74" xr:uid="{00000000-0002-0000-0900-00000C000000}">
      <formula1>"Yes - Involved in Day to Day Activities, No - Not involved"</formula1>
    </dataValidation>
    <dataValidation type="list" allowBlank="1" showInputMessage="1" showErrorMessage="1" sqref="F36" xr:uid="{00000000-0002-0000-0900-00000D000000}">
      <formula1>"Current Academic Yr, Next Academic Yr, Beyond next Academic yr"</formula1>
    </dataValidation>
    <dataValidation type="list" allowBlank="1" showInputMessage="1" showErrorMessage="1" sqref="E114" xr:uid="{00000000-0002-0000-0900-00000E000000}">
      <formula1>"Complete Collateral, Part Collateral"</formula1>
    </dataValidation>
    <dataValidation type="list" allowBlank="1" showInputMessage="1" showErrorMessage="1" sqref="G114" xr:uid="{00000000-0002-0000-0900-00000F000000}">
      <formula1>"School Owned, Trustee Owned, Rented (3rd Party)"</formula1>
    </dataValidation>
    <dataValidation type="list" allowBlank="1" showInputMessage="1" showErrorMessage="1" sqref="C114" xr:uid="{00000000-0002-0000-0900-000010000000}">
      <formula1>"Only Residential, Only Commercial, Only School Property, Combination  with Resi Property, Combination with Comm Property"</formula1>
    </dataValidation>
    <dataValidation type="list" allowBlank="1" showInputMessage="1" showErrorMessage="1" sqref="C115" xr:uid="{00000000-0002-0000-0900-000011000000}">
      <formula1>"Technical/Legal Deviation, Fully Compliant"</formula1>
    </dataValidation>
    <dataValidation type="list" allowBlank="1" showInputMessage="1" showErrorMessage="1" sqref="C6" xr:uid="{00000000-0002-0000-0900-000012000000}">
      <formula1>"Secured K-12, Unsecured K-12"</formula1>
    </dataValidation>
    <dataValidation type="list" allowBlank="1" showInputMessage="1" showErrorMessage="1" sqref="C7" xr:uid="{00000000-0002-0000-0900-000013000000}">
      <formula1>"Secured Risk Score 0, Secured Risk Score 1, Secured Risk Score 2, Unsec Segmt A, Unsec Segmt B, Unsec Segmt C (prefect Title), Unsec Segmt C (Imperfect Title)"</formula1>
    </dataValidation>
  </dataValidations>
  <pageMargins left="0.7" right="0.7" top="0.75" bottom="0.75" header="0.51180555555555551" footer="0.51180555555555551"/>
  <pageSetup paperSize="9" firstPageNumber="0" orientation="portrait" horizontalDpi="300" verticalDpi="300" r:id="rId1"/>
  <headerFooter alignWithMargins="0"/>
  <ignoredErrors>
    <ignoredError sqref="C15 E131"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L114"/>
  <sheetViews>
    <sheetView showGridLines="0" workbookViewId="0">
      <selection activeCell="AB60" sqref="AB60"/>
    </sheetView>
  </sheetViews>
  <sheetFormatPr defaultRowHeight="15"/>
  <cols>
    <col min="1" max="1" width="2.85546875" style="761" customWidth="1"/>
    <col min="2" max="2" width="27.7109375" style="760" customWidth="1"/>
    <col min="3" max="3" width="13.5703125" style="760" customWidth="1"/>
    <col min="4" max="4" width="14.5703125" style="760" customWidth="1"/>
    <col min="5" max="5" width="8.42578125" style="760" customWidth="1"/>
    <col min="6" max="6" width="12.7109375" style="760" bestFit="1" customWidth="1"/>
    <col min="7" max="7" width="14" style="761" bestFit="1" customWidth="1"/>
    <col min="8" max="8" width="14.85546875" style="761" customWidth="1"/>
    <col min="9" max="9" width="9.85546875" style="761" bestFit="1" customWidth="1"/>
    <col min="10" max="15" width="10.28515625" style="761" customWidth="1"/>
    <col min="16" max="16" width="9.85546875" style="761" bestFit="1" customWidth="1"/>
    <col min="17" max="17" width="10.5703125" style="761" bestFit="1" customWidth="1"/>
    <col min="18" max="18" width="11.85546875" style="761" bestFit="1" customWidth="1"/>
    <col min="19" max="19" width="11.85546875" style="761" customWidth="1"/>
    <col min="20" max="21" width="12.85546875" style="761" customWidth="1"/>
    <col min="22" max="23" width="17.28515625" style="761" customWidth="1"/>
    <col min="24" max="25" width="15.28515625" style="761" customWidth="1"/>
    <col min="26" max="26" width="12.85546875" style="761" bestFit="1" customWidth="1"/>
    <col min="27" max="27" width="11.7109375" style="761" customWidth="1"/>
    <col min="28" max="28" width="15.28515625" style="761" customWidth="1"/>
    <col min="29" max="29" width="11" style="761" customWidth="1"/>
    <col min="30" max="30" width="13" style="761" customWidth="1"/>
    <col min="31" max="32" width="11.5703125" style="761" bestFit="1" customWidth="1"/>
    <col min="33" max="33" width="14.7109375" style="761" customWidth="1"/>
    <col min="34" max="34" width="13.5703125" style="761" customWidth="1"/>
    <col min="35" max="35" width="14.140625" style="761" customWidth="1"/>
    <col min="36" max="36" width="12" style="761" customWidth="1"/>
    <col min="37" max="37" width="14.28515625" style="761" bestFit="1" customWidth="1"/>
    <col min="38" max="38" width="16.85546875" style="761" customWidth="1"/>
    <col min="39" max="16384" width="9.140625" style="761"/>
  </cols>
  <sheetData>
    <row r="1" spans="2:38">
      <c r="AE1" s="762"/>
    </row>
    <row r="3" spans="2:38">
      <c r="B3" s="763" t="s">
        <v>918</v>
      </c>
      <c r="C3" s="763"/>
      <c r="D3" s="763"/>
      <c r="E3" s="763"/>
      <c r="H3" s="764"/>
      <c r="I3" s="979" t="s">
        <v>65</v>
      </c>
      <c r="J3" s="979"/>
      <c r="K3" s="979"/>
      <c r="L3" s="979" t="s">
        <v>64</v>
      </c>
      <c r="M3" s="979"/>
      <c r="N3" s="979"/>
      <c r="O3" s="980" t="s">
        <v>63</v>
      </c>
      <c r="P3" s="981"/>
      <c r="Q3" s="982"/>
      <c r="R3" s="980" t="s">
        <v>62</v>
      </c>
      <c r="S3" s="981"/>
      <c r="T3" s="982"/>
    </row>
    <row r="4" spans="2:38">
      <c r="B4" s="765" t="s">
        <v>919</v>
      </c>
      <c r="C4" s="765"/>
      <c r="D4" s="765"/>
      <c r="E4" s="765"/>
      <c r="H4" s="766"/>
      <c r="I4" s="766" t="s">
        <v>1157</v>
      </c>
      <c r="J4" s="766" t="s">
        <v>1158</v>
      </c>
      <c r="K4" s="766" t="s">
        <v>1159</v>
      </c>
      <c r="L4" s="766" t="s">
        <v>1157</v>
      </c>
      <c r="M4" s="766" t="s">
        <v>1158</v>
      </c>
      <c r="N4" s="766" t="s">
        <v>1159</v>
      </c>
      <c r="O4" s="766" t="s">
        <v>1157</v>
      </c>
      <c r="P4" s="766" t="s">
        <v>1158</v>
      </c>
      <c r="Q4" s="766" t="s">
        <v>1159</v>
      </c>
      <c r="R4" s="766" t="s">
        <v>1157</v>
      </c>
      <c r="S4" s="766" t="s">
        <v>1158</v>
      </c>
      <c r="T4" s="766" t="s">
        <v>1159</v>
      </c>
    </row>
    <row r="5" spans="2:38">
      <c r="H5" s="764" t="s">
        <v>1156</v>
      </c>
      <c r="I5" s="767"/>
      <c r="J5" s="767"/>
      <c r="K5" s="768">
        <f>+I5*J5</f>
        <v>0</v>
      </c>
      <c r="L5" s="769"/>
      <c r="M5" s="769"/>
      <c r="N5" s="768">
        <f>+L5*M5</f>
        <v>0</v>
      </c>
      <c r="O5" s="769"/>
      <c r="P5" s="769"/>
      <c r="Q5" s="768">
        <f>+O5*P5</f>
        <v>0</v>
      </c>
      <c r="R5" s="769"/>
      <c r="S5" s="769"/>
      <c r="T5" s="768">
        <f>+R5*S5</f>
        <v>0</v>
      </c>
    </row>
    <row r="7" spans="2:38">
      <c r="B7" s="992" t="s">
        <v>920</v>
      </c>
      <c r="C7" s="992"/>
      <c r="D7" s="992"/>
      <c r="E7" s="992"/>
      <c r="F7" s="992"/>
      <c r="G7" s="992"/>
    </row>
    <row r="8" spans="2:38" ht="15.75" thickBot="1">
      <c r="B8" s="770" t="s">
        <v>1348</v>
      </c>
      <c r="C8" s="770"/>
      <c r="D8" s="770"/>
      <c r="K8" s="761" t="s">
        <v>320</v>
      </c>
    </row>
    <row r="9" spans="2:38" s="775" customFormat="1" ht="60" customHeight="1">
      <c r="B9" s="771" t="s">
        <v>761</v>
      </c>
      <c r="C9" s="987" t="s">
        <v>65</v>
      </c>
      <c r="D9" s="988"/>
      <c r="E9" s="989"/>
      <c r="F9" s="987" t="s">
        <v>64</v>
      </c>
      <c r="G9" s="988"/>
      <c r="H9" s="989"/>
      <c r="I9" s="987" t="s">
        <v>63</v>
      </c>
      <c r="J9" s="988"/>
      <c r="K9" s="989"/>
      <c r="L9" s="987" t="s">
        <v>62</v>
      </c>
      <c r="M9" s="988"/>
      <c r="N9" s="989"/>
      <c r="O9" s="1007" t="s">
        <v>763</v>
      </c>
      <c r="P9" s="1008"/>
      <c r="Q9" s="1008"/>
      <c r="R9" s="1009"/>
      <c r="S9" s="1007" t="s">
        <v>910</v>
      </c>
      <c r="T9" s="1008"/>
      <c r="U9" s="1008"/>
      <c r="V9" s="1009"/>
      <c r="W9" s="1007" t="s">
        <v>765</v>
      </c>
      <c r="X9" s="1008"/>
      <c r="Y9" s="1008"/>
      <c r="Z9" s="1010"/>
      <c r="AA9" s="772" t="s">
        <v>1084</v>
      </c>
      <c r="AB9" s="773" t="s">
        <v>764</v>
      </c>
      <c r="AC9" s="774" t="s">
        <v>908</v>
      </c>
      <c r="AD9" s="772" t="s">
        <v>1084</v>
      </c>
      <c r="AE9" s="773" t="s">
        <v>764</v>
      </c>
      <c r="AF9" s="774" t="s">
        <v>908</v>
      </c>
      <c r="AG9" s="772" t="s">
        <v>1084</v>
      </c>
      <c r="AH9" s="773" t="s">
        <v>764</v>
      </c>
      <c r="AI9" s="774" t="s">
        <v>908</v>
      </c>
      <c r="AJ9" s="772" t="s">
        <v>1084</v>
      </c>
      <c r="AK9" s="773" t="s">
        <v>764</v>
      </c>
      <c r="AL9" s="774" t="s">
        <v>908</v>
      </c>
    </row>
    <row r="10" spans="2:38" ht="30">
      <c r="B10" s="776" t="s">
        <v>157</v>
      </c>
      <c r="C10" s="766" t="s">
        <v>156</v>
      </c>
      <c r="D10" s="766" t="s">
        <v>762</v>
      </c>
      <c r="E10" s="766" t="s">
        <v>3</v>
      </c>
      <c r="F10" s="766" t="s">
        <v>156</v>
      </c>
      <c r="G10" s="766" t="s">
        <v>762</v>
      </c>
      <c r="H10" s="766" t="s">
        <v>3</v>
      </c>
      <c r="I10" s="766" t="s">
        <v>156</v>
      </c>
      <c r="J10" s="766" t="s">
        <v>762</v>
      </c>
      <c r="K10" s="766" t="s">
        <v>3</v>
      </c>
      <c r="L10" s="766" t="s">
        <v>156</v>
      </c>
      <c r="M10" s="766" t="s">
        <v>762</v>
      </c>
      <c r="N10" s="766" t="s">
        <v>3</v>
      </c>
      <c r="O10" s="777" t="s">
        <v>65</v>
      </c>
      <c r="P10" s="777" t="s">
        <v>64</v>
      </c>
      <c r="Q10" s="777" t="s">
        <v>63</v>
      </c>
      <c r="R10" s="777" t="s">
        <v>62</v>
      </c>
      <c r="S10" s="777" t="s">
        <v>65</v>
      </c>
      <c r="T10" s="777" t="s">
        <v>64</v>
      </c>
      <c r="U10" s="777" t="s">
        <v>63</v>
      </c>
      <c r="V10" s="777" t="s">
        <v>62</v>
      </c>
      <c r="W10" s="777" t="s">
        <v>65</v>
      </c>
      <c r="X10" s="777" t="s">
        <v>64</v>
      </c>
      <c r="Y10" s="777" t="s">
        <v>63</v>
      </c>
      <c r="Z10" s="777" t="s">
        <v>62</v>
      </c>
      <c r="AA10" s="1004" t="s">
        <v>65</v>
      </c>
      <c r="AB10" s="1005"/>
      <c r="AC10" s="1006"/>
      <c r="AD10" s="1004" t="s">
        <v>64</v>
      </c>
      <c r="AE10" s="1005"/>
      <c r="AF10" s="1006"/>
      <c r="AG10" s="1004" t="s">
        <v>63</v>
      </c>
      <c r="AH10" s="1005"/>
      <c r="AI10" s="1006"/>
      <c r="AJ10" s="1004" t="s">
        <v>62</v>
      </c>
      <c r="AK10" s="1005"/>
      <c r="AL10" s="1006"/>
    </row>
    <row r="11" spans="2:38" ht="14.25" customHeight="1">
      <c r="B11" s="778" t="s">
        <v>1340</v>
      </c>
      <c r="C11" s="779">
        <v>0</v>
      </c>
      <c r="D11" s="779">
        <f t="shared" ref="D11:D25" si="0">E11-C11</f>
        <v>0</v>
      </c>
      <c r="E11" s="767"/>
      <c r="F11" s="779">
        <f>+E11</f>
        <v>0</v>
      </c>
      <c r="G11" s="779">
        <f t="shared" ref="G11:G24" si="1">H11-F11</f>
        <v>0</v>
      </c>
      <c r="H11" s="767"/>
      <c r="I11" s="779"/>
      <c r="J11" s="779">
        <f>K11-I11</f>
        <v>0</v>
      </c>
      <c r="K11" s="767"/>
      <c r="L11" s="779"/>
      <c r="M11" s="779">
        <f t="shared" ref="M11:M24" si="2">N11-L11</f>
        <v>0</v>
      </c>
      <c r="N11" s="767"/>
      <c r="O11" s="780"/>
      <c r="P11" s="780"/>
      <c r="Q11" s="780"/>
      <c r="R11" s="780"/>
      <c r="S11" s="780"/>
      <c r="T11" s="780"/>
      <c r="U11" s="780"/>
      <c r="V11" s="780"/>
      <c r="W11" s="780"/>
      <c r="X11" s="780"/>
      <c r="Y11" s="780"/>
      <c r="Z11" s="780"/>
      <c r="AA11" s="781">
        <f>E11*O11*12</f>
        <v>0</v>
      </c>
      <c r="AB11" s="782">
        <f>D11*T11</f>
        <v>0</v>
      </c>
      <c r="AC11" s="783">
        <f>(E11-D11)*X11</f>
        <v>0</v>
      </c>
      <c r="AD11" s="781">
        <f>H11*P11*12</f>
        <v>0</v>
      </c>
      <c r="AE11" s="782">
        <f>G11*T11</f>
        <v>0</v>
      </c>
      <c r="AF11" s="784">
        <f>(H11-G11)*X11</f>
        <v>0</v>
      </c>
      <c r="AG11" s="781">
        <f>K11*Q11*12</f>
        <v>0</v>
      </c>
      <c r="AH11" s="782">
        <f>J11*U11</f>
        <v>0</v>
      </c>
      <c r="AI11" s="783">
        <f>(K11-J11)*Y11</f>
        <v>0</v>
      </c>
      <c r="AJ11" s="781">
        <f>N11*R11*12</f>
        <v>0</v>
      </c>
      <c r="AK11" s="782">
        <f>M11*V11</f>
        <v>0</v>
      </c>
      <c r="AL11" s="784">
        <f>(N11-M11)*Z11</f>
        <v>0</v>
      </c>
    </row>
    <row r="12" spans="2:38">
      <c r="B12" s="778" t="s">
        <v>1153</v>
      </c>
      <c r="C12" s="779">
        <v>0</v>
      </c>
      <c r="D12" s="779">
        <f t="shared" si="0"/>
        <v>0</v>
      </c>
      <c r="E12" s="767"/>
      <c r="F12" s="779">
        <f t="shared" ref="F12:F24" si="3">+E12</f>
        <v>0</v>
      </c>
      <c r="G12" s="779">
        <f t="shared" si="1"/>
        <v>0</v>
      </c>
      <c r="H12" s="767"/>
      <c r="I12" s="779">
        <f>H11</f>
        <v>0</v>
      </c>
      <c r="J12" s="779">
        <f t="shared" ref="J12:J24" si="4">K12-I12</f>
        <v>0</v>
      </c>
      <c r="K12" s="767"/>
      <c r="L12" s="779">
        <f>K11</f>
        <v>0</v>
      </c>
      <c r="M12" s="779">
        <f t="shared" si="2"/>
        <v>0</v>
      </c>
      <c r="N12" s="767"/>
      <c r="O12" s="780"/>
      <c r="P12" s="780"/>
      <c r="Q12" s="780"/>
      <c r="R12" s="780"/>
      <c r="S12" s="780"/>
      <c r="T12" s="780"/>
      <c r="U12" s="780"/>
      <c r="V12" s="780"/>
      <c r="W12" s="780"/>
      <c r="X12" s="780"/>
      <c r="Y12" s="780"/>
      <c r="Z12" s="780"/>
      <c r="AA12" s="781">
        <f t="shared" ref="AA12:AA23" si="5">E12*O12*12</f>
        <v>0</v>
      </c>
      <c r="AB12" s="782">
        <f t="shared" ref="AB12:AB23" si="6">D12*T12</f>
        <v>0</v>
      </c>
      <c r="AC12" s="783">
        <f t="shared" ref="AC12:AC23" si="7">(E12-D12)*X12</f>
        <v>0</v>
      </c>
      <c r="AD12" s="781">
        <f t="shared" ref="AD12:AD23" si="8">H12*P12*12</f>
        <v>0</v>
      </c>
      <c r="AE12" s="782">
        <f t="shared" ref="AE12:AE23" si="9">G12*T12</f>
        <v>0</v>
      </c>
      <c r="AF12" s="784">
        <f t="shared" ref="AF12:AF23" si="10">(H12-G12)*X12</f>
        <v>0</v>
      </c>
      <c r="AG12" s="781">
        <f t="shared" ref="AG12:AG23" si="11">K12*Q12*12</f>
        <v>0</v>
      </c>
      <c r="AH12" s="782">
        <f t="shared" ref="AH12:AH23" si="12">J12*U12</f>
        <v>0</v>
      </c>
      <c r="AI12" s="783">
        <f t="shared" ref="AI12:AI23" si="13">(K12-J12)*Y12</f>
        <v>0</v>
      </c>
      <c r="AJ12" s="781">
        <f t="shared" ref="AJ12:AJ23" si="14">N12*R12*12</f>
        <v>0</v>
      </c>
      <c r="AK12" s="782">
        <f t="shared" ref="AK12:AK23" si="15">M12*V12</f>
        <v>0</v>
      </c>
      <c r="AL12" s="784">
        <f t="shared" ref="AL12:AL23" si="16">(N12-M12)*Z12</f>
        <v>0</v>
      </c>
    </row>
    <row r="13" spans="2:38">
      <c r="B13" s="778" t="s">
        <v>1154</v>
      </c>
      <c r="C13" s="779">
        <v>0</v>
      </c>
      <c r="D13" s="779">
        <f t="shared" si="0"/>
        <v>0</v>
      </c>
      <c r="E13" s="767"/>
      <c r="F13" s="779">
        <f t="shared" si="3"/>
        <v>0</v>
      </c>
      <c r="G13" s="779">
        <f t="shared" si="1"/>
        <v>0</v>
      </c>
      <c r="H13" s="767"/>
      <c r="I13" s="779">
        <f t="shared" ref="I13:I26" si="17">H12</f>
        <v>0</v>
      </c>
      <c r="J13" s="779">
        <f t="shared" si="4"/>
        <v>0</v>
      </c>
      <c r="K13" s="767"/>
      <c r="L13" s="779">
        <f t="shared" ref="L13:L26" si="18">K12</f>
        <v>0</v>
      </c>
      <c r="M13" s="779">
        <f t="shared" si="2"/>
        <v>0</v>
      </c>
      <c r="N13" s="767"/>
      <c r="O13" s="780"/>
      <c r="P13" s="780"/>
      <c r="Q13" s="780"/>
      <c r="R13" s="780"/>
      <c r="S13" s="780"/>
      <c r="T13" s="780"/>
      <c r="U13" s="780"/>
      <c r="V13" s="780"/>
      <c r="W13" s="780"/>
      <c r="X13" s="780"/>
      <c r="Y13" s="780"/>
      <c r="Z13" s="780"/>
      <c r="AA13" s="781">
        <f>E13*O13*12</f>
        <v>0</v>
      </c>
      <c r="AB13" s="782">
        <f t="shared" si="6"/>
        <v>0</v>
      </c>
      <c r="AC13" s="783">
        <f t="shared" si="7"/>
        <v>0</v>
      </c>
      <c r="AD13" s="781">
        <f t="shared" si="8"/>
        <v>0</v>
      </c>
      <c r="AE13" s="782">
        <f t="shared" si="9"/>
        <v>0</v>
      </c>
      <c r="AF13" s="784">
        <f t="shared" si="10"/>
        <v>0</v>
      </c>
      <c r="AG13" s="781">
        <f t="shared" si="11"/>
        <v>0</v>
      </c>
      <c r="AH13" s="782">
        <f t="shared" si="12"/>
        <v>0</v>
      </c>
      <c r="AI13" s="783">
        <f t="shared" si="13"/>
        <v>0</v>
      </c>
      <c r="AJ13" s="781">
        <f t="shared" si="14"/>
        <v>0</v>
      </c>
      <c r="AK13" s="782">
        <f t="shared" si="15"/>
        <v>0</v>
      </c>
      <c r="AL13" s="784">
        <f t="shared" si="16"/>
        <v>0</v>
      </c>
    </row>
    <row r="14" spans="2:38">
      <c r="B14" s="778">
        <v>1</v>
      </c>
      <c r="C14" s="779">
        <v>0</v>
      </c>
      <c r="D14" s="779">
        <f t="shared" si="0"/>
        <v>0</v>
      </c>
      <c r="E14" s="767"/>
      <c r="F14" s="779">
        <f t="shared" si="3"/>
        <v>0</v>
      </c>
      <c r="G14" s="779">
        <f t="shared" si="1"/>
        <v>0</v>
      </c>
      <c r="H14" s="767"/>
      <c r="I14" s="779">
        <f t="shared" si="17"/>
        <v>0</v>
      </c>
      <c r="J14" s="779">
        <f t="shared" si="4"/>
        <v>0</v>
      </c>
      <c r="K14" s="767"/>
      <c r="L14" s="779">
        <f t="shared" si="18"/>
        <v>0</v>
      </c>
      <c r="M14" s="779">
        <f t="shared" si="2"/>
        <v>0</v>
      </c>
      <c r="N14" s="767"/>
      <c r="O14" s="780"/>
      <c r="P14" s="780"/>
      <c r="Q14" s="780"/>
      <c r="R14" s="780"/>
      <c r="S14" s="780"/>
      <c r="T14" s="780"/>
      <c r="U14" s="780"/>
      <c r="V14" s="780"/>
      <c r="W14" s="780"/>
      <c r="X14" s="780"/>
      <c r="Y14" s="780"/>
      <c r="Z14" s="780"/>
      <c r="AA14" s="781">
        <f t="shared" si="5"/>
        <v>0</v>
      </c>
      <c r="AB14" s="782">
        <f t="shared" si="6"/>
        <v>0</v>
      </c>
      <c r="AC14" s="783">
        <f t="shared" si="7"/>
        <v>0</v>
      </c>
      <c r="AD14" s="781">
        <f t="shared" si="8"/>
        <v>0</v>
      </c>
      <c r="AE14" s="782">
        <f t="shared" si="9"/>
        <v>0</v>
      </c>
      <c r="AF14" s="784">
        <f t="shared" si="10"/>
        <v>0</v>
      </c>
      <c r="AG14" s="781">
        <f t="shared" si="11"/>
        <v>0</v>
      </c>
      <c r="AH14" s="782">
        <f t="shared" si="12"/>
        <v>0</v>
      </c>
      <c r="AI14" s="783">
        <f t="shared" si="13"/>
        <v>0</v>
      </c>
      <c r="AJ14" s="781">
        <f t="shared" si="14"/>
        <v>0</v>
      </c>
      <c r="AK14" s="782">
        <f t="shared" si="15"/>
        <v>0</v>
      </c>
      <c r="AL14" s="784">
        <f t="shared" si="16"/>
        <v>0</v>
      </c>
    </row>
    <row r="15" spans="2:38">
      <c r="B15" s="778">
        <v>2</v>
      </c>
      <c r="C15" s="779">
        <v>0</v>
      </c>
      <c r="D15" s="779">
        <f t="shared" si="0"/>
        <v>0</v>
      </c>
      <c r="E15" s="767"/>
      <c r="F15" s="779">
        <f t="shared" si="3"/>
        <v>0</v>
      </c>
      <c r="G15" s="779">
        <f t="shared" si="1"/>
        <v>0</v>
      </c>
      <c r="H15" s="767"/>
      <c r="I15" s="779">
        <f t="shared" si="17"/>
        <v>0</v>
      </c>
      <c r="J15" s="779">
        <f t="shared" si="4"/>
        <v>0</v>
      </c>
      <c r="K15" s="767"/>
      <c r="L15" s="779">
        <f t="shared" si="18"/>
        <v>0</v>
      </c>
      <c r="M15" s="779">
        <f t="shared" si="2"/>
        <v>0</v>
      </c>
      <c r="N15" s="767"/>
      <c r="O15" s="780"/>
      <c r="P15" s="780"/>
      <c r="Q15" s="780"/>
      <c r="R15" s="780"/>
      <c r="S15" s="780"/>
      <c r="T15" s="780"/>
      <c r="U15" s="780"/>
      <c r="V15" s="780"/>
      <c r="W15" s="780"/>
      <c r="X15" s="780"/>
      <c r="Y15" s="780"/>
      <c r="Z15" s="780"/>
      <c r="AA15" s="781">
        <f t="shared" si="5"/>
        <v>0</v>
      </c>
      <c r="AB15" s="782">
        <f t="shared" si="6"/>
        <v>0</v>
      </c>
      <c r="AC15" s="783">
        <f t="shared" si="7"/>
        <v>0</v>
      </c>
      <c r="AD15" s="781">
        <f t="shared" si="8"/>
        <v>0</v>
      </c>
      <c r="AE15" s="782">
        <f t="shared" si="9"/>
        <v>0</v>
      </c>
      <c r="AF15" s="784">
        <f t="shared" si="10"/>
        <v>0</v>
      </c>
      <c r="AG15" s="781">
        <f t="shared" si="11"/>
        <v>0</v>
      </c>
      <c r="AH15" s="782">
        <f t="shared" si="12"/>
        <v>0</v>
      </c>
      <c r="AI15" s="783">
        <f t="shared" si="13"/>
        <v>0</v>
      </c>
      <c r="AJ15" s="781">
        <f t="shared" si="14"/>
        <v>0</v>
      </c>
      <c r="AK15" s="782">
        <f t="shared" si="15"/>
        <v>0</v>
      </c>
      <c r="AL15" s="784">
        <f t="shared" si="16"/>
        <v>0</v>
      </c>
    </row>
    <row r="16" spans="2:38">
      <c r="B16" s="778">
        <v>3</v>
      </c>
      <c r="C16" s="779">
        <v>0</v>
      </c>
      <c r="D16" s="779">
        <f t="shared" si="0"/>
        <v>0</v>
      </c>
      <c r="E16" s="767"/>
      <c r="F16" s="779">
        <f t="shared" si="3"/>
        <v>0</v>
      </c>
      <c r="G16" s="779">
        <f t="shared" si="1"/>
        <v>0</v>
      </c>
      <c r="H16" s="767"/>
      <c r="I16" s="779">
        <f t="shared" si="17"/>
        <v>0</v>
      </c>
      <c r="J16" s="779">
        <f t="shared" si="4"/>
        <v>0</v>
      </c>
      <c r="K16" s="767"/>
      <c r="L16" s="779">
        <f t="shared" si="18"/>
        <v>0</v>
      </c>
      <c r="M16" s="779">
        <f t="shared" si="2"/>
        <v>0</v>
      </c>
      <c r="N16" s="767"/>
      <c r="O16" s="780"/>
      <c r="P16" s="780"/>
      <c r="Q16" s="780"/>
      <c r="R16" s="780"/>
      <c r="S16" s="780"/>
      <c r="T16" s="780"/>
      <c r="U16" s="780"/>
      <c r="V16" s="780"/>
      <c r="W16" s="780"/>
      <c r="X16" s="780"/>
      <c r="Y16" s="780"/>
      <c r="Z16" s="780"/>
      <c r="AA16" s="781">
        <f t="shared" si="5"/>
        <v>0</v>
      </c>
      <c r="AB16" s="782">
        <f t="shared" si="6"/>
        <v>0</v>
      </c>
      <c r="AC16" s="783">
        <f t="shared" si="7"/>
        <v>0</v>
      </c>
      <c r="AD16" s="781">
        <f t="shared" si="8"/>
        <v>0</v>
      </c>
      <c r="AE16" s="782">
        <f t="shared" si="9"/>
        <v>0</v>
      </c>
      <c r="AF16" s="784">
        <f t="shared" si="10"/>
        <v>0</v>
      </c>
      <c r="AG16" s="781">
        <f t="shared" si="11"/>
        <v>0</v>
      </c>
      <c r="AH16" s="782">
        <f t="shared" si="12"/>
        <v>0</v>
      </c>
      <c r="AI16" s="783">
        <f t="shared" si="13"/>
        <v>0</v>
      </c>
      <c r="AJ16" s="781">
        <f t="shared" si="14"/>
        <v>0</v>
      </c>
      <c r="AK16" s="782">
        <f t="shared" si="15"/>
        <v>0</v>
      </c>
      <c r="AL16" s="784">
        <f t="shared" si="16"/>
        <v>0</v>
      </c>
    </row>
    <row r="17" spans="2:38">
      <c r="B17" s="778">
        <v>4</v>
      </c>
      <c r="C17" s="779">
        <v>0</v>
      </c>
      <c r="D17" s="779">
        <f t="shared" si="0"/>
        <v>0</v>
      </c>
      <c r="E17" s="767"/>
      <c r="F17" s="779">
        <f t="shared" si="3"/>
        <v>0</v>
      </c>
      <c r="G17" s="779">
        <f t="shared" si="1"/>
        <v>0</v>
      </c>
      <c r="H17" s="767"/>
      <c r="I17" s="779">
        <f t="shared" si="17"/>
        <v>0</v>
      </c>
      <c r="J17" s="779">
        <f t="shared" si="4"/>
        <v>0</v>
      </c>
      <c r="K17" s="767"/>
      <c r="L17" s="779">
        <f t="shared" si="18"/>
        <v>0</v>
      </c>
      <c r="M17" s="779">
        <f t="shared" si="2"/>
        <v>0</v>
      </c>
      <c r="N17" s="767"/>
      <c r="O17" s="780"/>
      <c r="P17" s="780"/>
      <c r="Q17" s="780"/>
      <c r="R17" s="780"/>
      <c r="S17" s="780"/>
      <c r="T17" s="780"/>
      <c r="U17" s="780"/>
      <c r="V17" s="780"/>
      <c r="W17" s="780"/>
      <c r="X17" s="780"/>
      <c r="Y17" s="780"/>
      <c r="Z17" s="780"/>
      <c r="AA17" s="781">
        <f t="shared" si="5"/>
        <v>0</v>
      </c>
      <c r="AB17" s="782">
        <f t="shared" si="6"/>
        <v>0</v>
      </c>
      <c r="AC17" s="783">
        <f t="shared" si="7"/>
        <v>0</v>
      </c>
      <c r="AD17" s="781">
        <f t="shared" si="8"/>
        <v>0</v>
      </c>
      <c r="AE17" s="782">
        <f t="shared" si="9"/>
        <v>0</v>
      </c>
      <c r="AF17" s="784">
        <f t="shared" si="10"/>
        <v>0</v>
      </c>
      <c r="AG17" s="781">
        <f t="shared" si="11"/>
        <v>0</v>
      </c>
      <c r="AH17" s="782">
        <f t="shared" si="12"/>
        <v>0</v>
      </c>
      <c r="AI17" s="783">
        <f t="shared" si="13"/>
        <v>0</v>
      </c>
      <c r="AJ17" s="781">
        <f t="shared" si="14"/>
        <v>0</v>
      </c>
      <c r="AK17" s="782">
        <f t="shared" si="15"/>
        <v>0</v>
      </c>
      <c r="AL17" s="784">
        <f t="shared" si="16"/>
        <v>0</v>
      </c>
    </row>
    <row r="18" spans="2:38">
      <c r="B18" s="778">
        <v>5</v>
      </c>
      <c r="C18" s="779">
        <v>0</v>
      </c>
      <c r="D18" s="779">
        <f t="shared" si="0"/>
        <v>0</v>
      </c>
      <c r="E18" s="767"/>
      <c r="F18" s="779">
        <f t="shared" si="3"/>
        <v>0</v>
      </c>
      <c r="G18" s="779">
        <f t="shared" si="1"/>
        <v>0</v>
      </c>
      <c r="H18" s="767"/>
      <c r="I18" s="779">
        <f t="shared" si="17"/>
        <v>0</v>
      </c>
      <c r="J18" s="779">
        <f t="shared" si="4"/>
        <v>0</v>
      </c>
      <c r="K18" s="767"/>
      <c r="L18" s="779">
        <f t="shared" si="18"/>
        <v>0</v>
      </c>
      <c r="M18" s="779">
        <f t="shared" si="2"/>
        <v>0</v>
      </c>
      <c r="N18" s="767"/>
      <c r="O18" s="780"/>
      <c r="P18" s="780"/>
      <c r="Q18" s="780"/>
      <c r="R18" s="780"/>
      <c r="S18" s="780"/>
      <c r="T18" s="780"/>
      <c r="U18" s="780"/>
      <c r="V18" s="780"/>
      <c r="W18" s="780"/>
      <c r="X18" s="780"/>
      <c r="Y18" s="780"/>
      <c r="Z18" s="780"/>
      <c r="AA18" s="781">
        <f t="shared" si="5"/>
        <v>0</v>
      </c>
      <c r="AB18" s="782">
        <f t="shared" si="6"/>
        <v>0</v>
      </c>
      <c r="AC18" s="783">
        <f t="shared" si="7"/>
        <v>0</v>
      </c>
      <c r="AD18" s="781">
        <f t="shared" si="8"/>
        <v>0</v>
      </c>
      <c r="AE18" s="782">
        <f t="shared" si="9"/>
        <v>0</v>
      </c>
      <c r="AF18" s="784">
        <f t="shared" si="10"/>
        <v>0</v>
      </c>
      <c r="AG18" s="781">
        <f t="shared" si="11"/>
        <v>0</v>
      </c>
      <c r="AH18" s="782">
        <f t="shared" si="12"/>
        <v>0</v>
      </c>
      <c r="AI18" s="783">
        <f t="shared" si="13"/>
        <v>0</v>
      </c>
      <c r="AJ18" s="781">
        <f t="shared" si="14"/>
        <v>0</v>
      </c>
      <c r="AK18" s="782">
        <f t="shared" si="15"/>
        <v>0</v>
      </c>
      <c r="AL18" s="784">
        <f t="shared" si="16"/>
        <v>0</v>
      </c>
    </row>
    <row r="19" spans="2:38">
      <c r="B19" s="778">
        <v>6</v>
      </c>
      <c r="C19" s="779">
        <v>0</v>
      </c>
      <c r="D19" s="779">
        <f t="shared" si="0"/>
        <v>0</v>
      </c>
      <c r="E19" s="767"/>
      <c r="F19" s="779">
        <f t="shared" si="3"/>
        <v>0</v>
      </c>
      <c r="G19" s="779">
        <f t="shared" si="1"/>
        <v>0</v>
      </c>
      <c r="H19" s="767"/>
      <c r="I19" s="779">
        <f t="shared" si="17"/>
        <v>0</v>
      </c>
      <c r="J19" s="779">
        <f t="shared" si="4"/>
        <v>0</v>
      </c>
      <c r="K19" s="767"/>
      <c r="L19" s="779">
        <f t="shared" si="18"/>
        <v>0</v>
      </c>
      <c r="M19" s="779">
        <f t="shared" si="2"/>
        <v>0</v>
      </c>
      <c r="N19" s="767"/>
      <c r="O19" s="780"/>
      <c r="P19" s="780"/>
      <c r="Q19" s="780"/>
      <c r="R19" s="780"/>
      <c r="S19" s="780"/>
      <c r="T19" s="780"/>
      <c r="U19" s="780"/>
      <c r="V19" s="780"/>
      <c r="W19" s="780"/>
      <c r="X19" s="780"/>
      <c r="Y19" s="780"/>
      <c r="Z19" s="780"/>
      <c r="AA19" s="781">
        <f t="shared" si="5"/>
        <v>0</v>
      </c>
      <c r="AB19" s="782">
        <f t="shared" si="6"/>
        <v>0</v>
      </c>
      <c r="AC19" s="783">
        <f t="shared" si="7"/>
        <v>0</v>
      </c>
      <c r="AD19" s="781">
        <f t="shared" si="8"/>
        <v>0</v>
      </c>
      <c r="AE19" s="782">
        <f t="shared" si="9"/>
        <v>0</v>
      </c>
      <c r="AF19" s="784">
        <f t="shared" si="10"/>
        <v>0</v>
      </c>
      <c r="AG19" s="781">
        <f t="shared" si="11"/>
        <v>0</v>
      </c>
      <c r="AH19" s="782">
        <f t="shared" si="12"/>
        <v>0</v>
      </c>
      <c r="AI19" s="783">
        <f t="shared" si="13"/>
        <v>0</v>
      </c>
      <c r="AJ19" s="781">
        <f t="shared" si="14"/>
        <v>0</v>
      </c>
      <c r="AK19" s="782">
        <f t="shared" si="15"/>
        <v>0</v>
      </c>
      <c r="AL19" s="784">
        <f t="shared" si="16"/>
        <v>0</v>
      </c>
    </row>
    <row r="20" spans="2:38">
      <c r="B20" s="778">
        <v>7</v>
      </c>
      <c r="C20" s="779">
        <v>0</v>
      </c>
      <c r="D20" s="779">
        <f t="shared" si="0"/>
        <v>0</v>
      </c>
      <c r="E20" s="767"/>
      <c r="F20" s="779">
        <f t="shared" si="3"/>
        <v>0</v>
      </c>
      <c r="G20" s="779">
        <f t="shared" si="1"/>
        <v>0</v>
      </c>
      <c r="H20" s="767"/>
      <c r="I20" s="779">
        <f t="shared" si="17"/>
        <v>0</v>
      </c>
      <c r="J20" s="779">
        <f t="shared" si="4"/>
        <v>0</v>
      </c>
      <c r="K20" s="767"/>
      <c r="L20" s="779">
        <f t="shared" si="18"/>
        <v>0</v>
      </c>
      <c r="M20" s="779">
        <f t="shared" si="2"/>
        <v>0</v>
      </c>
      <c r="N20" s="767"/>
      <c r="O20" s="780"/>
      <c r="P20" s="780"/>
      <c r="Q20" s="780"/>
      <c r="R20" s="780"/>
      <c r="S20" s="780"/>
      <c r="T20" s="780"/>
      <c r="U20" s="780"/>
      <c r="V20" s="780"/>
      <c r="W20" s="780"/>
      <c r="X20" s="780"/>
      <c r="Y20" s="780"/>
      <c r="Z20" s="780"/>
      <c r="AA20" s="781">
        <f t="shared" si="5"/>
        <v>0</v>
      </c>
      <c r="AB20" s="782">
        <f t="shared" si="6"/>
        <v>0</v>
      </c>
      <c r="AC20" s="783">
        <f t="shared" si="7"/>
        <v>0</v>
      </c>
      <c r="AD20" s="781">
        <f t="shared" si="8"/>
        <v>0</v>
      </c>
      <c r="AE20" s="782">
        <f t="shared" si="9"/>
        <v>0</v>
      </c>
      <c r="AF20" s="784">
        <f t="shared" si="10"/>
        <v>0</v>
      </c>
      <c r="AG20" s="781">
        <f t="shared" si="11"/>
        <v>0</v>
      </c>
      <c r="AH20" s="782">
        <f t="shared" si="12"/>
        <v>0</v>
      </c>
      <c r="AI20" s="783">
        <f t="shared" si="13"/>
        <v>0</v>
      </c>
      <c r="AJ20" s="781">
        <f t="shared" si="14"/>
        <v>0</v>
      </c>
      <c r="AK20" s="782">
        <f t="shared" si="15"/>
        <v>0</v>
      </c>
      <c r="AL20" s="784">
        <f t="shared" si="16"/>
        <v>0</v>
      </c>
    </row>
    <row r="21" spans="2:38">
      <c r="B21" s="778">
        <v>8</v>
      </c>
      <c r="C21" s="779">
        <v>0</v>
      </c>
      <c r="D21" s="779">
        <f t="shared" si="0"/>
        <v>0</v>
      </c>
      <c r="E21" s="767"/>
      <c r="F21" s="779">
        <f t="shared" si="3"/>
        <v>0</v>
      </c>
      <c r="G21" s="779">
        <f t="shared" si="1"/>
        <v>0</v>
      </c>
      <c r="H21" s="767"/>
      <c r="I21" s="779">
        <f t="shared" si="17"/>
        <v>0</v>
      </c>
      <c r="J21" s="779">
        <f t="shared" si="4"/>
        <v>0</v>
      </c>
      <c r="K21" s="767"/>
      <c r="L21" s="779">
        <f t="shared" si="18"/>
        <v>0</v>
      </c>
      <c r="M21" s="779">
        <f t="shared" si="2"/>
        <v>0</v>
      </c>
      <c r="N21" s="767"/>
      <c r="O21" s="780"/>
      <c r="P21" s="780"/>
      <c r="Q21" s="780"/>
      <c r="R21" s="780"/>
      <c r="S21" s="780"/>
      <c r="T21" s="780"/>
      <c r="U21" s="780"/>
      <c r="V21" s="780"/>
      <c r="W21" s="780"/>
      <c r="X21" s="780"/>
      <c r="Y21" s="780"/>
      <c r="Z21" s="780"/>
      <c r="AA21" s="781">
        <f t="shared" si="5"/>
        <v>0</v>
      </c>
      <c r="AB21" s="782">
        <f t="shared" si="6"/>
        <v>0</v>
      </c>
      <c r="AC21" s="783">
        <f t="shared" si="7"/>
        <v>0</v>
      </c>
      <c r="AD21" s="781">
        <f t="shared" si="8"/>
        <v>0</v>
      </c>
      <c r="AE21" s="782">
        <f t="shared" si="9"/>
        <v>0</v>
      </c>
      <c r="AF21" s="784">
        <f t="shared" si="10"/>
        <v>0</v>
      </c>
      <c r="AG21" s="781">
        <f t="shared" si="11"/>
        <v>0</v>
      </c>
      <c r="AH21" s="782">
        <f t="shared" si="12"/>
        <v>0</v>
      </c>
      <c r="AI21" s="783">
        <f t="shared" si="13"/>
        <v>0</v>
      </c>
      <c r="AJ21" s="781">
        <f t="shared" si="14"/>
        <v>0</v>
      </c>
      <c r="AK21" s="782">
        <f t="shared" si="15"/>
        <v>0</v>
      </c>
      <c r="AL21" s="784">
        <f t="shared" si="16"/>
        <v>0</v>
      </c>
    </row>
    <row r="22" spans="2:38">
      <c r="B22" s="778">
        <v>9</v>
      </c>
      <c r="C22" s="779">
        <v>0</v>
      </c>
      <c r="D22" s="779">
        <f t="shared" si="0"/>
        <v>0</v>
      </c>
      <c r="E22" s="767"/>
      <c r="F22" s="779">
        <f t="shared" si="3"/>
        <v>0</v>
      </c>
      <c r="G22" s="779">
        <f t="shared" si="1"/>
        <v>0</v>
      </c>
      <c r="H22" s="767"/>
      <c r="I22" s="779">
        <f t="shared" si="17"/>
        <v>0</v>
      </c>
      <c r="J22" s="779">
        <f t="shared" si="4"/>
        <v>0</v>
      </c>
      <c r="K22" s="767"/>
      <c r="L22" s="779">
        <f t="shared" si="18"/>
        <v>0</v>
      </c>
      <c r="M22" s="779">
        <f t="shared" si="2"/>
        <v>0</v>
      </c>
      <c r="N22" s="767"/>
      <c r="O22" s="780"/>
      <c r="P22" s="780"/>
      <c r="Q22" s="780"/>
      <c r="R22" s="780"/>
      <c r="S22" s="780"/>
      <c r="T22" s="780"/>
      <c r="U22" s="780"/>
      <c r="V22" s="780"/>
      <c r="W22" s="780"/>
      <c r="X22" s="780"/>
      <c r="Y22" s="780"/>
      <c r="Z22" s="780"/>
      <c r="AA22" s="781">
        <f t="shared" si="5"/>
        <v>0</v>
      </c>
      <c r="AB22" s="782">
        <f t="shared" si="6"/>
        <v>0</v>
      </c>
      <c r="AC22" s="783">
        <f t="shared" si="7"/>
        <v>0</v>
      </c>
      <c r="AD22" s="781">
        <f t="shared" si="8"/>
        <v>0</v>
      </c>
      <c r="AE22" s="782">
        <f t="shared" si="9"/>
        <v>0</v>
      </c>
      <c r="AF22" s="784">
        <f t="shared" si="10"/>
        <v>0</v>
      </c>
      <c r="AG22" s="781">
        <f t="shared" si="11"/>
        <v>0</v>
      </c>
      <c r="AH22" s="782">
        <f t="shared" si="12"/>
        <v>0</v>
      </c>
      <c r="AI22" s="783">
        <f t="shared" si="13"/>
        <v>0</v>
      </c>
      <c r="AJ22" s="781">
        <f t="shared" si="14"/>
        <v>0</v>
      </c>
      <c r="AK22" s="782">
        <f t="shared" si="15"/>
        <v>0</v>
      </c>
      <c r="AL22" s="784">
        <f t="shared" si="16"/>
        <v>0</v>
      </c>
    </row>
    <row r="23" spans="2:38">
      <c r="B23" s="778">
        <v>10</v>
      </c>
      <c r="C23" s="779">
        <v>0</v>
      </c>
      <c r="D23" s="779">
        <f t="shared" si="0"/>
        <v>0</v>
      </c>
      <c r="E23" s="767"/>
      <c r="F23" s="779">
        <f t="shared" si="3"/>
        <v>0</v>
      </c>
      <c r="G23" s="779">
        <f t="shared" si="1"/>
        <v>0</v>
      </c>
      <c r="H23" s="767"/>
      <c r="I23" s="779">
        <f t="shared" si="17"/>
        <v>0</v>
      </c>
      <c r="J23" s="779">
        <f t="shared" si="4"/>
        <v>0</v>
      </c>
      <c r="K23" s="767"/>
      <c r="L23" s="779">
        <f t="shared" si="18"/>
        <v>0</v>
      </c>
      <c r="M23" s="779">
        <f t="shared" si="2"/>
        <v>0</v>
      </c>
      <c r="N23" s="767"/>
      <c r="O23" s="780"/>
      <c r="P23" s="780"/>
      <c r="Q23" s="780"/>
      <c r="R23" s="780"/>
      <c r="S23" s="780"/>
      <c r="T23" s="780"/>
      <c r="U23" s="780"/>
      <c r="V23" s="780"/>
      <c r="W23" s="780"/>
      <c r="X23" s="780"/>
      <c r="Y23" s="780"/>
      <c r="Z23" s="780"/>
      <c r="AA23" s="781">
        <f t="shared" si="5"/>
        <v>0</v>
      </c>
      <c r="AB23" s="782">
        <f t="shared" si="6"/>
        <v>0</v>
      </c>
      <c r="AC23" s="783">
        <f t="shared" si="7"/>
        <v>0</v>
      </c>
      <c r="AD23" s="781">
        <f t="shared" si="8"/>
        <v>0</v>
      </c>
      <c r="AE23" s="782">
        <f t="shared" si="9"/>
        <v>0</v>
      </c>
      <c r="AF23" s="784">
        <f t="shared" si="10"/>
        <v>0</v>
      </c>
      <c r="AG23" s="781">
        <f t="shared" si="11"/>
        <v>0</v>
      </c>
      <c r="AH23" s="782">
        <f t="shared" si="12"/>
        <v>0</v>
      </c>
      <c r="AI23" s="783">
        <f t="shared" si="13"/>
        <v>0</v>
      </c>
      <c r="AJ23" s="781">
        <f t="shared" si="14"/>
        <v>0</v>
      </c>
      <c r="AK23" s="782">
        <f t="shared" si="15"/>
        <v>0</v>
      </c>
      <c r="AL23" s="784">
        <f t="shared" si="16"/>
        <v>0</v>
      </c>
    </row>
    <row r="24" spans="2:38">
      <c r="B24" s="778"/>
      <c r="C24" s="779">
        <v>0</v>
      </c>
      <c r="D24" s="779">
        <f t="shared" si="0"/>
        <v>0</v>
      </c>
      <c r="E24" s="767"/>
      <c r="F24" s="779">
        <f t="shared" si="3"/>
        <v>0</v>
      </c>
      <c r="G24" s="779">
        <f t="shared" si="1"/>
        <v>0</v>
      </c>
      <c r="H24" s="767"/>
      <c r="I24" s="779">
        <f t="shared" si="17"/>
        <v>0</v>
      </c>
      <c r="J24" s="779">
        <f t="shared" si="4"/>
        <v>0</v>
      </c>
      <c r="K24" s="767"/>
      <c r="L24" s="779">
        <f t="shared" si="18"/>
        <v>0</v>
      </c>
      <c r="M24" s="779">
        <f t="shared" si="2"/>
        <v>0</v>
      </c>
      <c r="N24" s="767"/>
      <c r="O24" s="780"/>
      <c r="P24" s="780"/>
      <c r="Q24" s="780"/>
      <c r="R24" s="780"/>
      <c r="S24" s="780"/>
      <c r="T24" s="780"/>
      <c r="U24" s="780"/>
      <c r="V24" s="780"/>
      <c r="W24" s="780"/>
      <c r="X24" s="780"/>
      <c r="Y24" s="780"/>
      <c r="Z24" s="780"/>
      <c r="AA24" s="781">
        <f t="shared" ref="AA24" si="19">E24*O24*12</f>
        <v>0</v>
      </c>
      <c r="AB24" s="782">
        <f t="shared" ref="AB24" si="20">D24*T24</f>
        <v>0</v>
      </c>
      <c r="AC24" s="783">
        <f t="shared" ref="AC24" si="21">(E24-D24)*X24</f>
        <v>0</v>
      </c>
      <c r="AD24" s="781">
        <f t="shared" ref="AD24" si="22">H24*P24*12</f>
        <v>0</v>
      </c>
      <c r="AE24" s="782">
        <f t="shared" ref="AE24" si="23">G24*T24</f>
        <v>0</v>
      </c>
      <c r="AF24" s="784">
        <f t="shared" ref="AF24" si="24">(H24-G24)*X24</f>
        <v>0</v>
      </c>
      <c r="AG24" s="781">
        <f t="shared" ref="AG24" si="25">K24*Q24*12</f>
        <v>0</v>
      </c>
      <c r="AH24" s="782">
        <f t="shared" ref="AH24" si="26">J24*U24</f>
        <v>0</v>
      </c>
      <c r="AI24" s="783">
        <f t="shared" ref="AI24" si="27">(K24-J24)*Y24</f>
        <v>0</v>
      </c>
      <c r="AJ24" s="781">
        <f t="shared" ref="AJ24" si="28">N24*R24*12</f>
        <v>0</v>
      </c>
      <c r="AK24" s="782">
        <f t="shared" ref="AK24" si="29">M24*V24</f>
        <v>0</v>
      </c>
      <c r="AL24" s="784">
        <f t="shared" ref="AL24" si="30">(N24-M24)*Z24</f>
        <v>0</v>
      </c>
    </row>
    <row r="25" spans="2:38">
      <c r="B25" s="778"/>
      <c r="C25" s="779">
        <v>0</v>
      </c>
      <c r="D25" s="779">
        <f t="shared" si="0"/>
        <v>0</v>
      </c>
      <c r="E25" s="767"/>
      <c r="F25" s="779">
        <f t="shared" ref="F25" si="31">+E25</f>
        <v>0</v>
      </c>
      <c r="G25" s="779">
        <f t="shared" ref="G25" si="32">H25-F25</f>
        <v>0</v>
      </c>
      <c r="H25" s="767"/>
      <c r="I25" s="779">
        <f t="shared" si="17"/>
        <v>0</v>
      </c>
      <c r="J25" s="779">
        <f t="shared" ref="J25" si="33">K25-I25</f>
        <v>0</v>
      </c>
      <c r="K25" s="767"/>
      <c r="L25" s="779">
        <f t="shared" si="18"/>
        <v>0</v>
      </c>
      <c r="M25" s="779">
        <f t="shared" ref="M25" si="34">N25-L25</f>
        <v>0</v>
      </c>
      <c r="N25" s="767"/>
      <c r="O25" s="780"/>
      <c r="P25" s="780"/>
      <c r="Q25" s="780"/>
      <c r="R25" s="780"/>
      <c r="S25" s="780"/>
      <c r="T25" s="780"/>
      <c r="U25" s="780"/>
      <c r="V25" s="780"/>
      <c r="W25" s="780"/>
      <c r="X25" s="780"/>
      <c r="Y25" s="780"/>
      <c r="Z25" s="780"/>
      <c r="AA25" s="781">
        <f t="shared" ref="AA25" si="35">E25*O25*12</f>
        <v>0</v>
      </c>
      <c r="AB25" s="782">
        <f t="shared" ref="AB25" si="36">D25*T25</f>
        <v>0</v>
      </c>
      <c r="AC25" s="783">
        <f t="shared" ref="AC25" si="37">(E25-D25)*X25</f>
        <v>0</v>
      </c>
      <c r="AD25" s="781">
        <f t="shared" ref="AD25" si="38">H25*P25*12</f>
        <v>0</v>
      </c>
      <c r="AE25" s="782">
        <f t="shared" ref="AE25" si="39">G25*T25</f>
        <v>0</v>
      </c>
      <c r="AF25" s="784">
        <f t="shared" ref="AF25" si="40">(H25-G25)*X25</f>
        <v>0</v>
      </c>
      <c r="AG25" s="781">
        <f t="shared" ref="AG25" si="41">K25*Q25*12</f>
        <v>0</v>
      </c>
      <c r="AH25" s="782">
        <f t="shared" ref="AH25" si="42">J25*U25</f>
        <v>0</v>
      </c>
      <c r="AI25" s="783">
        <f t="shared" ref="AI25" si="43">(K25-J25)*Y25</f>
        <v>0</v>
      </c>
      <c r="AJ25" s="781">
        <f t="shared" ref="AJ25" si="44">N25*R25*12</f>
        <v>0</v>
      </c>
      <c r="AK25" s="782">
        <f t="shared" ref="AK25" si="45">M25*V25</f>
        <v>0</v>
      </c>
      <c r="AL25" s="784">
        <f t="shared" ref="AL25" si="46">(N25-M25)*Z25</f>
        <v>0</v>
      </c>
    </row>
    <row r="26" spans="2:38">
      <c r="B26" s="778"/>
      <c r="C26" s="779">
        <v>0</v>
      </c>
      <c r="D26" s="779">
        <f t="shared" ref="D26" si="47">E26-C26</f>
        <v>0</v>
      </c>
      <c r="E26" s="767"/>
      <c r="F26" s="779">
        <f t="shared" ref="F26" si="48">+E26</f>
        <v>0</v>
      </c>
      <c r="G26" s="779">
        <f t="shared" ref="G26" si="49">H26-F26</f>
        <v>0</v>
      </c>
      <c r="H26" s="767"/>
      <c r="I26" s="779">
        <f t="shared" si="17"/>
        <v>0</v>
      </c>
      <c r="J26" s="779">
        <f t="shared" ref="J26" si="50">K26-I26</f>
        <v>0</v>
      </c>
      <c r="K26" s="767"/>
      <c r="L26" s="779">
        <f t="shared" si="18"/>
        <v>0</v>
      </c>
      <c r="M26" s="779">
        <f t="shared" ref="M26" si="51">N26-L26</f>
        <v>0</v>
      </c>
      <c r="N26" s="767"/>
      <c r="O26" s="780"/>
      <c r="P26" s="780"/>
      <c r="Q26" s="780"/>
      <c r="R26" s="780"/>
      <c r="S26" s="780"/>
      <c r="T26" s="780"/>
      <c r="U26" s="780"/>
      <c r="V26" s="780"/>
      <c r="W26" s="780"/>
      <c r="X26" s="780"/>
      <c r="Y26" s="780"/>
      <c r="Z26" s="780"/>
      <c r="AA26" s="781">
        <f t="shared" ref="AA26" si="52">E26*O26*12</f>
        <v>0</v>
      </c>
      <c r="AB26" s="782">
        <f t="shared" ref="AB26" si="53">D26*T26</f>
        <v>0</v>
      </c>
      <c r="AC26" s="783">
        <f t="shared" ref="AC26" si="54">(E26-D26)*X26</f>
        <v>0</v>
      </c>
      <c r="AD26" s="781">
        <f t="shared" ref="AD26" si="55">H26*P26*12</f>
        <v>0</v>
      </c>
      <c r="AE26" s="782">
        <f t="shared" ref="AE26" si="56">G26*T26</f>
        <v>0</v>
      </c>
      <c r="AF26" s="784">
        <f t="shared" ref="AF26" si="57">(H26-G26)*X26</f>
        <v>0</v>
      </c>
      <c r="AG26" s="781">
        <f t="shared" ref="AG26" si="58">K26*Q26*12</f>
        <v>0</v>
      </c>
      <c r="AH26" s="782">
        <f t="shared" ref="AH26" si="59">J26*U26</f>
        <v>0</v>
      </c>
      <c r="AI26" s="783">
        <f t="shared" ref="AI26" si="60">(K26-J26)*Y26</f>
        <v>0</v>
      </c>
      <c r="AJ26" s="781">
        <f t="shared" ref="AJ26" si="61">N26*R26*12</f>
        <v>0</v>
      </c>
      <c r="AK26" s="782">
        <f t="shared" ref="AK26" si="62">M26*V26</f>
        <v>0</v>
      </c>
      <c r="AL26" s="784">
        <f t="shared" ref="AL26" si="63">(N26-M26)*Z26</f>
        <v>0</v>
      </c>
    </row>
    <row r="27" spans="2:38" ht="12.75" customHeight="1">
      <c r="B27" s="785"/>
      <c r="C27" s="786"/>
      <c r="D27" s="786"/>
      <c r="E27" s="786"/>
      <c r="F27" s="990" t="s">
        <v>3</v>
      </c>
      <c r="G27" s="990"/>
      <c r="H27" s="990"/>
      <c r="I27" s="990"/>
      <c r="J27" s="990"/>
      <c r="K27" s="991"/>
      <c r="L27" s="787"/>
      <c r="M27" s="787"/>
      <c r="N27" s="787"/>
      <c r="O27" s="787"/>
      <c r="P27" s="1013" t="s">
        <v>887</v>
      </c>
      <c r="Q27" s="1014"/>
      <c r="R27" s="1014"/>
      <c r="S27" s="1014"/>
      <c r="T27" s="1014"/>
      <c r="U27" s="1014"/>
      <c r="V27" s="1014"/>
      <c r="W27" s="1014"/>
      <c r="X27" s="1014"/>
      <c r="Y27" s="1014"/>
      <c r="Z27" s="1015"/>
      <c r="AA27" s="1011" t="s">
        <v>909</v>
      </c>
      <c r="AB27" s="1012"/>
      <c r="AC27" s="1012"/>
      <c r="AD27" s="1012"/>
      <c r="AE27" s="1012"/>
      <c r="AF27" s="1012"/>
      <c r="AG27" s="1012"/>
      <c r="AH27" s="1012"/>
      <c r="AI27" s="1012"/>
      <c r="AJ27" s="1012"/>
      <c r="AK27" s="1012"/>
      <c r="AL27" s="1012"/>
    </row>
    <row r="28" spans="2:38" ht="15.75" thickBot="1">
      <c r="B28" s="788"/>
      <c r="C28" s="789">
        <f t="shared" ref="C28:N28" si="64">SUM(C11:C26)</f>
        <v>0</v>
      </c>
      <c r="D28" s="790">
        <f t="shared" si="64"/>
        <v>0</v>
      </c>
      <c r="E28" s="790">
        <f t="shared" si="64"/>
        <v>0</v>
      </c>
      <c r="F28" s="789">
        <f t="shared" si="64"/>
        <v>0</v>
      </c>
      <c r="G28" s="790">
        <f t="shared" si="64"/>
        <v>0</v>
      </c>
      <c r="H28" s="790">
        <f t="shared" si="64"/>
        <v>0</v>
      </c>
      <c r="I28" s="790">
        <f t="shared" si="64"/>
        <v>0</v>
      </c>
      <c r="J28" s="790">
        <f t="shared" si="64"/>
        <v>0</v>
      </c>
      <c r="K28" s="790">
        <f t="shared" si="64"/>
        <v>0</v>
      </c>
      <c r="L28" s="790">
        <f t="shared" si="64"/>
        <v>0</v>
      </c>
      <c r="M28" s="790">
        <f t="shared" si="64"/>
        <v>0</v>
      </c>
      <c r="N28" s="790">
        <f t="shared" si="64"/>
        <v>0</v>
      </c>
      <c r="O28" s="790"/>
      <c r="P28" s="791" t="e">
        <f>AVERAGE(P11:P26)</f>
        <v>#DIV/0!</v>
      </c>
      <c r="Q28" s="792" t="e">
        <f>AVERAGE(Q11:Q26)</f>
        <v>#DIV/0!</v>
      </c>
      <c r="R28" s="792" t="e">
        <f>AVERAGE(R11:R26)</f>
        <v>#DIV/0!</v>
      </c>
      <c r="S28" s="792"/>
      <c r="T28" s="792" t="e">
        <f>AVERAGE(T11:T26)</f>
        <v>#DIV/0!</v>
      </c>
      <c r="U28" s="792"/>
      <c r="V28" s="792" t="e">
        <f>AVERAGE(V11:V26)</f>
        <v>#DIV/0!</v>
      </c>
      <c r="W28" s="792"/>
      <c r="X28" s="792" t="e">
        <f>AVERAGE(X11:X26)</f>
        <v>#DIV/0!</v>
      </c>
      <c r="Y28" s="793"/>
      <c r="Z28" s="793" t="e">
        <f>AVERAGE(Z11:Z26)</f>
        <v>#DIV/0!</v>
      </c>
      <c r="AA28" s="794">
        <f t="shared" ref="AA28:AL28" si="65">SUM(AA11:AA26)</f>
        <v>0</v>
      </c>
      <c r="AB28" s="795">
        <f t="shared" si="65"/>
        <v>0</v>
      </c>
      <c r="AC28" s="796">
        <f t="shared" si="65"/>
        <v>0</v>
      </c>
      <c r="AD28" s="794">
        <f t="shared" si="65"/>
        <v>0</v>
      </c>
      <c r="AE28" s="795">
        <f t="shared" si="65"/>
        <v>0</v>
      </c>
      <c r="AF28" s="796">
        <f t="shared" si="65"/>
        <v>0</v>
      </c>
      <c r="AG28" s="797">
        <f t="shared" si="65"/>
        <v>0</v>
      </c>
      <c r="AH28" s="797">
        <f t="shared" si="65"/>
        <v>0</v>
      </c>
      <c r="AI28" s="797">
        <f t="shared" si="65"/>
        <v>0</v>
      </c>
      <c r="AJ28" s="796">
        <f t="shared" si="65"/>
        <v>0</v>
      </c>
      <c r="AK28" s="796">
        <f t="shared" si="65"/>
        <v>0</v>
      </c>
      <c r="AL28" s="796">
        <f t="shared" si="65"/>
        <v>0</v>
      </c>
    </row>
    <row r="29" spans="2:38" ht="15" customHeight="1">
      <c r="G29" s="798"/>
      <c r="AB29" s="799">
        <f>AA28+AB28+AC28</f>
        <v>0</v>
      </c>
      <c r="AE29" s="799">
        <f>AD28+AE28+AF28</f>
        <v>0</v>
      </c>
      <c r="AH29" s="799">
        <f>AG28+AH28+AI28</f>
        <v>0</v>
      </c>
      <c r="AK29" s="799">
        <f>AJ28+AK28+AL28</f>
        <v>0</v>
      </c>
    </row>
    <row r="30" spans="2:38" ht="15" hidden="1" customHeight="1" thickBot="1">
      <c r="B30" s="770" t="s">
        <v>1174</v>
      </c>
      <c r="C30" s="770"/>
      <c r="D30" s="770"/>
    </row>
    <row r="31" spans="2:38" ht="15" hidden="1" customHeight="1">
      <c r="B31" s="771" t="s">
        <v>761</v>
      </c>
      <c r="C31" s="987" t="s">
        <v>66</v>
      </c>
      <c r="D31" s="988"/>
      <c r="E31" s="989"/>
      <c r="F31" s="987" t="s">
        <v>65</v>
      </c>
      <c r="G31" s="988"/>
      <c r="H31" s="989"/>
      <c r="I31" s="987" t="s">
        <v>64</v>
      </c>
      <c r="J31" s="988"/>
      <c r="K31" s="989"/>
      <c r="L31" s="987" t="s">
        <v>63</v>
      </c>
      <c r="M31" s="988"/>
      <c r="N31" s="989"/>
      <c r="O31" s="1007" t="s">
        <v>763</v>
      </c>
      <c r="P31" s="1008"/>
      <c r="Q31" s="1008"/>
      <c r="R31" s="1009"/>
      <c r="S31" s="1007" t="s">
        <v>910</v>
      </c>
      <c r="T31" s="1008"/>
      <c r="U31" s="1008"/>
      <c r="V31" s="1009"/>
      <c r="W31" s="1007" t="s">
        <v>765</v>
      </c>
      <c r="X31" s="1008"/>
      <c r="Y31" s="1008"/>
      <c r="Z31" s="1010"/>
      <c r="AA31" s="772" t="s">
        <v>1084</v>
      </c>
      <c r="AB31" s="773" t="s">
        <v>764</v>
      </c>
      <c r="AC31" s="774" t="s">
        <v>908</v>
      </c>
      <c r="AD31" s="772" t="s">
        <v>1084</v>
      </c>
      <c r="AE31" s="773" t="s">
        <v>764</v>
      </c>
      <c r="AF31" s="774" t="s">
        <v>908</v>
      </c>
      <c r="AG31" s="772" t="s">
        <v>1084</v>
      </c>
      <c r="AH31" s="773" t="s">
        <v>764</v>
      </c>
      <c r="AI31" s="774" t="s">
        <v>908</v>
      </c>
      <c r="AJ31" s="772" t="s">
        <v>1084</v>
      </c>
      <c r="AK31" s="773" t="s">
        <v>764</v>
      </c>
      <c r="AL31" s="774" t="s">
        <v>908</v>
      </c>
    </row>
    <row r="32" spans="2:38" ht="15" hidden="1" customHeight="1">
      <c r="B32" s="776" t="s">
        <v>157</v>
      </c>
      <c r="C32" s="766" t="s">
        <v>156</v>
      </c>
      <c r="D32" s="766" t="s">
        <v>762</v>
      </c>
      <c r="E32" s="766" t="s">
        <v>3</v>
      </c>
      <c r="F32" s="766" t="s">
        <v>156</v>
      </c>
      <c r="G32" s="766" t="s">
        <v>762</v>
      </c>
      <c r="H32" s="766" t="s">
        <v>3</v>
      </c>
      <c r="I32" s="766" t="s">
        <v>156</v>
      </c>
      <c r="J32" s="766" t="s">
        <v>762</v>
      </c>
      <c r="K32" s="766" t="s">
        <v>3</v>
      </c>
      <c r="L32" s="766" t="s">
        <v>156</v>
      </c>
      <c r="M32" s="766" t="s">
        <v>762</v>
      </c>
      <c r="N32" s="766" t="s">
        <v>3</v>
      </c>
      <c r="O32" s="766" t="s">
        <v>66</v>
      </c>
      <c r="P32" s="777" t="s">
        <v>65</v>
      </c>
      <c r="Q32" s="777" t="s">
        <v>64</v>
      </c>
      <c r="R32" s="777" t="s">
        <v>63</v>
      </c>
      <c r="S32" s="766" t="s">
        <v>66</v>
      </c>
      <c r="T32" s="777" t="s">
        <v>65</v>
      </c>
      <c r="U32" s="777" t="s">
        <v>64</v>
      </c>
      <c r="V32" s="777" t="s">
        <v>63</v>
      </c>
      <c r="W32" s="766" t="s">
        <v>66</v>
      </c>
      <c r="X32" s="777" t="s">
        <v>65</v>
      </c>
      <c r="Y32" s="777" t="s">
        <v>64</v>
      </c>
      <c r="Z32" s="777" t="s">
        <v>63</v>
      </c>
      <c r="AA32" s="1004" t="s">
        <v>66</v>
      </c>
      <c r="AB32" s="1005"/>
      <c r="AC32" s="1006"/>
      <c r="AD32" s="1004" t="s">
        <v>65</v>
      </c>
      <c r="AE32" s="1005"/>
      <c r="AF32" s="1006"/>
      <c r="AG32" s="1004" t="s">
        <v>64</v>
      </c>
      <c r="AH32" s="1005"/>
      <c r="AI32" s="1006"/>
      <c r="AJ32" s="1004" t="s">
        <v>63</v>
      </c>
      <c r="AK32" s="1005"/>
      <c r="AL32" s="1006"/>
    </row>
    <row r="33" spans="2:38" ht="15" hidden="1" customHeight="1">
      <c r="B33" s="778" t="s">
        <v>1153</v>
      </c>
      <c r="C33" s="779">
        <v>0</v>
      </c>
      <c r="D33" s="800">
        <f t="shared" ref="D33:D42" si="66">E33-C33</f>
        <v>0</v>
      </c>
      <c r="E33" s="801"/>
      <c r="F33" s="800">
        <v>0</v>
      </c>
      <c r="G33" s="800">
        <f t="shared" ref="G33:G41" si="67">H33-F33</f>
        <v>0</v>
      </c>
      <c r="H33" s="767"/>
      <c r="I33" s="779">
        <v>0</v>
      </c>
      <c r="J33" s="779">
        <f t="shared" ref="J33:J42" si="68">K33-I33</f>
        <v>0</v>
      </c>
      <c r="K33" s="767"/>
      <c r="L33" s="779">
        <v>0</v>
      </c>
      <c r="M33" s="779">
        <f t="shared" ref="M33:M42" si="69">N33-L33</f>
        <v>0</v>
      </c>
      <c r="N33" s="767"/>
      <c r="O33" s="767"/>
      <c r="P33" s="780"/>
      <c r="Q33" s="780"/>
      <c r="R33" s="780"/>
      <c r="S33" s="780"/>
      <c r="T33" s="802"/>
      <c r="U33" s="802"/>
      <c r="V33" s="802"/>
      <c r="W33" s="802"/>
      <c r="X33" s="802"/>
      <c r="Y33" s="802"/>
      <c r="Z33" s="802"/>
      <c r="AA33" s="781">
        <f>E33*O33*12</f>
        <v>0</v>
      </c>
      <c r="AB33" s="782">
        <f>D33*T33</f>
        <v>0</v>
      </c>
      <c r="AC33" s="783">
        <f>(E33-D33)*X33</f>
        <v>0</v>
      </c>
      <c r="AD33" s="781">
        <f>H33*P33*12</f>
        <v>0</v>
      </c>
      <c r="AE33" s="782">
        <f>G33*T33</f>
        <v>0</v>
      </c>
      <c r="AF33" s="784">
        <f>(H33-G33)*X33</f>
        <v>0</v>
      </c>
      <c r="AG33" s="781">
        <f>K33*Q33*12</f>
        <v>0</v>
      </c>
      <c r="AH33" s="782">
        <f>J33*U33</f>
        <v>0</v>
      </c>
      <c r="AI33" s="783">
        <f>(K33-J33)*Y33</f>
        <v>0</v>
      </c>
      <c r="AJ33" s="781">
        <f>N33*R33*12</f>
        <v>0</v>
      </c>
      <c r="AK33" s="782">
        <f>M33*V33</f>
        <v>0</v>
      </c>
      <c r="AL33" s="784">
        <f>(N33-M33)*Z33</f>
        <v>0</v>
      </c>
    </row>
    <row r="34" spans="2:38" ht="15" hidden="1" customHeight="1">
      <c r="B34" s="778" t="s">
        <v>1154</v>
      </c>
      <c r="C34" s="779">
        <v>0</v>
      </c>
      <c r="D34" s="800">
        <f t="shared" si="66"/>
        <v>0</v>
      </c>
      <c r="E34" s="801"/>
      <c r="F34" s="800">
        <f>E33</f>
        <v>0</v>
      </c>
      <c r="G34" s="800">
        <f t="shared" si="67"/>
        <v>0</v>
      </c>
      <c r="H34" s="767"/>
      <c r="I34" s="779">
        <f>H33</f>
        <v>0</v>
      </c>
      <c r="J34" s="779">
        <f t="shared" si="68"/>
        <v>0</v>
      </c>
      <c r="K34" s="767"/>
      <c r="L34" s="779">
        <f>K33</f>
        <v>0</v>
      </c>
      <c r="M34" s="779">
        <f t="shared" si="69"/>
        <v>0</v>
      </c>
      <c r="N34" s="767"/>
      <c r="O34" s="767"/>
      <c r="P34" s="780"/>
      <c r="Q34" s="780"/>
      <c r="R34" s="780"/>
      <c r="S34" s="780"/>
      <c r="T34" s="802"/>
      <c r="U34" s="802"/>
      <c r="V34" s="802"/>
      <c r="W34" s="802"/>
      <c r="X34" s="802"/>
      <c r="Y34" s="802"/>
      <c r="Z34" s="802"/>
      <c r="AA34" s="781">
        <f t="shared" ref="AA34:AA42" si="70">E34*O34*12</f>
        <v>0</v>
      </c>
      <c r="AB34" s="782">
        <f t="shared" ref="AB34:AB42" si="71">D34*T34</f>
        <v>0</v>
      </c>
      <c r="AC34" s="783">
        <f t="shared" ref="AC34:AC42" si="72">(E34-D34)*X34</f>
        <v>0</v>
      </c>
      <c r="AD34" s="781">
        <f t="shared" ref="AD34:AD42" si="73">H34*P34*12</f>
        <v>0</v>
      </c>
      <c r="AE34" s="782">
        <f t="shared" ref="AE34:AE42" si="74">G34*T34</f>
        <v>0</v>
      </c>
      <c r="AF34" s="784">
        <f t="shared" ref="AF34:AF42" si="75">(H34-G34)*X34</f>
        <v>0</v>
      </c>
      <c r="AG34" s="781">
        <f t="shared" ref="AG34:AG42" si="76">K34*Q34*12</f>
        <v>0</v>
      </c>
      <c r="AH34" s="782">
        <f t="shared" ref="AH34:AH42" si="77">J34*U34</f>
        <v>0</v>
      </c>
      <c r="AI34" s="783">
        <f t="shared" ref="AI34:AI42" si="78">(K34-J34)*Y34</f>
        <v>0</v>
      </c>
      <c r="AJ34" s="781">
        <f t="shared" ref="AJ34:AJ42" si="79">N34*R34*12</f>
        <v>0</v>
      </c>
      <c r="AK34" s="782">
        <f t="shared" ref="AK34:AK42" si="80">M34*V34</f>
        <v>0</v>
      </c>
      <c r="AL34" s="784">
        <f t="shared" ref="AL34:AL42" si="81">(N34-M34)*Z34</f>
        <v>0</v>
      </c>
    </row>
    <row r="35" spans="2:38" ht="15" hidden="1" customHeight="1">
      <c r="B35" s="778">
        <v>1</v>
      </c>
      <c r="C35" s="779">
        <v>0</v>
      </c>
      <c r="D35" s="800">
        <f t="shared" si="66"/>
        <v>0</v>
      </c>
      <c r="E35" s="801"/>
      <c r="F35" s="800">
        <f t="shared" ref="F35:F42" si="82">E34</f>
        <v>0</v>
      </c>
      <c r="G35" s="800">
        <f t="shared" si="67"/>
        <v>0</v>
      </c>
      <c r="H35" s="767"/>
      <c r="I35" s="779">
        <f t="shared" ref="I35:I42" si="83">H34</f>
        <v>0</v>
      </c>
      <c r="J35" s="779">
        <f t="shared" ref="J35" si="84">K35-I35</f>
        <v>0</v>
      </c>
      <c r="K35" s="767"/>
      <c r="L35" s="779">
        <f>K34</f>
        <v>0</v>
      </c>
      <c r="M35" s="779">
        <f t="shared" ref="M35" si="85">N35-L35</f>
        <v>0</v>
      </c>
      <c r="N35" s="767"/>
      <c r="O35" s="767"/>
      <c r="P35" s="780"/>
      <c r="Q35" s="780"/>
      <c r="R35" s="780"/>
      <c r="S35" s="780"/>
      <c r="T35" s="802"/>
      <c r="U35" s="802"/>
      <c r="V35" s="802"/>
      <c r="W35" s="802"/>
      <c r="X35" s="802"/>
      <c r="Y35" s="802"/>
      <c r="Z35" s="802"/>
      <c r="AA35" s="781">
        <f t="shared" si="70"/>
        <v>0</v>
      </c>
      <c r="AB35" s="782">
        <f t="shared" si="71"/>
        <v>0</v>
      </c>
      <c r="AC35" s="783">
        <f t="shared" si="72"/>
        <v>0</v>
      </c>
      <c r="AD35" s="781">
        <f t="shared" si="73"/>
        <v>0</v>
      </c>
      <c r="AE35" s="782">
        <f t="shared" si="74"/>
        <v>0</v>
      </c>
      <c r="AF35" s="784">
        <f t="shared" si="75"/>
        <v>0</v>
      </c>
      <c r="AG35" s="781">
        <f t="shared" si="76"/>
        <v>0</v>
      </c>
      <c r="AH35" s="782">
        <f t="shared" si="77"/>
        <v>0</v>
      </c>
      <c r="AI35" s="783">
        <f t="shared" si="78"/>
        <v>0</v>
      </c>
      <c r="AJ35" s="781">
        <f t="shared" si="79"/>
        <v>0</v>
      </c>
      <c r="AK35" s="782">
        <f t="shared" si="80"/>
        <v>0</v>
      </c>
      <c r="AL35" s="784">
        <f t="shared" si="81"/>
        <v>0</v>
      </c>
    </row>
    <row r="36" spans="2:38" ht="15" hidden="1" customHeight="1">
      <c r="B36" s="778">
        <v>2</v>
      </c>
      <c r="C36" s="779">
        <v>0</v>
      </c>
      <c r="D36" s="800">
        <f t="shared" si="66"/>
        <v>0</v>
      </c>
      <c r="E36" s="801"/>
      <c r="F36" s="800">
        <f t="shared" si="82"/>
        <v>0</v>
      </c>
      <c r="G36" s="800">
        <f t="shared" si="67"/>
        <v>0</v>
      </c>
      <c r="H36" s="767"/>
      <c r="I36" s="779">
        <f t="shared" si="83"/>
        <v>0</v>
      </c>
      <c r="J36" s="779">
        <f t="shared" si="68"/>
        <v>0</v>
      </c>
      <c r="K36" s="767"/>
      <c r="L36" s="779">
        <f>K35</f>
        <v>0</v>
      </c>
      <c r="M36" s="779">
        <f t="shared" si="69"/>
        <v>0</v>
      </c>
      <c r="N36" s="767"/>
      <c r="O36" s="767"/>
      <c r="P36" s="780"/>
      <c r="Q36" s="780"/>
      <c r="R36" s="780"/>
      <c r="S36" s="780"/>
      <c r="T36" s="802"/>
      <c r="U36" s="802"/>
      <c r="V36" s="802"/>
      <c r="W36" s="802"/>
      <c r="X36" s="802"/>
      <c r="Y36" s="802"/>
      <c r="Z36" s="802"/>
      <c r="AA36" s="781">
        <f t="shared" si="70"/>
        <v>0</v>
      </c>
      <c r="AB36" s="782">
        <f t="shared" si="71"/>
        <v>0</v>
      </c>
      <c r="AC36" s="783">
        <f t="shared" si="72"/>
        <v>0</v>
      </c>
      <c r="AD36" s="781">
        <f t="shared" si="73"/>
        <v>0</v>
      </c>
      <c r="AE36" s="782">
        <f t="shared" si="74"/>
        <v>0</v>
      </c>
      <c r="AF36" s="784">
        <f t="shared" si="75"/>
        <v>0</v>
      </c>
      <c r="AG36" s="781">
        <f t="shared" si="76"/>
        <v>0</v>
      </c>
      <c r="AH36" s="782">
        <f t="shared" si="77"/>
        <v>0</v>
      </c>
      <c r="AI36" s="783">
        <f t="shared" si="78"/>
        <v>0</v>
      </c>
      <c r="AJ36" s="781">
        <f t="shared" si="79"/>
        <v>0</v>
      </c>
      <c r="AK36" s="782">
        <f t="shared" si="80"/>
        <v>0</v>
      </c>
      <c r="AL36" s="784">
        <f t="shared" si="81"/>
        <v>0</v>
      </c>
    </row>
    <row r="37" spans="2:38" ht="15" hidden="1" customHeight="1">
      <c r="B37" s="778">
        <v>3</v>
      </c>
      <c r="C37" s="779">
        <v>0</v>
      </c>
      <c r="D37" s="800">
        <f t="shared" si="66"/>
        <v>0</v>
      </c>
      <c r="E37" s="801"/>
      <c r="F37" s="800">
        <f t="shared" si="82"/>
        <v>0</v>
      </c>
      <c r="G37" s="800">
        <f t="shared" si="67"/>
        <v>0</v>
      </c>
      <c r="H37" s="767"/>
      <c r="I37" s="779">
        <f t="shared" si="83"/>
        <v>0</v>
      </c>
      <c r="J37" s="779">
        <f t="shared" si="68"/>
        <v>0</v>
      </c>
      <c r="K37" s="767"/>
      <c r="L37" s="779">
        <f t="shared" ref="L37:L42" si="86">K36</f>
        <v>0</v>
      </c>
      <c r="M37" s="779">
        <f t="shared" si="69"/>
        <v>0</v>
      </c>
      <c r="N37" s="767"/>
      <c r="O37" s="767"/>
      <c r="P37" s="780"/>
      <c r="Q37" s="780"/>
      <c r="R37" s="780"/>
      <c r="S37" s="780"/>
      <c r="T37" s="802"/>
      <c r="U37" s="802"/>
      <c r="V37" s="802"/>
      <c r="W37" s="802"/>
      <c r="X37" s="802"/>
      <c r="Y37" s="802"/>
      <c r="Z37" s="802"/>
      <c r="AA37" s="781">
        <f t="shared" si="70"/>
        <v>0</v>
      </c>
      <c r="AB37" s="782">
        <f t="shared" si="71"/>
        <v>0</v>
      </c>
      <c r="AC37" s="783">
        <f t="shared" si="72"/>
        <v>0</v>
      </c>
      <c r="AD37" s="781">
        <f t="shared" si="73"/>
        <v>0</v>
      </c>
      <c r="AE37" s="782">
        <f t="shared" si="74"/>
        <v>0</v>
      </c>
      <c r="AF37" s="784">
        <f t="shared" si="75"/>
        <v>0</v>
      </c>
      <c r="AG37" s="781">
        <f t="shared" si="76"/>
        <v>0</v>
      </c>
      <c r="AH37" s="782">
        <f t="shared" si="77"/>
        <v>0</v>
      </c>
      <c r="AI37" s="783">
        <f t="shared" si="78"/>
        <v>0</v>
      </c>
      <c r="AJ37" s="781">
        <f t="shared" si="79"/>
        <v>0</v>
      </c>
      <c r="AK37" s="782">
        <f t="shared" si="80"/>
        <v>0</v>
      </c>
      <c r="AL37" s="784">
        <f t="shared" si="81"/>
        <v>0</v>
      </c>
    </row>
    <row r="38" spans="2:38" ht="15" hidden="1" customHeight="1">
      <c r="B38" s="778">
        <v>4</v>
      </c>
      <c r="C38" s="779">
        <v>0</v>
      </c>
      <c r="D38" s="800">
        <f t="shared" si="66"/>
        <v>0</v>
      </c>
      <c r="E38" s="801"/>
      <c r="F38" s="800">
        <f t="shared" si="82"/>
        <v>0</v>
      </c>
      <c r="G38" s="800">
        <f t="shared" si="67"/>
        <v>0</v>
      </c>
      <c r="H38" s="767"/>
      <c r="I38" s="779">
        <f t="shared" si="83"/>
        <v>0</v>
      </c>
      <c r="J38" s="779">
        <f t="shared" si="68"/>
        <v>0</v>
      </c>
      <c r="K38" s="767"/>
      <c r="L38" s="779">
        <f t="shared" si="86"/>
        <v>0</v>
      </c>
      <c r="M38" s="779">
        <f t="shared" si="69"/>
        <v>0</v>
      </c>
      <c r="N38" s="767"/>
      <c r="O38" s="767"/>
      <c r="P38" s="780"/>
      <c r="Q38" s="780"/>
      <c r="R38" s="780"/>
      <c r="S38" s="780"/>
      <c r="T38" s="802"/>
      <c r="U38" s="802"/>
      <c r="V38" s="802"/>
      <c r="W38" s="802"/>
      <c r="X38" s="802"/>
      <c r="Y38" s="802"/>
      <c r="Z38" s="802"/>
      <c r="AA38" s="781">
        <f t="shared" si="70"/>
        <v>0</v>
      </c>
      <c r="AB38" s="782">
        <f t="shared" si="71"/>
        <v>0</v>
      </c>
      <c r="AC38" s="783">
        <f t="shared" si="72"/>
        <v>0</v>
      </c>
      <c r="AD38" s="781">
        <f t="shared" si="73"/>
        <v>0</v>
      </c>
      <c r="AE38" s="782">
        <f t="shared" si="74"/>
        <v>0</v>
      </c>
      <c r="AF38" s="784">
        <f t="shared" si="75"/>
        <v>0</v>
      </c>
      <c r="AG38" s="781">
        <f t="shared" si="76"/>
        <v>0</v>
      </c>
      <c r="AH38" s="782">
        <f t="shared" si="77"/>
        <v>0</v>
      </c>
      <c r="AI38" s="783">
        <f t="shared" si="78"/>
        <v>0</v>
      </c>
      <c r="AJ38" s="781">
        <f t="shared" si="79"/>
        <v>0</v>
      </c>
      <c r="AK38" s="782">
        <f t="shared" si="80"/>
        <v>0</v>
      </c>
      <c r="AL38" s="784">
        <f t="shared" si="81"/>
        <v>0</v>
      </c>
    </row>
    <row r="39" spans="2:38" ht="15" hidden="1" customHeight="1">
      <c r="B39" s="778">
        <v>5</v>
      </c>
      <c r="C39" s="779">
        <v>0</v>
      </c>
      <c r="D39" s="800">
        <f t="shared" si="66"/>
        <v>0</v>
      </c>
      <c r="E39" s="801"/>
      <c r="F39" s="800">
        <f t="shared" si="82"/>
        <v>0</v>
      </c>
      <c r="G39" s="800">
        <f t="shared" si="67"/>
        <v>0</v>
      </c>
      <c r="H39" s="767"/>
      <c r="I39" s="779">
        <f t="shared" si="83"/>
        <v>0</v>
      </c>
      <c r="J39" s="779">
        <f t="shared" si="68"/>
        <v>0</v>
      </c>
      <c r="K39" s="767"/>
      <c r="L39" s="779">
        <f t="shared" si="86"/>
        <v>0</v>
      </c>
      <c r="M39" s="779">
        <f t="shared" si="69"/>
        <v>0</v>
      </c>
      <c r="N39" s="767"/>
      <c r="O39" s="767"/>
      <c r="P39" s="780"/>
      <c r="Q39" s="780"/>
      <c r="R39" s="780"/>
      <c r="S39" s="780"/>
      <c r="T39" s="802"/>
      <c r="U39" s="802"/>
      <c r="V39" s="802"/>
      <c r="W39" s="802"/>
      <c r="X39" s="802"/>
      <c r="Y39" s="802"/>
      <c r="Z39" s="802"/>
      <c r="AA39" s="781">
        <f t="shared" si="70"/>
        <v>0</v>
      </c>
      <c r="AB39" s="782">
        <f t="shared" si="71"/>
        <v>0</v>
      </c>
      <c r="AC39" s="783">
        <f t="shared" si="72"/>
        <v>0</v>
      </c>
      <c r="AD39" s="781">
        <f t="shared" si="73"/>
        <v>0</v>
      </c>
      <c r="AE39" s="782">
        <f t="shared" si="74"/>
        <v>0</v>
      </c>
      <c r="AF39" s="784">
        <f t="shared" si="75"/>
        <v>0</v>
      </c>
      <c r="AG39" s="781">
        <f t="shared" si="76"/>
        <v>0</v>
      </c>
      <c r="AH39" s="782">
        <f t="shared" si="77"/>
        <v>0</v>
      </c>
      <c r="AI39" s="783">
        <f t="shared" si="78"/>
        <v>0</v>
      </c>
      <c r="AJ39" s="781">
        <f t="shared" si="79"/>
        <v>0</v>
      </c>
      <c r="AK39" s="782">
        <f t="shared" si="80"/>
        <v>0</v>
      </c>
      <c r="AL39" s="784">
        <f t="shared" si="81"/>
        <v>0</v>
      </c>
    </row>
    <row r="40" spans="2:38" ht="15" hidden="1" customHeight="1">
      <c r="B40" s="778">
        <v>6</v>
      </c>
      <c r="C40" s="779">
        <v>0</v>
      </c>
      <c r="D40" s="800">
        <f t="shared" si="66"/>
        <v>0</v>
      </c>
      <c r="E40" s="801"/>
      <c r="F40" s="800">
        <f t="shared" si="82"/>
        <v>0</v>
      </c>
      <c r="G40" s="800">
        <f t="shared" si="67"/>
        <v>0</v>
      </c>
      <c r="H40" s="767"/>
      <c r="I40" s="779">
        <f t="shared" si="83"/>
        <v>0</v>
      </c>
      <c r="J40" s="779">
        <f t="shared" si="68"/>
        <v>0</v>
      </c>
      <c r="K40" s="767"/>
      <c r="L40" s="779">
        <f t="shared" si="86"/>
        <v>0</v>
      </c>
      <c r="M40" s="779">
        <f t="shared" si="69"/>
        <v>0</v>
      </c>
      <c r="N40" s="767"/>
      <c r="O40" s="767"/>
      <c r="P40" s="780"/>
      <c r="Q40" s="780"/>
      <c r="R40" s="780"/>
      <c r="S40" s="780"/>
      <c r="T40" s="802"/>
      <c r="U40" s="802"/>
      <c r="V40" s="802"/>
      <c r="W40" s="802"/>
      <c r="X40" s="802"/>
      <c r="Y40" s="802"/>
      <c r="Z40" s="802"/>
      <c r="AA40" s="781">
        <f t="shared" si="70"/>
        <v>0</v>
      </c>
      <c r="AB40" s="782">
        <f t="shared" si="71"/>
        <v>0</v>
      </c>
      <c r="AC40" s="783">
        <f t="shared" si="72"/>
        <v>0</v>
      </c>
      <c r="AD40" s="781">
        <f t="shared" si="73"/>
        <v>0</v>
      </c>
      <c r="AE40" s="782">
        <f t="shared" si="74"/>
        <v>0</v>
      </c>
      <c r="AF40" s="784">
        <f t="shared" si="75"/>
        <v>0</v>
      </c>
      <c r="AG40" s="781">
        <f t="shared" si="76"/>
        <v>0</v>
      </c>
      <c r="AH40" s="782">
        <f t="shared" si="77"/>
        <v>0</v>
      </c>
      <c r="AI40" s="783">
        <f t="shared" si="78"/>
        <v>0</v>
      </c>
      <c r="AJ40" s="781">
        <f t="shared" si="79"/>
        <v>0</v>
      </c>
      <c r="AK40" s="782">
        <f t="shared" si="80"/>
        <v>0</v>
      </c>
      <c r="AL40" s="784">
        <f t="shared" si="81"/>
        <v>0</v>
      </c>
    </row>
    <row r="41" spans="2:38" ht="15" hidden="1" customHeight="1">
      <c r="B41" s="778">
        <v>7</v>
      </c>
      <c r="C41" s="779">
        <v>0</v>
      </c>
      <c r="D41" s="800">
        <f t="shared" si="66"/>
        <v>0</v>
      </c>
      <c r="E41" s="801"/>
      <c r="F41" s="800">
        <f t="shared" si="82"/>
        <v>0</v>
      </c>
      <c r="G41" s="800">
        <f t="shared" si="67"/>
        <v>0</v>
      </c>
      <c r="H41" s="767"/>
      <c r="I41" s="779">
        <f t="shared" si="83"/>
        <v>0</v>
      </c>
      <c r="J41" s="779">
        <f t="shared" si="68"/>
        <v>0</v>
      </c>
      <c r="K41" s="767"/>
      <c r="L41" s="779">
        <f t="shared" si="86"/>
        <v>0</v>
      </c>
      <c r="M41" s="779">
        <f t="shared" si="69"/>
        <v>0</v>
      </c>
      <c r="N41" s="767"/>
      <c r="O41" s="767"/>
      <c r="P41" s="780"/>
      <c r="Q41" s="780"/>
      <c r="R41" s="780"/>
      <c r="S41" s="780"/>
      <c r="T41" s="802"/>
      <c r="U41" s="802"/>
      <c r="V41" s="802"/>
      <c r="W41" s="802"/>
      <c r="X41" s="802"/>
      <c r="Y41" s="802"/>
      <c r="Z41" s="802"/>
      <c r="AA41" s="781">
        <f t="shared" si="70"/>
        <v>0</v>
      </c>
      <c r="AB41" s="782">
        <f t="shared" si="71"/>
        <v>0</v>
      </c>
      <c r="AC41" s="783">
        <f t="shared" si="72"/>
        <v>0</v>
      </c>
      <c r="AD41" s="781">
        <f t="shared" si="73"/>
        <v>0</v>
      </c>
      <c r="AE41" s="782">
        <f t="shared" si="74"/>
        <v>0</v>
      </c>
      <c r="AF41" s="784">
        <f t="shared" si="75"/>
        <v>0</v>
      </c>
      <c r="AG41" s="781">
        <f t="shared" si="76"/>
        <v>0</v>
      </c>
      <c r="AH41" s="782">
        <f t="shared" si="77"/>
        <v>0</v>
      </c>
      <c r="AI41" s="783">
        <f t="shared" si="78"/>
        <v>0</v>
      </c>
      <c r="AJ41" s="781">
        <f t="shared" si="79"/>
        <v>0</v>
      </c>
      <c r="AK41" s="782">
        <f t="shared" si="80"/>
        <v>0</v>
      </c>
      <c r="AL41" s="784">
        <f t="shared" si="81"/>
        <v>0</v>
      </c>
    </row>
    <row r="42" spans="2:38" ht="15" hidden="1" customHeight="1">
      <c r="B42" s="778">
        <v>8</v>
      </c>
      <c r="C42" s="779">
        <v>0</v>
      </c>
      <c r="D42" s="800">
        <f t="shared" si="66"/>
        <v>0</v>
      </c>
      <c r="E42" s="801"/>
      <c r="F42" s="800">
        <f t="shared" si="82"/>
        <v>0</v>
      </c>
      <c r="G42" s="800">
        <f t="shared" ref="G42" si="87">H42-F42</f>
        <v>0</v>
      </c>
      <c r="H42" s="767"/>
      <c r="I42" s="779">
        <f t="shared" si="83"/>
        <v>0</v>
      </c>
      <c r="J42" s="779">
        <f t="shared" si="68"/>
        <v>0</v>
      </c>
      <c r="K42" s="767"/>
      <c r="L42" s="779">
        <f t="shared" si="86"/>
        <v>0</v>
      </c>
      <c r="M42" s="779">
        <f t="shared" si="69"/>
        <v>0</v>
      </c>
      <c r="N42" s="767"/>
      <c r="O42" s="767"/>
      <c r="P42" s="780"/>
      <c r="Q42" s="780"/>
      <c r="R42" s="780"/>
      <c r="S42" s="780"/>
      <c r="T42" s="802"/>
      <c r="U42" s="802"/>
      <c r="V42" s="802"/>
      <c r="W42" s="802"/>
      <c r="X42" s="802"/>
      <c r="Y42" s="802"/>
      <c r="Z42" s="802"/>
      <c r="AA42" s="781">
        <f t="shared" si="70"/>
        <v>0</v>
      </c>
      <c r="AB42" s="782">
        <f t="shared" si="71"/>
        <v>0</v>
      </c>
      <c r="AC42" s="783">
        <f t="shared" si="72"/>
        <v>0</v>
      </c>
      <c r="AD42" s="781">
        <f t="shared" si="73"/>
        <v>0</v>
      </c>
      <c r="AE42" s="782">
        <f t="shared" si="74"/>
        <v>0</v>
      </c>
      <c r="AF42" s="784">
        <f t="shared" si="75"/>
        <v>0</v>
      </c>
      <c r="AG42" s="781">
        <f t="shared" si="76"/>
        <v>0</v>
      </c>
      <c r="AH42" s="782">
        <f t="shared" si="77"/>
        <v>0</v>
      </c>
      <c r="AI42" s="783">
        <f t="shared" si="78"/>
        <v>0</v>
      </c>
      <c r="AJ42" s="781">
        <f t="shared" si="79"/>
        <v>0</v>
      </c>
      <c r="AK42" s="782">
        <f t="shared" si="80"/>
        <v>0</v>
      </c>
      <c r="AL42" s="784">
        <f t="shared" si="81"/>
        <v>0</v>
      </c>
    </row>
    <row r="43" spans="2:38" ht="15" hidden="1" customHeight="1">
      <c r="B43" s="778">
        <v>9</v>
      </c>
      <c r="C43" s="779">
        <v>0</v>
      </c>
      <c r="D43" s="800">
        <f t="shared" ref="D43:D50" si="88">E43-C43</f>
        <v>0</v>
      </c>
      <c r="E43" s="801"/>
      <c r="F43" s="800">
        <f t="shared" ref="F43:F50" si="89">E42</f>
        <v>0</v>
      </c>
      <c r="G43" s="800">
        <f t="shared" ref="G43:G50" si="90">H43-F43</f>
        <v>0</v>
      </c>
      <c r="H43" s="767"/>
      <c r="I43" s="779">
        <f t="shared" ref="I43:I50" si="91">H42</f>
        <v>0</v>
      </c>
      <c r="J43" s="779">
        <f t="shared" ref="J43:J50" si="92">K43-I43</f>
        <v>0</v>
      </c>
      <c r="K43" s="767"/>
      <c r="L43" s="779">
        <f t="shared" ref="L43:L50" si="93">K42</f>
        <v>0</v>
      </c>
      <c r="M43" s="779">
        <f t="shared" ref="M43:M50" si="94">N43-L43</f>
        <v>0</v>
      </c>
      <c r="N43" s="767"/>
      <c r="O43" s="767"/>
      <c r="P43" s="780"/>
      <c r="Q43" s="780"/>
      <c r="R43" s="780"/>
      <c r="S43" s="780"/>
      <c r="T43" s="802"/>
      <c r="U43" s="802"/>
      <c r="V43" s="802"/>
      <c r="W43" s="802"/>
      <c r="X43" s="802"/>
      <c r="Y43" s="802"/>
      <c r="Z43" s="802"/>
      <c r="AA43" s="781">
        <f t="shared" ref="AA43:AA50" si="95">E43*O43*12</f>
        <v>0</v>
      </c>
      <c r="AB43" s="782">
        <f t="shared" ref="AB43:AB50" si="96">D43*T43</f>
        <v>0</v>
      </c>
      <c r="AC43" s="783">
        <f t="shared" ref="AC43:AC50" si="97">(E43-D43)*X43</f>
        <v>0</v>
      </c>
      <c r="AD43" s="781">
        <f t="shared" ref="AD43:AD50" si="98">H43*P43*12</f>
        <v>0</v>
      </c>
      <c r="AE43" s="782">
        <f t="shared" ref="AE43:AE50" si="99">G43*T43</f>
        <v>0</v>
      </c>
      <c r="AF43" s="784">
        <f t="shared" ref="AF43:AF50" si="100">(H43-G43)*X43</f>
        <v>0</v>
      </c>
      <c r="AG43" s="781">
        <f t="shared" ref="AG43:AG50" si="101">K43*Q43*12</f>
        <v>0</v>
      </c>
      <c r="AH43" s="782">
        <f t="shared" ref="AH43:AH50" si="102">J43*U43</f>
        <v>0</v>
      </c>
      <c r="AI43" s="783">
        <f t="shared" ref="AI43:AI50" si="103">(K43-J43)*Y43</f>
        <v>0</v>
      </c>
      <c r="AJ43" s="781">
        <f t="shared" ref="AJ43:AJ50" si="104">N43*R43*12</f>
        <v>0</v>
      </c>
      <c r="AK43" s="782">
        <f t="shared" ref="AK43:AK50" si="105">M43*V43</f>
        <v>0</v>
      </c>
      <c r="AL43" s="784">
        <f t="shared" ref="AL43:AL50" si="106">(N43-M43)*Z43</f>
        <v>0</v>
      </c>
    </row>
    <row r="44" spans="2:38" ht="15" hidden="1" customHeight="1">
      <c r="B44" s="778">
        <v>10</v>
      </c>
      <c r="C44" s="779">
        <v>0</v>
      </c>
      <c r="D44" s="800">
        <f t="shared" si="88"/>
        <v>0</v>
      </c>
      <c r="E44" s="801"/>
      <c r="F44" s="800">
        <f t="shared" si="89"/>
        <v>0</v>
      </c>
      <c r="G44" s="800">
        <f t="shared" si="90"/>
        <v>0</v>
      </c>
      <c r="H44" s="767"/>
      <c r="I44" s="779">
        <f t="shared" si="91"/>
        <v>0</v>
      </c>
      <c r="J44" s="779">
        <f t="shared" si="92"/>
        <v>0</v>
      </c>
      <c r="K44" s="767"/>
      <c r="L44" s="779">
        <f t="shared" si="93"/>
        <v>0</v>
      </c>
      <c r="M44" s="779">
        <f t="shared" si="94"/>
        <v>0</v>
      </c>
      <c r="N44" s="767"/>
      <c r="O44" s="767"/>
      <c r="P44" s="780"/>
      <c r="Q44" s="780"/>
      <c r="R44" s="780"/>
      <c r="S44" s="780"/>
      <c r="T44" s="802"/>
      <c r="U44" s="802"/>
      <c r="V44" s="802"/>
      <c r="W44" s="802"/>
      <c r="X44" s="802"/>
      <c r="Y44" s="802"/>
      <c r="Z44" s="802"/>
      <c r="AA44" s="781">
        <f t="shared" si="95"/>
        <v>0</v>
      </c>
      <c r="AB44" s="782">
        <f t="shared" si="96"/>
        <v>0</v>
      </c>
      <c r="AC44" s="783">
        <f t="shared" si="97"/>
        <v>0</v>
      </c>
      <c r="AD44" s="781">
        <f t="shared" si="98"/>
        <v>0</v>
      </c>
      <c r="AE44" s="782">
        <f t="shared" si="99"/>
        <v>0</v>
      </c>
      <c r="AF44" s="784">
        <f t="shared" si="100"/>
        <v>0</v>
      </c>
      <c r="AG44" s="781">
        <f t="shared" si="101"/>
        <v>0</v>
      </c>
      <c r="AH44" s="782">
        <f t="shared" si="102"/>
        <v>0</v>
      </c>
      <c r="AI44" s="783">
        <f t="shared" si="103"/>
        <v>0</v>
      </c>
      <c r="AJ44" s="781">
        <f t="shared" si="104"/>
        <v>0</v>
      </c>
      <c r="AK44" s="782">
        <f t="shared" si="105"/>
        <v>0</v>
      </c>
      <c r="AL44" s="784">
        <f t="shared" si="106"/>
        <v>0</v>
      </c>
    </row>
    <row r="45" spans="2:38" ht="15" hidden="1" customHeight="1">
      <c r="B45" s="778" t="s">
        <v>1162</v>
      </c>
      <c r="C45" s="779">
        <v>0</v>
      </c>
      <c r="D45" s="800">
        <f t="shared" si="88"/>
        <v>0</v>
      </c>
      <c r="E45" s="801"/>
      <c r="F45" s="800">
        <f t="shared" si="89"/>
        <v>0</v>
      </c>
      <c r="G45" s="800">
        <f t="shared" si="90"/>
        <v>0</v>
      </c>
      <c r="H45" s="767"/>
      <c r="I45" s="779">
        <f t="shared" si="91"/>
        <v>0</v>
      </c>
      <c r="J45" s="779">
        <f t="shared" si="92"/>
        <v>0</v>
      </c>
      <c r="K45" s="767"/>
      <c r="L45" s="779">
        <f t="shared" si="93"/>
        <v>0</v>
      </c>
      <c r="M45" s="779">
        <f t="shared" si="94"/>
        <v>0</v>
      </c>
      <c r="N45" s="767"/>
      <c r="O45" s="767"/>
      <c r="P45" s="780"/>
      <c r="Q45" s="780"/>
      <c r="R45" s="780"/>
      <c r="S45" s="780"/>
      <c r="T45" s="802"/>
      <c r="U45" s="802"/>
      <c r="V45" s="802"/>
      <c r="W45" s="802"/>
      <c r="X45" s="802"/>
      <c r="Y45" s="802"/>
      <c r="Z45" s="802"/>
      <c r="AA45" s="781">
        <f t="shared" si="95"/>
        <v>0</v>
      </c>
      <c r="AB45" s="782">
        <f t="shared" si="96"/>
        <v>0</v>
      </c>
      <c r="AC45" s="783">
        <f t="shared" si="97"/>
        <v>0</v>
      </c>
      <c r="AD45" s="781">
        <f t="shared" si="98"/>
        <v>0</v>
      </c>
      <c r="AE45" s="782">
        <f t="shared" si="99"/>
        <v>0</v>
      </c>
      <c r="AF45" s="784">
        <f t="shared" si="100"/>
        <v>0</v>
      </c>
      <c r="AG45" s="781">
        <f t="shared" si="101"/>
        <v>0</v>
      </c>
      <c r="AH45" s="782">
        <f t="shared" si="102"/>
        <v>0</v>
      </c>
      <c r="AI45" s="783">
        <f t="shared" si="103"/>
        <v>0</v>
      </c>
      <c r="AJ45" s="781">
        <f t="shared" si="104"/>
        <v>0</v>
      </c>
      <c r="AK45" s="782">
        <f t="shared" si="105"/>
        <v>0</v>
      </c>
      <c r="AL45" s="784">
        <f t="shared" si="106"/>
        <v>0</v>
      </c>
    </row>
    <row r="46" spans="2:38" ht="15" hidden="1" customHeight="1">
      <c r="B46" s="778" t="s">
        <v>1160</v>
      </c>
      <c r="C46" s="779">
        <v>0</v>
      </c>
      <c r="D46" s="800">
        <f t="shared" si="88"/>
        <v>0</v>
      </c>
      <c r="E46" s="801"/>
      <c r="F46" s="800">
        <f t="shared" si="89"/>
        <v>0</v>
      </c>
      <c r="G46" s="800">
        <f t="shared" si="90"/>
        <v>0</v>
      </c>
      <c r="H46" s="767"/>
      <c r="I46" s="779">
        <f t="shared" si="91"/>
        <v>0</v>
      </c>
      <c r="J46" s="779">
        <f t="shared" si="92"/>
        <v>0</v>
      </c>
      <c r="K46" s="767"/>
      <c r="L46" s="779">
        <f t="shared" si="93"/>
        <v>0</v>
      </c>
      <c r="M46" s="779">
        <f t="shared" si="94"/>
        <v>0</v>
      </c>
      <c r="N46" s="767"/>
      <c r="O46" s="767"/>
      <c r="P46" s="780"/>
      <c r="Q46" s="780"/>
      <c r="R46" s="780"/>
      <c r="S46" s="780"/>
      <c r="T46" s="802"/>
      <c r="U46" s="802"/>
      <c r="V46" s="802"/>
      <c r="W46" s="802"/>
      <c r="X46" s="802"/>
      <c r="Y46" s="802"/>
      <c r="Z46" s="802"/>
      <c r="AA46" s="781">
        <f t="shared" si="95"/>
        <v>0</v>
      </c>
      <c r="AB46" s="782">
        <f t="shared" si="96"/>
        <v>0</v>
      </c>
      <c r="AC46" s="783">
        <f t="shared" si="97"/>
        <v>0</v>
      </c>
      <c r="AD46" s="781">
        <f t="shared" si="98"/>
        <v>0</v>
      </c>
      <c r="AE46" s="782">
        <f t="shared" si="99"/>
        <v>0</v>
      </c>
      <c r="AF46" s="784">
        <f t="shared" si="100"/>
        <v>0</v>
      </c>
      <c r="AG46" s="781">
        <f t="shared" si="101"/>
        <v>0</v>
      </c>
      <c r="AH46" s="782">
        <f t="shared" si="102"/>
        <v>0</v>
      </c>
      <c r="AI46" s="783">
        <f t="shared" si="103"/>
        <v>0</v>
      </c>
      <c r="AJ46" s="781">
        <f t="shared" si="104"/>
        <v>0</v>
      </c>
      <c r="AK46" s="782">
        <f t="shared" si="105"/>
        <v>0</v>
      </c>
      <c r="AL46" s="784">
        <f t="shared" si="106"/>
        <v>0</v>
      </c>
    </row>
    <row r="47" spans="2:38" ht="15" hidden="1" customHeight="1">
      <c r="B47" s="778" t="s">
        <v>1161</v>
      </c>
      <c r="C47" s="779">
        <v>0</v>
      </c>
      <c r="D47" s="800">
        <f t="shared" si="88"/>
        <v>0</v>
      </c>
      <c r="E47" s="801"/>
      <c r="F47" s="800">
        <f t="shared" si="89"/>
        <v>0</v>
      </c>
      <c r="G47" s="800">
        <f t="shared" si="90"/>
        <v>0</v>
      </c>
      <c r="H47" s="767"/>
      <c r="I47" s="779">
        <f t="shared" si="91"/>
        <v>0</v>
      </c>
      <c r="J47" s="779">
        <f t="shared" si="92"/>
        <v>0</v>
      </c>
      <c r="K47" s="767"/>
      <c r="L47" s="779">
        <f t="shared" si="93"/>
        <v>0</v>
      </c>
      <c r="M47" s="779">
        <f t="shared" si="94"/>
        <v>0</v>
      </c>
      <c r="N47" s="767"/>
      <c r="O47" s="767"/>
      <c r="P47" s="780"/>
      <c r="Q47" s="780"/>
      <c r="R47" s="780"/>
      <c r="S47" s="780"/>
      <c r="T47" s="802"/>
      <c r="U47" s="802"/>
      <c r="V47" s="802"/>
      <c r="W47" s="802"/>
      <c r="X47" s="802"/>
      <c r="Y47" s="802"/>
      <c r="Z47" s="802"/>
      <c r="AA47" s="781">
        <f t="shared" si="95"/>
        <v>0</v>
      </c>
      <c r="AB47" s="782">
        <f t="shared" si="96"/>
        <v>0</v>
      </c>
      <c r="AC47" s="783">
        <f t="shared" si="97"/>
        <v>0</v>
      </c>
      <c r="AD47" s="781">
        <f t="shared" si="98"/>
        <v>0</v>
      </c>
      <c r="AE47" s="782">
        <f t="shared" si="99"/>
        <v>0</v>
      </c>
      <c r="AF47" s="784">
        <f t="shared" si="100"/>
        <v>0</v>
      </c>
      <c r="AG47" s="781">
        <f t="shared" si="101"/>
        <v>0</v>
      </c>
      <c r="AH47" s="782">
        <f t="shared" si="102"/>
        <v>0</v>
      </c>
      <c r="AI47" s="783">
        <f t="shared" si="103"/>
        <v>0</v>
      </c>
      <c r="AJ47" s="781">
        <f t="shared" si="104"/>
        <v>0</v>
      </c>
      <c r="AK47" s="782">
        <f t="shared" si="105"/>
        <v>0</v>
      </c>
      <c r="AL47" s="784">
        <f t="shared" si="106"/>
        <v>0</v>
      </c>
    </row>
    <row r="48" spans="2:38" ht="15" hidden="1" customHeight="1">
      <c r="B48" s="778" t="s">
        <v>1165</v>
      </c>
      <c r="C48" s="779">
        <v>0</v>
      </c>
      <c r="D48" s="800">
        <f t="shared" si="88"/>
        <v>0</v>
      </c>
      <c r="E48" s="801"/>
      <c r="F48" s="800">
        <f t="shared" si="89"/>
        <v>0</v>
      </c>
      <c r="G48" s="800">
        <f t="shared" si="90"/>
        <v>0</v>
      </c>
      <c r="H48" s="767"/>
      <c r="I48" s="779">
        <f t="shared" si="91"/>
        <v>0</v>
      </c>
      <c r="J48" s="779">
        <f t="shared" si="92"/>
        <v>0</v>
      </c>
      <c r="K48" s="767"/>
      <c r="L48" s="779">
        <f t="shared" si="93"/>
        <v>0</v>
      </c>
      <c r="M48" s="779">
        <f t="shared" si="94"/>
        <v>0</v>
      </c>
      <c r="N48" s="767"/>
      <c r="O48" s="767"/>
      <c r="P48" s="780"/>
      <c r="Q48" s="780"/>
      <c r="R48" s="780"/>
      <c r="S48" s="780"/>
      <c r="T48" s="802"/>
      <c r="U48" s="802"/>
      <c r="V48" s="802"/>
      <c r="W48" s="802"/>
      <c r="X48" s="802"/>
      <c r="Y48" s="802"/>
      <c r="Z48" s="802"/>
      <c r="AA48" s="781">
        <f t="shared" si="95"/>
        <v>0</v>
      </c>
      <c r="AB48" s="782">
        <f t="shared" si="96"/>
        <v>0</v>
      </c>
      <c r="AC48" s="783">
        <f t="shared" si="97"/>
        <v>0</v>
      </c>
      <c r="AD48" s="781">
        <f t="shared" si="98"/>
        <v>0</v>
      </c>
      <c r="AE48" s="782">
        <f t="shared" si="99"/>
        <v>0</v>
      </c>
      <c r="AF48" s="784">
        <f t="shared" si="100"/>
        <v>0</v>
      </c>
      <c r="AG48" s="781">
        <f t="shared" si="101"/>
        <v>0</v>
      </c>
      <c r="AH48" s="782">
        <f t="shared" si="102"/>
        <v>0</v>
      </c>
      <c r="AI48" s="783">
        <f t="shared" si="103"/>
        <v>0</v>
      </c>
      <c r="AJ48" s="781">
        <f t="shared" si="104"/>
        <v>0</v>
      </c>
      <c r="AK48" s="782">
        <f t="shared" si="105"/>
        <v>0</v>
      </c>
      <c r="AL48" s="784">
        <f t="shared" si="106"/>
        <v>0</v>
      </c>
    </row>
    <row r="49" spans="2:38" ht="15" hidden="1" customHeight="1">
      <c r="B49" s="778" t="s">
        <v>1164</v>
      </c>
      <c r="C49" s="779">
        <v>0</v>
      </c>
      <c r="D49" s="800">
        <f t="shared" si="88"/>
        <v>0</v>
      </c>
      <c r="E49" s="801"/>
      <c r="F49" s="800">
        <f t="shared" si="89"/>
        <v>0</v>
      </c>
      <c r="G49" s="800">
        <f t="shared" si="90"/>
        <v>0</v>
      </c>
      <c r="H49" s="767"/>
      <c r="I49" s="779">
        <f t="shared" si="91"/>
        <v>0</v>
      </c>
      <c r="J49" s="779">
        <f t="shared" si="92"/>
        <v>0</v>
      </c>
      <c r="K49" s="767"/>
      <c r="L49" s="779">
        <f t="shared" si="93"/>
        <v>0</v>
      </c>
      <c r="M49" s="779">
        <f t="shared" si="94"/>
        <v>0</v>
      </c>
      <c r="N49" s="767"/>
      <c r="O49" s="767"/>
      <c r="P49" s="780"/>
      <c r="Q49" s="780"/>
      <c r="R49" s="780"/>
      <c r="S49" s="780"/>
      <c r="T49" s="802"/>
      <c r="U49" s="802"/>
      <c r="V49" s="802"/>
      <c r="W49" s="802"/>
      <c r="X49" s="802"/>
      <c r="Y49" s="802"/>
      <c r="Z49" s="802"/>
      <c r="AA49" s="781">
        <f t="shared" si="95"/>
        <v>0</v>
      </c>
      <c r="AB49" s="782">
        <f t="shared" si="96"/>
        <v>0</v>
      </c>
      <c r="AC49" s="783">
        <f t="shared" si="97"/>
        <v>0</v>
      </c>
      <c r="AD49" s="781">
        <f t="shared" si="98"/>
        <v>0</v>
      </c>
      <c r="AE49" s="782">
        <f t="shared" si="99"/>
        <v>0</v>
      </c>
      <c r="AF49" s="784">
        <f t="shared" si="100"/>
        <v>0</v>
      </c>
      <c r="AG49" s="781">
        <f t="shared" si="101"/>
        <v>0</v>
      </c>
      <c r="AH49" s="782">
        <f t="shared" si="102"/>
        <v>0</v>
      </c>
      <c r="AI49" s="783">
        <f t="shared" si="103"/>
        <v>0</v>
      </c>
      <c r="AJ49" s="781">
        <f t="shared" si="104"/>
        <v>0</v>
      </c>
      <c r="AK49" s="782">
        <f t="shared" si="105"/>
        <v>0</v>
      </c>
      <c r="AL49" s="784">
        <f t="shared" si="106"/>
        <v>0</v>
      </c>
    </row>
    <row r="50" spans="2:38" ht="15" hidden="1" customHeight="1">
      <c r="B50" s="778" t="s">
        <v>1163</v>
      </c>
      <c r="C50" s="779">
        <v>0</v>
      </c>
      <c r="D50" s="800">
        <f t="shared" si="88"/>
        <v>0</v>
      </c>
      <c r="E50" s="801"/>
      <c r="F50" s="800">
        <f t="shared" si="89"/>
        <v>0</v>
      </c>
      <c r="G50" s="800">
        <f t="shared" si="90"/>
        <v>0</v>
      </c>
      <c r="H50" s="767"/>
      <c r="I50" s="779">
        <f t="shared" si="91"/>
        <v>0</v>
      </c>
      <c r="J50" s="779">
        <f t="shared" si="92"/>
        <v>0</v>
      </c>
      <c r="K50" s="767"/>
      <c r="L50" s="779">
        <f t="shared" si="93"/>
        <v>0</v>
      </c>
      <c r="M50" s="779">
        <f t="shared" si="94"/>
        <v>0</v>
      </c>
      <c r="N50" s="767"/>
      <c r="O50" s="767"/>
      <c r="P50" s="780"/>
      <c r="Q50" s="780"/>
      <c r="R50" s="780"/>
      <c r="S50" s="780"/>
      <c r="T50" s="802"/>
      <c r="U50" s="802"/>
      <c r="V50" s="802"/>
      <c r="W50" s="802"/>
      <c r="X50" s="802"/>
      <c r="Y50" s="802"/>
      <c r="Z50" s="802"/>
      <c r="AA50" s="781">
        <f t="shared" si="95"/>
        <v>0</v>
      </c>
      <c r="AB50" s="782">
        <f t="shared" si="96"/>
        <v>0</v>
      </c>
      <c r="AC50" s="783">
        <f t="shared" si="97"/>
        <v>0</v>
      </c>
      <c r="AD50" s="781">
        <f t="shared" si="98"/>
        <v>0</v>
      </c>
      <c r="AE50" s="782">
        <f t="shared" si="99"/>
        <v>0</v>
      </c>
      <c r="AF50" s="784">
        <f t="shared" si="100"/>
        <v>0</v>
      </c>
      <c r="AG50" s="781">
        <f t="shared" si="101"/>
        <v>0</v>
      </c>
      <c r="AH50" s="782">
        <f t="shared" si="102"/>
        <v>0</v>
      </c>
      <c r="AI50" s="783">
        <f t="shared" si="103"/>
        <v>0</v>
      </c>
      <c r="AJ50" s="781">
        <f t="shared" si="104"/>
        <v>0</v>
      </c>
      <c r="AK50" s="782">
        <f t="shared" si="105"/>
        <v>0</v>
      </c>
      <c r="AL50" s="784">
        <f t="shared" si="106"/>
        <v>0</v>
      </c>
    </row>
    <row r="51" spans="2:38" ht="15" hidden="1" customHeight="1">
      <c r="B51" s="785"/>
      <c r="C51" s="786"/>
      <c r="D51" s="786"/>
      <c r="E51" s="786"/>
      <c r="F51" s="990" t="s">
        <v>3</v>
      </c>
      <c r="G51" s="990"/>
      <c r="H51" s="990"/>
      <c r="I51" s="990"/>
      <c r="J51" s="990"/>
      <c r="K51" s="991"/>
      <c r="L51" s="787"/>
      <c r="M51" s="787"/>
      <c r="N51" s="787"/>
      <c r="O51" s="787"/>
      <c r="P51" s="1013" t="s">
        <v>887</v>
      </c>
      <c r="Q51" s="1014"/>
      <c r="R51" s="1014"/>
      <c r="S51" s="1014"/>
      <c r="T51" s="1014"/>
      <c r="U51" s="1014"/>
      <c r="V51" s="1014"/>
      <c r="W51" s="1014"/>
      <c r="X51" s="1014"/>
      <c r="Y51" s="1014"/>
      <c r="Z51" s="1015"/>
      <c r="AA51" s="1011" t="s">
        <v>909</v>
      </c>
      <c r="AB51" s="1012"/>
      <c r="AC51" s="1012"/>
      <c r="AD51" s="1012"/>
      <c r="AE51" s="1012"/>
      <c r="AF51" s="1012"/>
      <c r="AG51" s="1012"/>
      <c r="AH51" s="1012"/>
      <c r="AI51" s="1012"/>
      <c r="AJ51" s="1012"/>
      <c r="AK51" s="1012"/>
      <c r="AL51" s="1012"/>
    </row>
    <row r="52" spans="2:38" ht="15" hidden="1" customHeight="1" thickBot="1">
      <c r="B52" s="788"/>
      <c r="C52" s="790">
        <f t="shared" ref="C52:N52" si="107">SUM(C33:C50)</f>
        <v>0</v>
      </c>
      <c r="D52" s="790">
        <f t="shared" si="107"/>
        <v>0</v>
      </c>
      <c r="E52" s="790">
        <f t="shared" si="107"/>
        <v>0</v>
      </c>
      <c r="F52" s="790">
        <f t="shared" si="107"/>
        <v>0</v>
      </c>
      <c r="G52" s="790">
        <f t="shared" si="107"/>
        <v>0</v>
      </c>
      <c r="H52" s="790">
        <f t="shared" si="107"/>
        <v>0</v>
      </c>
      <c r="I52" s="790">
        <f t="shared" si="107"/>
        <v>0</v>
      </c>
      <c r="J52" s="790">
        <f t="shared" si="107"/>
        <v>0</v>
      </c>
      <c r="K52" s="790">
        <f t="shared" si="107"/>
        <v>0</v>
      </c>
      <c r="L52" s="790">
        <f t="shared" si="107"/>
        <v>0</v>
      </c>
      <c r="M52" s="790">
        <f t="shared" si="107"/>
        <v>0</v>
      </c>
      <c r="N52" s="790">
        <f t="shared" si="107"/>
        <v>0</v>
      </c>
      <c r="O52" s="790"/>
      <c r="P52" s="791" t="e">
        <f>AVERAGE(P33:P50)</f>
        <v>#DIV/0!</v>
      </c>
      <c r="Q52" s="792" t="e">
        <f>AVERAGE(Q33:Q42)</f>
        <v>#DIV/0!</v>
      </c>
      <c r="R52" s="792" t="e">
        <f>AVERAGE(R33:R50)</f>
        <v>#DIV/0!</v>
      </c>
      <c r="S52" s="792"/>
      <c r="T52" s="792" t="e">
        <f>AVERAGE(T33:T50)</f>
        <v>#DIV/0!</v>
      </c>
      <c r="U52" s="792"/>
      <c r="V52" s="792" t="e">
        <f>AVERAGE(V33:V50)</f>
        <v>#DIV/0!</v>
      </c>
      <c r="W52" s="792"/>
      <c r="X52" s="792" t="e">
        <f>AVERAGE(X33:X50)</f>
        <v>#DIV/0!</v>
      </c>
      <c r="Y52" s="793"/>
      <c r="Z52" s="793" t="e">
        <f>AVERAGE(Z33:Z50)</f>
        <v>#DIV/0!</v>
      </c>
      <c r="AA52" s="794">
        <f t="shared" ref="AA52:AL52" si="108">SUM(AA33:AA50)</f>
        <v>0</v>
      </c>
      <c r="AB52" s="795">
        <f t="shared" si="108"/>
        <v>0</v>
      </c>
      <c r="AC52" s="796">
        <f t="shared" si="108"/>
        <v>0</v>
      </c>
      <c r="AD52" s="794">
        <f t="shared" si="108"/>
        <v>0</v>
      </c>
      <c r="AE52" s="795">
        <f t="shared" si="108"/>
        <v>0</v>
      </c>
      <c r="AF52" s="796">
        <f t="shared" si="108"/>
        <v>0</v>
      </c>
      <c r="AG52" s="796">
        <f t="shared" si="108"/>
        <v>0</v>
      </c>
      <c r="AH52" s="796">
        <f t="shared" si="108"/>
        <v>0</v>
      </c>
      <c r="AI52" s="796">
        <f t="shared" si="108"/>
        <v>0</v>
      </c>
      <c r="AJ52" s="796">
        <f t="shared" si="108"/>
        <v>0</v>
      </c>
      <c r="AK52" s="796">
        <f t="shared" si="108"/>
        <v>0</v>
      </c>
      <c r="AL52" s="796">
        <f t="shared" si="108"/>
        <v>0</v>
      </c>
    </row>
    <row r="53" spans="2:38" ht="15" customHeight="1">
      <c r="G53" s="798"/>
      <c r="K53" s="761">
        <f>K52+K28</f>
        <v>0</v>
      </c>
    </row>
    <row r="54" spans="2:38" ht="15" customHeight="1">
      <c r="G54" s="798"/>
    </row>
    <row r="55" spans="2:38">
      <c r="H55" s="803"/>
      <c r="I55" s="803"/>
      <c r="J55" s="803"/>
      <c r="K55" s="803"/>
      <c r="L55" s="803"/>
      <c r="M55" s="803"/>
      <c r="N55" s="803"/>
      <c r="O55" s="803"/>
      <c r="P55" s="803"/>
      <c r="Q55" s="803"/>
      <c r="R55" s="803"/>
      <c r="S55" s="803"/>
      <c r="T55" s="803"/>
      <c r="U55" s="803"/>
      <c r="V55" s="803"/>
      <c r="W55" s="803"/>
      <c r="X55" s="803"/>
      <c r="Y55" s="803"/>
      <c r="Z55" s="803"/>
      <c r="AA55" s="803"/>
      <c r="AB55" s="803"/>
      <c r="AC55" s="803"/>
      <c r="AD55" s="803"/>
      <c r="AE55" s="803"/>
      <c r="AF55" s="803"/>
    </row>
    <row r="56" spans="2:38">
      <c r="B56" s="804"/>
      <c r="C56" s="804"/>
      <c r="D56" s="804"/>
      <c r="E56" s="804"/>
      <c r="F56" s="777" t="s">
        <v>64</v>
      </c>
      <c r="G56" s="777" t="s">
        <v>63</v>
      </c>
      <c r="H56" s="777" t="s">
        <v>62</v>
      </c>
      <c r="I56" s="803"/>
      <c r="J56" s="993" t="s">
        <v>767</v>
      </c>
      <c r="K56" s="994"/>
      <c r="L56" s="994"/>
      <c r="M56" s="994"/>
      <c r="N56" s="994"/>
      <c r="O56" s="994"/>
      <c r="P56" s="994"/>
      <c r="Q56" s="994"/>
      <c r="R56" s="995"/>
      <c r="S56" s="803"/>
      <c r="T56" s="805"/>
      <c r="U56" s="805"/>
      <c r="V56" s="806" t="s">
        <v>1059</v>
      </c>
      <c r="W56" s="806"/>
      <c r="X56" s="807"/>
      <c r="Y56" s="807"/>
      <c r="Z56" s="807"/>
      <c r="AA56" s="807"/>
      <c r="AB56" s="806" t="s">
        <v>1085</v>
      </c>
      <c r="AC56" s="806"/>
      <c r="AD56" s="807"/>
      <c r="AE56" s="807"/>
      <c r="AF56" s="807"/>
    </row>
    <row r="57" spans="2:38">
      <c r="B57" s="808" t="s">
        <v>911</v>
      </c>
      <c r="C57" s="808"/>
      <c r="D57" s="808"/>
      <c r="E57" s="808"/>
      <c r="F57" s="749">
        <f>SUM(AD28:AF28,AD52:AF52)+X62+AD62+N5</f>
        <v>0</v>
      </c>
      <c r="G57" s="749">
        <f>SUM(AG28:AI28,AG52:AI52)+Y62+AE62+Q5</f>
        <v>0</v>
      </c>
      <c r="H57" s="749">
        <f>SUM(AJ28:AL28,AJ52:AL52)+Z62+AF62+T5</f>
        <v>0</v>
      </c>
      <c r="I57" s="803"/>
      <c r="J57" s="809" t="s">
        <v>768</v>
      </c>
      <c r="K57" s="986" t="s">
        <v>769</v>
      </c>
      <c r="L57" s="986"/>
      <c r="M57" s="986"/>
      <c r="N57" s="986"/>
      <c r="O57" s="986"/>
      <c r="P57" s="986"/>
      <c r="Q57" s="810"/>
      <c r="R57" s="809" t="s">
        <v>770</v>
      </c>
      <c r="S57" s="811"/>
      <c r="T57" s="812"/>
      <c r="U57" s="812"/>
      <c r="V57" s="813" t="s">
        <v>769</v>
      </c>
      <c r="W57" s="777" t="s">
        <v>65</v>
      </c>
      <c r="X57" s="777" t="s">
        <v>64</v>
      </c>
      <c r="Y57" s="777" t="s">
        <v>63</v>
      </c>
      <c r="Z57" s="777" t="s">
        <v>62</v>
      </c>
      <c r="AA57" s="812"/>
      <c r="AB57" s="813" t="s">
        <v>769</v>
      </c>
      <c r="AC57" s="777" t="s">
        <v>65</v>
      </c>
      <c r="AD57" s="777" t="s">
        <v>64</v>
      </c>
      <c r="AE57" s="777" t="s">
        <v>63</v>
      </c>
      <c r="AF57" s="777" t="s">
        <v>62</v>
      </c>
    </row>
    <row r="58" spans="2:38">
      <c r="B58" s="814" t="s">
        <v>1307</v>
      </c>
      <c r="C58" s="814"/>
      <c r="D58" s="814"/>
      <c r="E58" s="814"/>
      <c r="F58" s="750"/>
      <c r="G58" s="751" t="e">
        <f>VLOOKUP('PD and CAM'!C7,Sheet1!C4:E11,3,FALSE)</f>
        <v>#N/A</v>
      </c>
      <c r="H58" s="751" t="e">
        <f>G58</f>
        <v>#N/A</v>
      </c>
      <c r="I58" s="803"/>
      <c r="J58" s="809" t="s">
        <v>152</v>
      </c>
      <c r="K58" s="986"/>
      <c r="L58" s="986"/>
      <c r="M58" s="986"/>
      <c r="N58" s="986"/>
      <c r="O58" s="986"/>
      <c r="P58" s="986"/>
      <c r="Q58" s="810"/>
      <c r="R58" s="815">
        <f>(K58*R11)*12+K58*X11</f>
        <v>0</v>
      </c>
      <c r="T58" s="812"/>
      <c r="U58" s="812"/>
      <c r="V58" s="816"/>
      <c r="W58" s="816"/>
      <c r="X58" s="817"/>
      <c r="Y58" s="817"/>
      <c r="Z58" s="817"/>
      <c r="AA58" s="812"/>
      <c r="AB58" s="816"/>
      <c r="AC58" s="816"/>
      <c r="AD58" s="817"/>
      <c r="AE58" s="817"/>
      <c r="AF58" s="817"/>
    </row>
    <row r="59" spans="2:38">
      <c r="B59" s="834" t="s">
        <v>1347</v>
      </c>
      <c r="C59" s="834"/>
      <c r="D59" s="834"/>
      <c r="E59" s="834"/>
      <c r="F59" s="883"/>
      <c r="G59" s="884">
        <v>0.9</v>
      </c>
      <c r="H59" s="884">
        <v>0.9</v>
      </c>
      <c r="I59" s="818"/>
      <c r="J59" s="819" t="s">
        <v>771</v>
      </c>
      <c r="K59" s="986"/>
      <c r="L59" s="986"/>
      <c r="M59" s="986"/>
      <c r="N59" s="986"/>
      <c r="O59" s="986"/>
      <c r="P59" s="986"/>
      <c r="Q59" s="810"/>
      <c r="R59" s="815">
        <f>(K59*R12)*12+K59*X12</f>
        <v>0</v>
      </c>
      <c r="S59" s="803"/>
      <c r="T59" s="812"/>
      <c r="U59" s="812"/>
      <c r="V59" s="820" t="s">
        <v>769</v>
      </c>
      <c r="W59" s="820"/>
      <c r="X59" s="821"/>
      <c r="Y59" s="821"/>
      <c r="Z59" s="821"/>
      <c r="AA59" s="812"/>
      <c r="AB59" s="820" t="s">
        <v>769</v>
      </c>
      <c r="AC59" s="820"/>
      <c r="AD59" s="821"/>
      <c r="AE59" s="821"/>
      <c r="AF59" s="821"/>
    </row>
    <row r="60" spans="2:38" ht="30">
      <c r="B60" s="808" t="s">
        <v>1320</v>
      </c>
      <c r="C60" s="804"/>
      <c r="D60" s="804"/>
      <c r="E60" s="804"/>
      <c r="F60" s="752"/>
      <c r="G60" s="749">
        <f>G57*(100%-G59)</f>
        <v>0</v>
      </c>
      <c r="H60" s="749">
        <f>H57*(100%-H59)</f>
        <v>0</v>
      </c>
      <c r="I60" s="818"/>
      <c r="J60" s="819" t="s">
        <v>772</v>
      </c>
      <c r="K60" s="986"/>
      <c r="L60" s="986"/>
      <c r="M60" s="986"/>
      <c r="N60" s="986"/>
      <c r="O60" s="986"/>
      <c r="P60" s="986"/>
      <c r="Q60" s="810"/>
      <c r="R60" s="815">
        <f>(K60*R12)*12+K60*X12</f>
        <v>0</v>
      </c>
      <c r="S60" s="803"/>
      <c r="T60" s="812"/>
      <c r="U60" s="812"/>
      <c r="V60" s="822" t="s">
        <v>1060</v>
      </c>
      <c r="W60" s="822"/>
      <c r="X60" s="823"/>
      <c r="Y60" s="823"/>
      <c r="Z60" s="823"/>
      <c r="AA60" s="812"/>
      <c r="AB60" s="822" t="s">
        <v>1167</v>
      </c>
      <c r="AC60" s="822"/>
      <c r="AD60" s="823"/>
      <c r="AE60" s="823"/>
      <c r="AF60" s="823"/>
    </row>
    <row r="61" spans="2:38">
      <c r="B61" s="808" t="s">
        <v>912</v>
      </c>
      <c r="C61" s="804"/>
      <c r="D61" s="804"/>
      <c r="E61" s="804"/>
      <c r="F61" s="752"/>
      <c r="G61" s="749">
        <f>G57-G60</f>
        <v>0</v>
      </c>
      <c r="H61" s="749">
        <f>H57-H60</f>
        <v>0</v>
      </c>
      <c r="I61" s="818"/>
      <c r="J61" s="809" t="s">
        <v>773</v>
      </c>
      <c r="K61" s="986"/>
      <c r="L61" s="986"/>
      <c r="M61" s="986"/>
      <c r="N61" s="986"/>
      <c r="O61" s="986"/>
      <c r="P61" s="986"/>
      <c r="Q61" s="810"/>
      <c r="R61" s="815">
        <f>(K61*R13)*12+K61*X13</f>
        <v>0</v>
      </c>
      <c r="S61" s="803"/>
      <c r="T61" s="812"/>
      <c r="U61" s="812"/>
      <c r="V61" s="825"/>
      <c r="W61" s="825"/>
      <c r="X61" s="826"/>
      <c r="Y61" s="826"/>
      <c r="Z61" s="826"/>
      <c r="AA61" s="812"/>
      <c r="AB61" s="825"/>
      <c r="AC61" s="825"/>
      <c r="AD61" s="826"/>
      <c r="AE61" s="826"/>
      <c r="AF61" s="826"/>
    </row>
    <row r="62" spans="2:38">
      <c r="B62" s="808" t="s">
        <v>1308</v>
      </c>
      <c r="C62" s="824"/>
      <c r="D62" s="824"/>
      <c r="E62" s="824"/>
      <c r="F62" s="753"/>
      <c r="G62" s="858" t="e">
        <f>VLOOKUP('PD and CAM'!C7,Sheet1!C4:F11,4,FALSE)</f>
        <v>#N/A</v>
      </c>
      <c r="H62" s="858" t="e">
        <f>G62</f>
        <v>#N/A</v>
      </c>
      <c r="I62" s="818"/>
      <c r="J62" s="809" t="s">
        <v>774</v>
      </c>
      <c r="K62" s="986"/>
      <c r="L62" s="986"/>
      <c r="M62" s="986"/>
      <c r="N62" s="986"/>
      <c r="O62" s="986"/>
      <c r="P62" s="986"/>
      <c r="Q62" s="810"/>
      <c r="R62" s="815">
        <f>(K62*R14)*12+K62*X14</f>
        <v>0</v>
      </c>
      <c r="S62" s="803"/>
      <c r="T62" s="812"/>
      <c r="U62" s="812"/>
      <c r="V62" s="827" t="s">
        <v>3</v>
      </c>
      <c r="W62" s="827"/>
      <c r="X62" s="828">
        <f>X60*X59</f>
        <v>0</v>
      </c>
      <c r="Y62" s="828">
        <f>Y60*Y59*50%</f>
        <v>0</v>
      </c>
      <c r="Z62" s="828">
        <f>Z60*Z59*50%</f>
        <v>0</v>
      </c>
      <c r="AA62" s="812"/>
      <c r="AB62" s="827" t="s">
        <v>3</v>
      </c>
      <c r="AC62" s="827"/>
      <c r="AD62" s="828">
        <f>AD60*AD59</f>
        <v>0</v>
      </c>
      <c r="AE62" s="828"/>
      <c r="AF62" s="828">
        <f>AF60*AF59</f>
        <v>0</v>
      </c>
    </row>
    <row r="63" spans="2:38">
      <c r="B63" s="808" t="s">
        <v>1309</v>
      </c>
      <c r="C63" s="804"/>
      <c r="D63" s="804"/>
      <c r="E63" s="804"/>
      <c r="F63" s="752"/>
      <c r="G63" s="749" t="e">
        <f>G61*G62</f>
        <v>#N/A</v>
      </c>
      <c r="H63" s="749" t="e">
        <f>H61*H62</f>
        <v>#N/A</v>
      </c>
      <c r="I63" s="818"/>
      <c r="J63" s="809" t="s">
        <v>775</v>
      </c>
      <c r="K63" s="986"/>
      <c r="L63" s="986"/>
      <c r="M63" s="986"/>
      <c r="N63" s="986"/>
      <c r="O63" s="986"/>
      <c r="P63" s="986"/>
      <c r="Q63" s="810"/>
      <c r="R63" s="815">
        <f>(K63*R15)*12+K63*X15</f>
        <v>0</v>
      </c>
      <c r="S63" s="803"/>
      <c r="T63" s="812"/>
      <c r="U63" s="812"/>
      <c r="V63" s="829"/>
      <c r="W63" s="829"/>
      <c r="X63" s="812"/>
      <c r="Y63" s="812"/>
      <c r="Z63" s="812"/>
      <c r="AA63" s="812"/>
      <c r="AB63" s="803"/>
      <c r="AC63" s="803"/>
      <c r="AD63" s="803"/>
      <c r="AE63" s="803"/>
      <c r="AF63" s="803"/>
    </row>
    <row r="64" spans="2:38">
      <c r="B64" s="808" t="s">
        <v>917</v>
      </c>
      <c r="C64" s="804"/>
      <c r="D64" s="804"/>
      <c r="E64" s="804"/>
      <c r="F64" s="752"/>
      <c r="G64" s="857">
        <f>'4. Repayment Track'!C16</f>
        <v>0</v>
      </c>
      <c r="H64" s="857">
        <f>'4. Repayment Track'!C16</f>
        <v>0</v>
      </c>
      <c r="I64" s="818"/>
      <c r="J64" s="830" t="s">
        <v>3</v>
      </c>
      <c r="K64" s="997">
        <f>SUM(K58:K63)</f>
        <v>0</v>
      </c>
      <c r="L64" s="997"/>
      <c r="M64" s="997"/>
      <c r="N64" s="997"/>
      <c r="O64" s="997"/>
      <c r="P64" s="997"/>
      <c r="Q64" s="831"/>
      <c r="R64" s="832">
        <f>SUM(R58:R63)</f>
        <v>0</v>
      </c>
      <c r="S64" s="803"/>
      <c r="T64" s="812"/>
      <c r="U64" s="812"/>
      <c r="V64" s="829"/>
      <c r="W64" s="829"/>
      <c r="X64" s="812"/>
      <c r="Y64" s="812"/>
      <c r="Z64" s="812"/>
      <c r="AA64" s="812"/>
      <c r="AB64" s="803"/>
      <c r="AC64" s="803"/>
      <c r="AD64" s="803"/>
      <c r="AE64" s="803"/>
      <c r="AF64" s="803"/>
    </row>
    <row r="65" spans="2:32">
      <c r="B65" s="808" t="s">
        <v>913</v>
      </c>
      <c r="C65" s="804"/>
      <c r="D65" s="804"/>
      <c r="E65" s="804"/>
      <c r="F65" s="752"/>
      <c r="G65" s="745">
        <f>'PD and CAM'!C11*10^5</f>
        <v>0</v>
      </c>
      <c r="H65" s="745">
        <f>G65</f>
        <v>0</v>
      </c>
      <c r="I65" s="818"/>
      <c r="S65" s="803"/>
      <c r="T65" s="812"/>
      <c r="U65" s="812"/>
      <c r="V65" s="829"/>
      <c r="W65" s="829"/>
      <c r="X65" s="812"/>
      <c r="Y65" s="812"/>
      <c r="Z65" s="812"/>
      <c r="AA65" s="812"/>
      <c r="AB65" s="803"/>
      <c r="AC65" s="803"/>
      <c r="AD65" s="803"/>
      <c r="AE65" s="803"/>
      <c r="AF65" s="803"/>
    </row>
    <row r="66" spans="2:32">
      <c r="B66" s="808" t="s">
        <v>914</v>
      </c>
      <c r="C66" s="804"/>
      <c r="D66" s="804"/>
      <c r="E66" s="804"/>
      <c r="F66" s="752"/>
      <c r="G66" s="853">
        <f>'PD and CAM'!C12</f>
        <v>0</v>
      </c>
      <c r="H66" s="853">
        <f>'PD and CAM'!C12</f>
        <v>0</v>
      </c>
      <c r="I66" s="818"/>
      <c r="S66" s="803"/>
      <c r="T66" s="812"/>
      <c r="U66" s="812"/>
      <c r="V66" s="812"/>
      <c r="W66" s="812"/>
      <c r="X66" s="812"/>
      <c r="Y66" s="812"/>
      <c r="Z66" s="812"/>
      <c r="AA66" s="812"/>
      <c r="AB66" s="803"/>
      <c r="AC66" s="803"/>
      <c r="AD66" s="803"/>
      <c r="AE66" s="803"/>
      <c r="AF66" s="803"/>
    </row>
    <row r="67" spans="2:32">
      <c r="B67" s="808" t="s">
        <v>915</v>
      </c>
      <c r="C67" s="804"/>
      <c r="D67" s="804"/>
      <c r="E67" s="804"/>
      <c r="F67" s="752"/>
      <c r="G67" s="854">
        <f>'PD and CAM'!E11</f>
        <v>0</v>
      </c>
      <c r="H67" s="854">
        <f>G67</f>
        <v>0</v>
      </c>
      <c r="I67" s="818"/>
      <c r="J67" s="812"/>
      <c r="K67" s="812"/>
      <c r="L67" s="812"/>
      <c r="M67" s="812"/>
      <c r="N67" s="812"/>
      <c r="O67" s="812"/>
      <c r="P67" s="803"/>
      <c r="Q67" s="803"/>
      <c r="R67" s="803"/>
      <c r="S67" s="803"/>
      <c r="T67" s="812"/>
      <c r="U67" s="812"/>
      <c r="V67" s="812"/>
      <c r="W67" s="812"/>
      <c r="X67" s="812"/>
      <c r="Y67" s="812"/>
      <c r="Z67" s="812"/>
      <c r="AA67" s="812"/>
      <c r="AB67" s="803"/>
      <c r="AC67" s="803"/>
      <c r="AD67" s="803"/>
      <c r="AE67" s="803"/>
      <c r="AF67" s="803"/>
    </row>
    <row r="68" spans="2:32">
      <c r="B68" s="808" t="s">
        <v>916</v>
      </c>
      <c r="C68" s="804"/>
      <c r="D68" s="804"/>
      <c r="E68" s="804"/>
      <c r="F68" s="752"/>
      <c r="G68" s="745" t="e">
        <f>PMT(G67/12,G66,-G65)</f>
        <v>#NUM!</v>
      </c>
      <c r="H68" s="745" t="e">
        <f>PMT(H67/12,H66,-H65)</f>
        <v>#NUM!</v>
      </c>
      <c r="I68" s="818"/>
      <c r="J68" s="812"/>
      <c r="K68" s="812"/>
      <c r="L68" s="812"/>
      <c r="M68" s="812"/>
      <c r="N68" s="812"/>
      <c r="O68" s="812"/>
      <c r="P68" s="803"/>
      <c r="Q68" s="803"/>
      <c r="R68" s="803"/>
      <c r="S68" s="803"/>
      <c r="T68" s="812"/>
      <c r="U68" s="812"/>
      <c r="V68" s="812"/>
      <c r="W68" s="812"/>
      <c r="X68" s="812"/>
      <c r="Y68" s="812"/>
      <c r="Z68" s="812"/>
      <c r="AA68" s="812"/>
      <c r="AB68" s="803"/>
      <c r="AC68" s="803"/>
      <c r="AD68" s="803"/>
      <c r="AE68" s="803"/>
      <c r="AF68" s="803"/>
    </row>
    <row r="69" spans="2:32">
      <c r="B69" s="833" t="s">
        <v>1323</v>
      </c>
      <c r="C69" s="833"/>
      <c r="D69" s="833"/>
      <c r="E69" s="833"/>
      <c r="F69" s="855"/>
      <c r="G69" s="746" t="e">
        <f>G63/((G64+G68)*12)</f>
        <v>#N/A</v>
      </c>
      <c r="H69" s="746" t="e">
        <f>H63/((H64+H68)*12)</f>
        <v>#N/A</v>
      </c>
      <c r="I69" s="818"/>
      <c r="J69" s="812"/>
      <c r="K69" s="812"/>
      <c r="L69" s="812"/>
      <c r="M69" s="812"/>
      <c r="N69" s="812"/>
      <c r="O69" s="812"/>
      <c r="P69" s="803"/>
      <c r="Q69" s="803"/>
      <c r="R69" s="803"/>
      <c r="S69" s="803"/>
      <c r="T69" s="812"/>
      <c r="U69" s="812"/>
      <c r="V69" s="812"/>
      <c r="W69" s="812"/>
      <c r="X69" s="812"/>
      <c r="Y69" s="812"/>
      <c r="Z69" s="812"/>
      <c r="AA69" s="812"/>
      <c r="AB69" s="803"/>
      <c r="AC69" s="803"/>
      <c r="AD69" s="803"/>
      <c r="AE69" s="803"/>
      <c r="AF69" s="803"/>
    </row>
    <row r="70" spans="2:32">
      <c r="B70" s="834" t="s">
        <v>1319</v>
      </c>
      <c r="C70" s="835"/>
      <c r="D70" s="835"/>
      <c r="E70" s="835"/>
      <c r="F70" s="856"/>
      <c r="G70" s="747"/>
      <c r="H70" s="748" t="e">
        <f>VLOOKUP('PD and CAM'!C7,Sheet1!C5:I11,7,FALSE)</f>
        <v>#N/A</v>
      </c>
      <c r="I70" s="818"/>
      <c r="J70" s="812"/>
      <c r="K70" s="812"/>
      <c r="L70" s="812"/>
      <c r="M70" s="812"/>
      <c r="N70" s="812"/>
      <c r="O70" s="812"/>
      <c r="P70" s="803"/>
      <c r="Q70" s="803"/>
      <c r="R70" s="803"/>
      <c r="S70" s="803"/>
      <c r="T70" s="812"/>
      <c r="U70" s="812"/>
      <c r="V70" s="812"/>
      <c r="W70" s="812"/>
      <c r="X70" s="812"/>
      <c r="Y70" s="812"/>
      <c r="Z70" s="812"/>
      <c r="AA70" s="812"/>
      <c r="AB70" s="803"/>
      <c r="AC70" s="803"/>
      <c r="AD70" s="803"/>
      <c r="AE70" s="803"/>
      <c r="AF70" s="803"/>
    </row>
    <row r="71" spans="2:32" ht="15.75" thickBot="1">
      <c r="H71" s="803"/>
      <c r="I71" s="818"/>
      <c r="J71" s="812"/>
      <c r="K71" s="812"/>
      <c r="L71" s="812"/>
      <c r="M71" s="812"/>
      <c r="N71" s="812"/>
      <c r="O71" s="812"/>
      <c r="P71" s="803"/>
      <c r="Q71" s="803"/>
      <c r="R71" s="803"/>
      <c r="S71" s="803"/>
      <c r="T71" s="812"/>
      <c r="U71" s="812"/>
      <c r="V71" s="812"/>
      <c r="W71" s="812"/>
      <c r="X71" s="812"/>
      <c r="Y71" s="812"/>
      <c r="Z71" s="812"/>
      <c r="AA71" s="812"/>
      <c r="AB71" s="803"/>
      <c r="AC71" s="803"/>
      <c r="AD71" s="803"/>
      <c r="AE71" s="803"/>
      <c r="AF71" s="803"/>
    </row>
    <row r="72" spans="2:32">
      <c r="H72" s="803"/>
      <c r="I72" s="818"/>
      <c r="J72" s="998" t="s">
        <v>1061</v>
      </c>
      <c r="K72" s="999"/>
      <c r="L72" s="999"/>
      <c r="M72" s="999"/>
      <c r="N72" s="999"/>
      <c r="O72" s="999"/>
      <c r="P72" s="999"/>
      <c r="Q72" s="999"/>
      <c r="R72" s="1000"/>
      <c r="S72" s="836"/>
      <c r="T72" s="812"/>
      <c r="U72" s="812"/>
      <c r="V72" s="812"/>
      <c r="W72" s="812"/>
      <c r="X72" s="812"/>
      <c r="Y72" s="812"/>
      <c r="Z72" s="812"/>
      <c r="AA72" s="812"/>
      <c r="AB72" s="803"/>
      <c r="AC72" s="803"/>
      <c r="AD72" s="803"/>
      <c r="AE72" s="803"/>
      <c r="AF72" s="803"/>
    </row>
    <row r="73" spans="2:32" ht="15.75" thickBot="1">
      <c r="B73" s="992" t="s">
        <v>923</v>
      </c>
      <c r="C73" s="992"/>
      <c r="D73" s="992"/>
      <c r="E73" s="992"/>
      <c r="F73" s="992"/>
      <c r="G73" s="992"/>
      <c r="H73" s="803"/>
      <c r="J73" s="1001" t="e">
        <f>G57/G75</f>
        <v>#DIV/0!</v>
      </c>
      <c r="K73" s="1002"/>
      <c r="L73" s="1002"/>
      <c r="M73" s="1002"/>
      <c r="N73" s="1002"/>
      <c r="O73" s="1002"/>
      <c r="P73" s="1002"/>
      <c r="Q73" s="1002"/>
      <c r="R73" s="1003"/>
      <c r="S73" s="838"/>
      <c r="T73" s="812"/>
      <c r="U73" s="812"/>
      <c r="V73" s="812"/>
      <c r="W73" s="812"/>
      <c r="X73" s="812"/>
      <c r="Y73" s="812"/>
      <c r="Z73" s="812"/>
      <c r="AA73" s="812"/>
      <c r="AB73" s="803"/>
      <c r="AC73" s="803"/>
      <c r="AD73" s="803"/>
      <c r="AE73" s="803"/>
      <c r="AF73" s="803"/>
    </row>
    <row r="74" spans="2:32" ht="15.75" thickBot="1">
      <c r="B74" s="837"/>
      <c r="C74" s="837"/>
      <c r="D74" s="837"/>
      <c r="E74" s="837"/>
      <c r="F74" s="777" t="s">
        <v>65</v>
      </c>
      <c r="G74" s="777" t="s">
        <v>64</v>
      </c>
      <c r="H74" s="803"/>
      <c r="I74" s="818"/>
      <c r="J74" s="812"/>
      <c r="K74" s="812"/>
      <c r="L74" s="812"/>
      <c r="M74" s="812"/>
      <c r="N74" s="812"/>
      <c r="O74" s="812"/>
      <c r="P74" s="803"/>
      <c r="Q74" s="803"/>
      <c r="R74" s="803"/>
      <c r="S74" s="803"/>
      <c r="T74" s="812"/>
      <c r="U74" s="812"/>
      <c r="V74" s="812"/>
      <c r="W74" s="812"/>
      <c r="X74" s="812"/>
      <c r="Y74" s="812"/>
      <c r="Z74" s="812"/>
      <c r="AA74" s="812"/>
      <c r="AB74" s="803"/>
      <c r="AC74" s="803"/>
      <c r="AD74" s="803"/>
      <c r="AE74" s="803"/>
      <c r="AF74" s="803"/>
    </row>
    <row r="75" spans="2:32">
      <c r="B75" s="837" t="s">
        <v>778</v>
      </c>
      <c r="C75" s="837"/>
      <c r="D75" s="837"/>
      <c r="E75" s="837"/>
      <c r="F75" s="848">
        <f>('3. Financials - School 1'!C8+'3. Financials - School 12'!C8)*100000</f>
        <v>0</v>
      </c>
      <c r="G75" s="848">
        <f>('3. Financials - School 1'!D8+'3. Financials - School 12'!D8)*100000</f>
        <v>0</v>
      </c>
      <c r="H75" s="803"/>
      <c r="I75" s="803"/>
      <c r="J75" s="998" t="s">
        <v>1063</v>
      </c>
      <c r="K75" s="999"/>
      <c r="L75" s="999"/>
      <c r="M75" s="999"/>
      <c r="N75" s="999"/>
      <c r="O75" s="999"/>
      <c r="P75" s="999"/>
      <c r="Q75" s="999"/>
      <c r="R75" s="1000"/>
      <c r="S75" s="836"/>
      <c r="T75" s="807"/>
      <c r="U75" s="807"/>
      <c r="V75" s="807"/>
      <c r="W75" s="807"/>
      <c r="X75" s="807"/>
      <c r="Y75" s="807"/>
      <c r="Z75" s="839"/>
      <c r="AA75" s="839"/>
      <c r="AB75" s="840"/>
      <c r="AC75" s="840"/>
      <c r="AD75" s="840"/>
      <c r="AE75" s="840"/>
      <c r="AF75" s="841"/>
    </row>
    <row r="76" spans="2:32" ht="15.75" thickBot="1">
      <c r="B76" s="837" t="s">
        <v>921</v>
      </c>
      <c r="C76" s="837"/>
      <c r="D76" s="837"/>
      <c r="E76" s="837"/>
      <c r="F76" s="996" t="e">
        <f>G75/F75-100%</f>
        <v>#DIV/0!</v>
      </c>
      <c r="G76" s="996"/>
      <c r="H76" s="803"/>
      <c r="I76" s="803"/>
      <c r="J76" s="983" t="e">
        <f>(SUM('4. Banking Assessment'!R4:S6)*10^5/'Cashflow and Elligibility'!G75)</f>
        <v>#DIV/0!</v>
      </c>
      <c r="K76" s="984"/>
      <c r="L76" s="984"/>
      <c r="M76" s="984"/>
      <c r="N76" s="984"/>
      <c r="O76" s="984"/>
      <c r="P76" s="984"/>
      <c r="Q76" s="984"/>
      <c r="R76" s="985"/>
      <c r="S76" s="844"/>
      <c r="T76" s="803"/>
      <c r="U76" s="803"/>
      <c r="V76" s="803"/>
      <c r="W76" s="803"/>
      <c r="X76" s="803"/>
      <c r="Y76" s="803"/>
      <c r="Z76" s="803"/>
      <c r="AA76" s="803"/>
      <c r="AB76" s="803"/>
      <c r="AC76" s="803"/>
      <c r="AD76" s="803"/>
      <c r="AE76" s="803"/>
      <c r="AF76" s="803"/>
    </row>
    <row r="77" spans="2:32">
      <c r="B77" s="842" t="s">
        <v>1328</v>
      </c>
      <c r="C77" s="842"/>
      <c r="D77" s="842"/>
      <c r="E77" s="842"/>
      <c r="F77" s="849"/>
      <c r="G77" s="850">
        <f>('3. Financials - School 1'!D24+'3. Financials - School 12'!D24)*10^5</f>
        <v>0</v>
      </c>
      <c r="H77" s="843"/>
      <c r="I77" s="803"/>
      <c r="J77" s="844"/>
      <c r="K77" s="844"/>
      <c r="L77" s="844"/>
      <c r="M77" s="844"/>
      <c r="N77" s="844"/>
      <c r="O77" s="844"/>
      <c r="P77" s="844"/>
      <c r="Q77" s="844"/>
      <c r="R77" s="844"/>
      <c r="S77" s="844"/>
      <c r="T77" s="803"/>
      <c r="U77" s="803"/>
      <c r="V77" s="803"/>
      <c r="W77" s="803"/>
      <c r="X77" s="803"/>
      <c r="Y77" s="803"/>
      <c r="Z77" s="803"/>
      <c r="AA77" s="803"/>
      <c r="AB77" s="803"/>
      <c r="AC77" s="803"/>
      <c r="AD77" s="803"/>
      <c r="AE77" s="803"/>
      <c r="AF77" s="803"/>
    </row>
    <row r="78" spans="2:32">
      <c r="B78" s="845" t="s">
        <v>1330</v>
      </c>
      <c r="C78" s="845"/>
      <c r="D78" s="845"/>
      <c r="E78" s="845"/>
      <c r="F78" s="747"/>
      <c r="G78" s="885" t="e">
        <f>G77/G75</f>
        <v>#DIV/0!</v>
      </c>
      <c r="H78" s="84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row>
    <row r="79" spans="2:32">
      <c r="B79" s="842" t="s">
        <v>922</v>
      </c>
      <c r="C79" s="842"/>
      <c r="D79" s="842"/>
      <c r="E79" s="842"/>
      <c r="F79" s="752"/>
      <c r="G79" s="851">
        <f>H64</f>
        <v>0</v>
      </c>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803"/>
      <c r="AF79" s="803"/>
    </row>
    <row r="80" spans="2:32">
      <c r="B80" s="804" t="s">
        <v>913</v>
      </c>
      <c r="C80" s="804"/>
      <c r="D80" s="804"/>
      <c r="E80" s="804"/>
      <c r="F80" s="849"/>
      <c r="G80" s="745">
        <f>G65</f>
        <v>0</v>
      </c>
      <c r="H80" s="803"/>
    </row>
    <row r="81" spans="2:7">
      <c r="B81" s="846" t="s">
        <v>776</v>
      </c>
      <c r="C81" s="846"/>
      <c r="D81" s="846"/>
      <c r="E81" s="846"/>
      <c r="F81" s="752"/>
      <c r="G81" s="756">
        <f>'PD and CAM'!C12</f>
        <v>0</v>
      </c>
    </row>
    <row r="82" spans="2:7">
      <c r="B82" s="846" t="s">
        <v>777</v>
      </c>
      <c r="C82" s="846"/>
      <c r="D82" s="846"/>
      <c r="E82" s="846"/>
      <c r="F82" s="752"/>
      <c r="G82" s="755">
        <f>'PD and CAM'!E11</f>
        <v>0</v>
      </c>
    </row>
    <row r="83" spans="2:7">
      <c r="B83" s="804" t="s">
        <v>916</v>
      </c>
      <c r="C83" s="804"/>
      <c r="D83" s="804"/>
      <c r="E83" s="804"/>
      <c r="F83" s="849"/>
      <c r="G83" s="745" t="e">
        <f>PMT(G82/12,G81,-G80)</f>
        <v>#NUM!</v>
      </c>
    </row>
    <row r="84" spans="2:7">
      <c r="B84" s="833" t="s">
        <v>1324</v>
      </c>
      <c r="C84" s="833"/>
      <c r="D84" s="833"/>
      <c r="E84" s="833"/>
      <c r="F84" s="852"/>
      <c r="G84" s="746" t="e">
        <f>G77/((G79+G83)*12)</f>
        <v>#NUM!</v>
      </c>
    </row>
    <row r="111" spans="2:6">
      <c r="B111" s="847"/>
      <c r="C111" s="847"/>
      <c r="D111" s="847"/>
      <c r="E111" s="847"/>
      <c r="F111" s="847"/>
    </row>
    <row r="112" spans="2:6">
      <c r="B112" s="847"/>
      <c r="C112" s="847"/>
      <c r="D112" s="847"/>
      <c r="E112" s="847"/>
      <c r="F112" s="847"/>
    </row>
    <row r="113" spans="2:6">
      <c r="B113" s="847"/>
      <c r="C113" s="847"/>
      <c r="D113" s="847"/>
      <c r="E113" s="847"/>
      <c r="F113" s="847"/>
    </row>
    <row r="114" spans="2:6">
      <c r="B114" s="847"/>
      <c r="C114" s="847"/>
      <c r="D114" s="847"/>
      <c r="E114" s="847"/>
      <c r="F114" s="847"/>
    </row>
  </sheetData>
  <sheetProtection password="E03D" sheet="1" objects="1" scenarios="1" formatCells="0" formatColumns="0" formatRows="0" insertColumns="0" insertRows="0"/>
  <mergeCells count="48">
    <mergeCell ref="AJ32:AL32"/>
    <mergeCell ref="F51:K51"/>
    <mergeCell ref="P51:Z51"/>
    <mergeCell ref="AA51:AL51"/>
    <mergeCell ref="AA32:AC32"/>
    <mergeCell ref="AD32:AF32"/>
    <mergeCell ref="AG32:AI32"/>
    <mergeCell ref="K60:P60"/>
    <mergeCell ref="K61:P61"/>
    <mergeCell ref="F31:H31"/>
    <mergeCell ref="I31:K31"/>
    <mergeCell ref="L31:N31"/>
    <mergeCell ref="O31:R31"/>
    <mergeCell ref="AJ10:AL10"/>
    <mergeCell ref="S31:V31"/>
    <mergeCell ref="W31:Z31"/>
    <mergeCell ref="O9:R9"/>
    <mergeCell ref="AA27:AL27"/>
    <mergeCell ref="S9:V9"/>
    <mergeCell ref="W9:Z9"/>
    <mergeCell ref="AD10:AF10"/>
    <mergeCell ref="AA10:AC10"/>
    <mergeCell ref="P27:Z27"/>
    <mergeCell ref="AG10:AI10"/>
    <mergeCell ref="B73:G73"/>
    <mergeCell ref="F76:G76"/>
    <mergeCell ref="K62:P62"/>
    <mergeCell ref="K63:P63"/>
    <mergeCell ref="K64:P64"/>
    <mergeCell ref="J72:R72"/>
    <mergeCell ref="J73:R73"/>
    <mergeCell ref="J75:R75"/>
    <mergeCell ref="I3:K3"/>
    <mergeCell ref="L3:N3"/>
    <mergeCell ref="O3:Q3"/>
    <mergeCell ref="R3:T3"/>
    <mergeCell ref="J76:R76"/>
    <mergeCell ref="K58:P58"/>
    <mergeCell ref="K59:P59"/>
    <mergeCell ref="I9:K9"/>
    <mergeCell ref="F27:K27"/>
    <mergeCell ref="B7:G7"/>
    <mergeCell ref="F9:H9"/>
    <mergeCell ref="L9:N9"/>
    <mergeCell ref="C9:E9"/>
    <mergeCell ref="K57:P57"/>
    <mergeCell ref="J56:R56"/>
    <mergeCell ref="C31:E31"/>
  </mergeCells>
  <conditionalFormatting sqref="H70">
    <cfRule type="containsText" dxfId="1" priority="1" operator="containsText" text="DSCR Not Met">
      <formula>NOT(ISERROR(SEARCH("DSCR Not Met",H70)))</formula>
    </cfRule>
    <cfRule type="containsText" dxfId="0" priority="2" operator="containsText" text="DSCR Met">
      <formula>NOT(ISERROR(SEARCH("DSCR Met",H70)))</formula>
    </cfRule>
  </conditionalFormatting>
  <printOptions horizontalCentered="1"/>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3:I11"/>
  <sheetViews>
    <sheetView topLeftCell="A1048576" workbookViewId="0">
      <selection sqref="A1:XFD1048576"/>
    </sheetView>
  </sheetViews>
  <sheetFormatPr defaultRowHeight="15" zeroHeight="1"/>
  <cols>
    <col min="1" max="2" width="9.140625" style="859"/>
    <col min="3" max="3" width="28" style="859" bestFit="1" customWidth="1"/>
    <col min="4" max="8" width="9.140625" style="859"/>
    <col min="9" max="9" width="11" style="859" bestFit="1" customWidth="1"/>
    <col min="10" max="16384" width="9.140625" style="859"/>
  </cols>
  <sheetData>
    <row r="3" spans="3:9" hidden="1">
      <c r="D3" s="859" t="s">
        <v>766</v>
      </c>
      <c r="E3" s="859" t="s">
        <v>1314</v>
      </c>
      <c r="F3" s="859" t="s">
        <v>1315</v>
      </c>
      <c r="G3" s="859" t="s">
        <v>1180</v>
      </c>
    </row>
    <row r="4" spans="3:9" hidden="1">
      <c r="C4" s="859" t="s">
        <v>618</v>
      </c>
    </row>
    <row r="5" spans="3:9" hidden="1">
      <c r="C5" s="859" t="s">
        <v>1310</v>
      </c>
      <c r="D5" s="859">
        <v>1.1000000000000001</v>
      </c>
      <c r="E5" s="860">
        <v>0.9</v>
      </c>
      <c r="F5" s="861" t="e">
        <f>('3. Financials - School 1'!D24+'3. Financials - School 12'!D24)/('3. Financials - School 12'!D5+'3. Financials - School 1'!D5)</f>
        <v>#DIV/0!</v>
      </c>
      <c r="G5" s="859">
        <v>100</v>
      </c>
      <c r="H5" s="862" t="e">
        <f>'Cashflow and Elligibility'!$H$69</f>
        <v>#N/A</v>
      </c>
      <c r="I5" s="862" t="e">
        <f>IF(H5&gt;=D5,"DSCR Met","DSCR Not Met")</f>
        <v>#N/A</v>
      </c>
    </row>
    <row r="6" spans="3:9" hidden="1">
      <c r="C6" s="859" t="s">
        <v>1311</v>
      </c>
      <c r="D6" s="859">
        <v>1.2</v>
      </c>
      <c r="E6" s="860">
        <v>0.8</v>
      </c>
      <c r="F6" s="861" t="e">
        <f>F5</f>
        <v>#DIV/0!</v>
      </c>
      <c r="G6" s="859">
        <v>50</v>
      </c>
      <c r="H6" s="862" t="e">
        <f>'Cashflow and Elligibility'!$H$69</f>
        <v>#N/A</v>
      </c>
      <c r="I6" s="862" t="e">
        <f t="shared" ref="I6:I11" si="0">IF(H6&gt;=D6,"DSCR Met","DSCR Not Met")</f>
        <v>#N/A</v>
      </c>
    </row>
    <row r="7" spans="3:9" hidden="1">
      <c r="C7" s="859" t="s">
        <v>1312</v>
      </c>
      <c r="D7" s="859">
        <v>1.2</v>
      </c>
      <c r="E7" s="860">
        <v>0.7</v>
      </c>
      <c r="F7" s="861">
        <v>0.3</v>
      </c>
      <c r="G7" s="859">
        <v>30</v>
      </c>
      <c r="H7" s="862" t="e">
        <f>'Cashflow and Elligibility'!$H$69</f>
        <v>#N/A</v>
      </c>
      <c r="I7" s="862" t="e">
        <f t="shared" si="0"/>
        <v>#N/A</v>
      </c>
    </row>
    <row r="8" spans="3:9" hidden="1">
      <c r="C8" s="859" t="s">
        <v>1313</v>
      </c>
      <c r="D8" s="859">
        <v>1.2</v>
      </c>
      <c r="E8" s="860">
        <v>0.7</v>
      </c>
      <c r="F8" s="861">
        <v>0.3</v>
      </c>
      <c r="H8" s="862" t="e">
        <f>'Cashflow and Elligibility'!$H$69</f>
        <v>#N/A</v>
      </c>
      <c r="I8" s="862" t="e">
        <f t="shared" si="0"/>
        <v>#N/A</v>
      </c>
    </row>
    <row r="9" spans="3:9" hidden="1">
      <c r="C9" s="859" t="s">
        <v>1316</v>
      </c>
      <c r="D9" s="859">
        <v>1.1000000000000001</v>
      </c>
      <c r="E9" s="860">
        <v>0.9</v>
      </c>
      <c r="F9" s="861">
        <v>0.45</v>
      </c>
      <c r="H9" s="862" t="e">
        <f>'Cashflow and Elligibility'!$H$69</f>
        <v>#N/A</v>
      </c>
      <c r="I9" s="862" t="e">
        <f t="shared" si="0"/>
        <v>#N/A</v>
      </c>
    </row>
    <row r="10" spans="3:9" hidden="1">
      <c r="C10" s="859" t="s">
        <v>1317</v>
      </c>
      <c r="D10" s="859">
        <v>1.2</v>
      </c>
      <c r="E10" s="860">
        <v>0.8</v>
      </c>
      <c r="F10" s="861">
        <v>0.4</v>
      </c>
      <c r="H10" s="862" t="e">
        <f>'Cashflow and Elligibility'!$H$69</f>
        <v>#N/A</v>
      </c>
      <c r="I10" s="862" t="e">
        <f t="shared" si="0"/>
        <v>#N/A</v>
      </c>
    </row>
    <row r="11" spans="3:9" hidden="1">
      <c r="C11" s="859" t="s">
        <v>1318</v>
      </c>
      <c r="D11" s="859">
        <v>1.25</v>
      </c>
      <c r="E11" s="860">
        <v>0.7</v>
      </c>
      <c r="F11" s="861">
        <v>0.3</v>
      </c>
      <c r="H11" s="862" t="e">
        <f>'Cashflow and Elligibility'!$H$69</f>
        <v>#N/A</v>
      </c>
      <c r="I11" s="862" t="e">
        <f t="shared" si="0"/>
        <v>#N/A</v>
      </c>
    </row>
  </sheetData>
  <sheetProtection algorithmName="SHA-512" hashValue="Cxriq7NLT74WX5x2cVhZZXF5MArG2D+RQvlwMN9dROt7g4j2JC7PTAyW23uKsO8Ks1meA9Fc1vdxejIWCM5I4w==" saltValue="Lq3mgiHPIP/2jKOjmisIyw==" spinCount="100000" sheet="1" objects="1" scenarios="1"/>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17"/>
  </sheetPr>
  <dimension ref="A1:SP131"/>
  <sheetViews>
    <sheetView zoomScaleNormal="100" workbookViewId="0"/>
  </sheetViews>
  <sheetFormatPr defaultColWidth="0" defaultRowHeight="12" zeroHeight="1"/>
  <cols>
    <col min="1" max="1" width="63.140625" style="373" customWidth="1"/>
    <col min="2" max="2" width="20.42578125" style="390" customWidth="1"/>
    <col min="3" max="3" width="21" style="390" customWidth="1"/>
    <col min="4" max="4" width="21.42578125" style="390" customWidth="1"/>
    <col min="5" max="5" width="38.140625" style="417" customWidth="1"/>
    <col min="6" max="510" width="0" style="352" hidden="1" customWidth="1"/>
    <col min="511" max="16384" width="9.140625" style="352" hidden="1"/>
  </cols>
  <sheetData>
    <row r="1" spans="1:5" s="355" customFormat="1">
      <c r="A1" s="353"/>
      <c r="B1" s="354"/>
      <c r="C1" s="354"/>
      <c r="D1" s="354"/>
    </row>
    <row r="2" spans="1:5" s="355" customFormat="1" ht="18.75">
      <c r="A2" s="439">
        <f>'PD and CAM'!C34</f>
        <v>0</v>
      </c>
      <c r="B2" s="354" t="s">
        <v>1329</v>
      </c>
      <c r="C2" s="359"/>
      <c r="D2" s="359"/>
      <c r="E2" s="358"/>
    </row>
    <row r="3" spans="1:5">
      <c r="A3" s="360"/>
      <c r="B3" s="361" t="s">
        <v>950</v>
      </c>
      <c r="C3" s="361" t="s">
        <v>950</v>
      </c>
      <c r="D3" s="362" t="s">
        <v>950</v>
      </c>
      <c r="E3" s="363" t="s">
        <v>1057</v>
      </c>
    </row>
    <row r="4" spans="1:5">
      <c r="A4" s="364" t="s">
        <v>951</v>
      </c>
      <c r="B4" s="365">
        <v>42460</v>
      </c>
      <c r="C4" s="365">
        <v>42825</v>
      </c>
      <c r="D4" s="366">
        <v>43190</v>
      </c>
      <c r="E4" s="365"/>
    </row>
    <row r="5" spans="1:5">
      <c r="A5" s="367" t="s">
        <v>952</v>
      </c>
      <c r="B5" s="444"/>
      <c r="C5" s="444"/>
      <c r="D5" s="444"/>
      <c r="E5" s="368"/>
    </row>
    <row r="6" spans="1:5">
      <c r="A6" s="367" t="s">
        <v>953</v>
      </c>
      <c r="B6" s="444"/>
      <c r="C6" s="442"/>
      <c r="D6" s="444"/>
      <c r="E6" s="368"/>
    </row>
    <row r="7" spans="1:5">
      <c r="A7" s="367" t="s">
        <v>954</v>
      </c>
      <c r="B7" s="368"/>
      <c r="C7" s="438"/>
      <c r="D7" s="440"/>
      <c r="E7" s="368"/>
    </row>
    <row r="8" spans="1:5">
      <c r="A8" s="360" t="s">
        <v>955</v>
      </c>
      <c r="B8" s="356">
        <f>SUM(B5:B7)</f>
        <v>0</v>
      </c>
      <c r="C8" s="356">
        <f>SUM(C5:C7)</f>
        <v>0</v>
      </c>
      <c r="D8" s="370">
        <f>SUM(D5:D7)</f>
        <v>0</v>
      </c>
      <c r="E8" s="356"/>
    </row>
    <row r="9" spans="1:5">
      <c r="A9" s="360" t="s">
        <v>956</v>
      </c>
      <c r="B9" s="356">
        <f>B10+B11-B12+B13+B14</f>
        <v>0</v>
      </c>
      <c r="C9" s="356">
        <f>C10+C11-C12+C13+C14</f>
        <v>0</v>
      </c>
      <c r="D9" s="370">
        <f>D10+D11-D12+D13+D14</f>
        <v>0</v>
      </c>
      <c r="E9" s="356"/>
    </row>
    <row r="10" spans="1:5">
      <c r="A10" s="367" t="s">
        <v>957</v>
      </c>
      <c r="B10" s="368"/>
      <c r="C10" s="371"/>
      <c r="D10" s="372"/>
      <c r="E10" s="371"/>
    </row>
    <row r="11" spans="1:5">
      <c r="A11" s="367" t="s">
        <v>958</v>
      </c>
      <c r="B11" s="368"/>
      <c r="C11" s="368"/>
      <c r="D11" s="369"/>
      <c r="E11" s="368"/>
    </row>
    <row r="12" spans="1:5">
      <c r="A12" s="367" t="s">
        <v>959</v>
      </c>
      <c r="B12" s="368"/>
      <c r="C12" s="368"/>
      <c r="D12" s="369"/>
      <c r="E12" s="368"/>
    </row>
    <row r="13" spans="1:5">
      <c r="A13" s="367" t="s">
        <v>960</v>
      </c>
      <c r="B13" s="368"/>
      <c r="C13" s="368"/>
      <c r="D13" s="369"/>
      <c r="E13" s="368"/>
    </row>
    <row r="14" spans="1:5">
      <c r="A14" s="367" t="s">
        <v>961</v>
      </c>
      <c r="B14" s="368"/>
      <c r="C14" s="368"/>
      <c r="D14" s="369"/>
      <c r="E14" s="368"/>
    </row>
    <row r="15" spans="1:5">
      <c r="A15" s="360" t="s">
        <v>962</v>
      </c>
      <c r="B15" s="356">
        <f>B8-B9</f>
        <v>0</v>
      </c>
      <c r="C15" s="356">
        <f>C8-C9</f>
        <v>0</v>
      </c>
      <c r="D15" s="370">
        <f>D8-D9</f>
        <v>0</v>
      </c>
      <c r="E15" s="356"/>
    </row>
    <row r="16" spans="1:5">
      <c r="A16" s="360" t="s">
        <v>963</v>
      </c>
      <c r="B16" s="356">
        <f>B8-B9-B7</f>
        <v>0</v>
      </c>
      <c r="C16" s="356">
        <f>C8-C9-C7</f>
        <v>0</v>
      </c>
      <c r="D16" s="370">
        <f>D8-D9-D7</f>
        <v>0</v>
      </c>
      <c r="E16" s="356"/>
    </row>
    <row r="17" spans="1:5">
      <c r="A17" s="367" t="s">
        <v>964</v>
      </c>
      <c r="B17" s="444"/>
      <c r="C17" s="445"/>
      <c r="D17" s="445"/>
      <c r="E17" s="368"/>
    </row>
    <row r="18" spans="1:5">
      <c r="A18" s="367" t="s">
        <v>965</v>
      </c>
      <c r="B18" s="444"/>
      <c r="C18" s="445"/>
      <c r="D18" s="445"/>
      <c r="E18" s="368"/>
    </row>
    <row r="19" spans="1:5">
      <c r="A19" s="367" t="s">
        <v>966</v>
      </c>
      <c r="B19" s="444"/>
      <c r="C19" s="445"/>
      <c r="D19" s="445"/>
      <c r="E19" s="368"/>
    </row>
    <row r="20" spans="1:5">
      <c r="A20" s="367" t="s">
        <v>967</v>
      </c>
      <c r="B20" s="369"/>
      <c r="C20" s="368"/>
      <c r="D20" s="368"/>
      <c r="E20" s="368"/>
    </row>
    <row r="21" spans="1:5">
      <c r="A21" s="367" t="s">
        <v>968</v>
      </c>
      <c r="B21" s="369"/>
      <c r="C21" s="368"/>
      <c r="D21" s="368"/>
      <c r="E21" s="368"/>
    </row>
    <row r="22" spans="1:5">
      <c r="A22" s="360" t="s">
        <v>969</v>
      </c>
      <c r="B22" s="356">
        <f>B16-SUM(B17:B21)</f>
        <v>0</v>
      </c>
      <c r="C22" s="356">
        <f>C16-SUM(C17:C21)</f>
        <v>0</v>
      </c>
      <c r="D22" s="370">
        <f>D16-SUM(D17:D21)</f>
        <v>0</v>
      </c>
      <c r="E22" s="356"/>
    </row>
    <row r="23" spans="1:5">
      <c r="A23" s="367" t="s">
        <v>970</v>
      </c>
      <c r="B23" s="368"/>
      <c r="C23" s="368"/>
      <c r="D23" s="369"/>
      <c r="E23" s="368"/>
    </row>
    <row r="24" spans="1:5">
      <c r="A24" s="360" t="s">
        <v>971</v>
      </c>
      <c r="B24" s="356">
        <f>B22-B23</f>
        <v>0</v>
      </c>
      <c r="C24" s="356">
        <f>C22-C23</f>
        <v>0</v>
      </c>
      <c r="D24" s="370">
        <f>D22-D23</f>
        <v>0</v>
      </c>
      <c r="E24" s="356"/>
    </row>
    <row r="25" spans="1:5">
      <c r="A25" s="367" t="s">
        <v>972</v>
      </c>
      <c r="B25" s="368"/>
      <c r="C25" s="438"/>
      <c r="D25" s="440"/>
      <c r="E25" s="368"/>
    </row>
    <row r="26" spans="1:5">
      <c r="A26" s="367" t="s">
        <v>973</v>
      </c>
      <c r="B26" s="438"/>
      <c r="C26" s="440"/>
      <c r="D26" s="440"/>
      <c r="E26" s="368"/>
    </row>
    <row r="27" spans="1:5">
      <c r="A27" s="367" t="s">
        <v>4</v>
      </c>
      <c r="B27" s="438"/>
      <c r="C27" s="440"/>
      <c r="D27" s="440"/>
      <c r="E27" s="368"/>
    </row>
    <row r="28" spans="1:5">
      <c r="A28" s="367" t="s">
        <v>974</v>
      </c>
      <c r="B28" s="438"/>
      <c r="C28" s="440"/>
      <c r="D28" s="440"/>
      <c r="E28" s="368"/>
    </row>
    <row r="29" spans="1:5">
      <c r="A29" s="367" t="s">
        <v>975</v>
      </c>
      <c r="B29" s="368"/>
      <c r="C29" s="438"/>
      <c r="D29" s="440"/>
      <c r="E29" s="368"/>
    </row>
    <row r="30" spans="1:5">
      <c r="A30" s="367" t="s">
        <v>976</v>
      </c>
      <c r="B30" s="368"/>
      <c r="C30" s="438"/>
      <c r="D30" s="441"/>
      <c r="E30" s="368"/>
    </row>
    <row r="31" spans="1:5">
      <c r="A31" s="367" t="s">
        <v>977</v>
      </c>
      <c r="B31" s="368"/>
      <c r="C31" s="438"/>
      <c r="D31" s="440"/>
      <c r="E31" s="368"/>
    </row>
    <row r="32" spans="1:5">
      <c r="A32" s="360" t="s">
        <v>978</v>
      </c>
      <c r="B32" s="356">
        <f>B24-SUM(B25:B31)+B7</f>
        <v>0</v>
      </c>
      <c r="C32" s="356">
        <f>C24-SUM(C25:C31)+C7</f>
        <v>0</v>
      </c>
      <c r="D32" s="370">
        <f>D24-SUM(D25:D31)+D7</f>
        <v>0</v>
      </c>
      <c r="E32" s="356"/>
    </row>
    <row r="33" spans="1:6">
      <c r="A33" s="360" t="s">
        <v>979</v>
      </c>
      <c r="B33" s="356">
        <f>B24-SUM(B25:B31)</f>
        <v>0</v>
      </c>
      <c r="C33" s="356">
        <f>C24-SUM(C25:C31)</f>
        <v>0</v>
      </c>
      <c r="D33" s="370">
        <f>D24-SUM(D25:D31)</f>
        <v>0</v>
      </c>
      <c r="E33" s="356"/>
    </row>
    <row r="34" spans="1:6">
      <c r="A34" s="367" t="s">
        <v>980</v>
      </c>
      <c r="B34" s="438">
        <v>0</v>
      </c>
      <c r="C34" s="440">
        <v>0</v>
      </c>
      <c r="D34" s="440">
        <v>0</v>
      </c>
      <c r="E34" s="368"/>
    </row>
    <row r="35" spans="1:6">
      <c r="A35" s="360" t="s">
        <v>981</v>
      </c>
      <c r="B35" s="356">
        <f>B32-B34</f>
        <v>0</v>
      </c>
      <c r="C35" s="356">
        <f>C32-C34</f>
        <v>0</v>
      </c>
      <c r="D35" s="370">
        <f>D32-D34</f>
        <v>0</v>
      </c>
      <c r="E35" s="356"/>
    </row>
    <row r="36" spans="1:6">
      <c r="A36" s="360" t="s">
        <v>982</v>
      </c>
      <c r="B36" s="356">
        <f>B33-B34</f>
        <v>0</v>
      </c>
      <c r="C36" s="356">
        <f>C33-C34</f>
        <v>0</v>
      </c>
      <c r="D36" s="370">
        <f>D33-D34</f>
        <v>0</v>
      </c>
      <c r="E36" s="356"/>
    </row>
    <row r="37" spans="1:6">
      <c r="A37" s="360" t="s">
        <v>983</v>
      </c>
      <c r="B37" s="356">
        <f>B36+B27+B29</f>
        <v>0</v>
      </c>
      <c r="C37" s="356">
        <f>C36+C27+C29</f>
        <v>0</v>
      </c>
      <c r="D37" s="370">
        <f>D36+D27+D29</f>
        <v>0</v>
      </c>
      <c r="E37" s="356"/>
    </row>
    <row r="38" spans="1:6">
      <c r="A38" s="360" t="s">
        <v>984</v>
      </c>
      <c r="B38" s="356">
        <f>B37+B30+B31</f>
        <v>0</v>
      </c>
      <c r="C38" s="356">
        <f>C37+C30+C31</f>
        <v>0</v>
      </c>
      <c r="D38" s="370">
        <f>D37+D30+D31</f>
        <v>0</v>
      </c>
      <c r="E38" s="356"/>
    </row>
    <row r="39" spans="1:6" s="376" customFormat="1">
      <c r="A39" s="373"/>
      <c r="B39" s="374"/>
      <c r="C39" s="374"/>
      <c r="D39" s="374"/>
      <c r="E39" s="375"/>
    </row>
    <row r="40" spans="1:6">
      <c r="A40" s="360"/>
      <c r="B40" s="361" t="s">
        <v>950</v>
      </c>
      <c r="C40" s="361" t="s">
        <v>950</v>
      </c>
      <c r="D40" s="362" t="s">
        <v>950</v>
      </c>
      <c r="E40" s="363" t="s">
        <v>1057</v>
      </c>
    </row>
    <row r="41" spans="1:6">
      <c r="A41" s="364" t="s">
        <v>985</v>
      </c>
      <c r="B41" s="365">
        <f>B4</f>
        <v>42460</v>
      </c>
      <c r="C41" s="365">
        <f>C4</f>
        <v>42825</v>
      </c>
      <c r="D41" s="365">
        <f>D4</f>
        <v>43190</v>
      </c>
      <c r="E41" s="365"/>
    </row>
    <row r="42" spans="1:6" s="376" customFormat="1">
      <c r="A42" s="364" t="s">
        <v>505</v>
      </c>
      <c r="B42" s="377"/>
      <c r="C42" s="377"/>
      <c r="D42" s="378"/>
      <c r="E42" s="377"/>
    </row>
    <row r="43" spans="1:6">
      <c r="A43" s="379" t="s">
        <v>986</v>
      </c>
      <c r="B43" s="444"/>
      <c r="C43" s="445"/>
      <c r="D43" s="445"/>
      <c r="E43" s="380"/>
    </row>
    <row r="44" spans="1:6">
      <c r="A44" s="379" t="s">
        <v>987</v>
      </c>
      <c r="B44" s="380"/>
      <c r="C44" s="442"/>
      <c r="D44" s="443"/>
      <c r="E44" s="380"/>
    </row>
    <row r="45" spans="1:6" s="382" customFormat="1">
      <c r="A45" s="360" t="s">
        <v>988</v>
      </c>
      <c r="B45" s="356">
        <f>SUM(B43:B44)</f>
        <v>0</v>
      </c>
      <c r="C45" s="356">
        <f>SUM(C43:C44)</f>
        <v>0</v>
      </c>
      <c r="D45" s="370">
        <f>SUM(D43:D44)</f>
        <v>0</v>
      </c>
      <c r="E45" s="356"/>
      <c r="F45" s="381"/>
    </row>
    <row r="46" spans="1:6" s="383" customFormat="1">
      <c r="A46" s="360"/>
      <c r="B46" s="356"/>
      <c r="C46" s="356"/>
      <c r="D46" s="370"/>
      <c r="E46" s="356"/>
    </row>
    <row r="47" spans="1:6">
      <c r="A47" s="379" t="s">
        <v>989</v>
      </c>
      <c r="B47" s="380"/>
      <c r="C47" s="380"/>
      <c r="D47" s="384"/>
      <c r="E47" s="380"/>
    </row>
    <row r="48" spans="1:6" s="383" customFormat="1">
      <c r="A48" s="360" t="s">
        <v>990</v>
      </c>
      <c r="B48" s="356">
        <f>B45+B47-B69-B72-B79-B80</f>
        <v>0</v>
      </c>
      <c r="C48" s="356">
        <f>C45+C47-C69-C72-C79-C80</f>
        <v>0</v>
      </c>
      <c r="D48" s="356">
        <f>D45+D47-D69-D72-D79-D80</f>
        <v>0</v>
      </c>
      <c r="E48" s="356"/>
    </row>
    <row r="49" spans="1:6">
      <c r="A49" s="379" t="s">
        <v>991</v>
      </c>
      <c r="B49" s="384"/>
      <c r="C49" s="442"/>
      <c r="D49" s="443"/>
      <c r="E49" s="380"/>
    </row>
    <row r="50" spans="1:6">
      <c r="A50" s="379" t="s">
        <v>992</v>
      </c>
      <c r="B50" s="368"/>
      <c r="C50" s="442"/>
      <c r="D50" s="443"/>
      <c r="E50" s="380"/>
    </row>
    <row r="51" spans="1:6">
      <c r="A51" s="379" t="s">
        <v>993</v>
      </c>
      <c r="B51" s="368"/>
      <c r="C51" s="442"/>
      <c r="D51" s="443"/>
      <c r="E51" s="380"/>
    </row>
    <row r="52" spans="1:6">
      <c r="A52" s="379" t="s">
        <v>994</v>
      </c>
      <c r="B52" s="368"/>
      <c r="C52" s="442"/>
      <c r="D52" s="443"/>
      <c r="E52" s="380"/>
    </row>
    <row r="53" spans="1:6" s="382" customFormat="1">
      <c r="A53" s="360" t="s">
        <v>995</v>
      </c>
      <c r="B53" s="356">
        <f>SUM(B49:B52)</f>
        <v>0</v>
      </c>
      <c r="C53" s="356">
        <f>SUM(C49:C52)</f>
        <v>0</v>
      </c>
      <c r="D53" s="370">
        <f>SUM(D49:D52)</f>
        <v>0</v>
      </c>
      <c r="E53" s="356"/>
      <c r="F53" s="381"/>
    </row>
    <row r="54" spans="1:6" s="382" customFormat="1">
      <c r="A54" s="360" t="s">
        <v>996</v>
      </c>
      <c r="B54" s="356">
        <f>SUM(B55:B58)</f>
        <v>0</v>
      </c>
      <c r="C54" s="356">
        <f>SUM(C55:C58)</f>
        <v>0</v>
      </c>
      <c r="D54" s="370">
        <f>SUM(D55:D58)</f>
        <v>0</v>
      </c>
      <c r="E54" s="356"/>
      <c r="F54" s="381"/>
    </row>
    <row r="55" spans="1:6">
      <c r="A55" s="367" t="s">
        <v>14</v>
      </c>
      <c r="B55" s="368"/>
      <c r="C55" s="438"/>
      <c r="D55" s="440"/>
      <c r="E55" s="368"/>
    </row>
    <row r="56" spans="1:6">
      <c r="A56" s="367" t="s">
        <v>997</v>
      </c>
      <c r="B56" s="368"/>
      <c r="C56" s="438"/>
      <c r="D56" s="440"/>
      <c r="E56" s="368"/>
    </row>
    <row r="57" spans="1:6">
      <c r="A57" s="367" t="s">
        <v>998</v>
      </c>
      <c r="B57" s="368"/>
      <c r="C57" s="438"/>
      <c r="D57" s="440"/>
      <c r="E57" s="368"/>
    </row>
    <row r="58" spans="1:6">
      <c r="A58" s="367" t="s">
        <v>999</v>
      </c>
      <c r="B58" s="368"/>
      <c r="C58" s="438"/>
      <c r="D58" s="440"/>
      <c r="E58" s="368"/>
    </row>
    <row r="59" spans="1:6" s="382" customFormat="1">
      <c r="A59" s="360" t="s">
        <v>1000</v>
      </c>
      <c r="B59" s="356">
        <f>B54+B53</f>
        <v>0</v>
      </c>
      <c r="C59" s="356">
        <f>C54+C53</f>
        <v>0</v>
      </c>
      <c r="D59" s="370">
        <f>D54+D53</f>
        <v>0</v>
      </c>
      <c r="E59" s="356"/>
      <c r="F59" s="381"/>
    </row>
    <row r="60" spans="1:6" s="382" customFormat="1">
      <c r="A60" s="360" t="s">
        <v>1001</v>
      </c>
      <c r="B60" s="356">
        <f>B45+B53+B47+B54</f>
        <v>0</v>
      </c>
      <c r="C60" s="356">
        <f>C45+C53+C47+C54</f>
        <v>0</v>
      </c>
      <c r="D60" s="370">
        <f>D45+D53+D47+D54</f>
        <v>0</v>
      </c>
      <c r="E60" s="356"/>
      <c r="F60" s="381"/>
    </row>
    <row r="61" spans="1:6">
      <c r="A61" s="367"/>
      <c r="B61" s="368"/>
      <c r="C61" s="368"/>
      <c r="D61" s="369"/>
      <c r="E61" s="368"/>
    </row>
    <row r="62" spans="1:6" s="382" customFormat="1">
      <c r="A62" s="360" t="s">
        <v>606</v>
      </c>
      <c r="B62" s="385"/>
      <c r="C62" s="385"/>
      <c r="D62" s="386"/>
      <c r="E62" s="385"/>
      <c r="F62" s="381"/>
    </row>
    <row r="63" spans="1:6">
      <c r="A63" s="379" t="s">
        <v>1002</v>
      </c>
      <c r="B63" s="444"/>
      <c r="C63" s="440"/>
      <c r="D63" s="440"/>
      <c r="E63" s="368"/>
    </row>
    <row r="64" spans="1:6">
      <c r="A64" s="379" t="s">
        <v>1003</v>
      </c>
      <c r="B64" s="438"/>
      <c r="C64" s="440"/>
      <c r="D64" s="440"/>
      <c r="E64" s="368"/>
    </row>
    <row r="65" spans="1:6">
      <c r="A65" s="379" t="s">
        <v>1004</v>
      </c>
      <c r="B65" s="438"/>
      <c r="C65" s="440"/>
      <c r="D65" s="440"/>
      <c r="E65" s="368"/>
    </row>
    <row r="66" spans="1:6" s="382" customFormat="1">
      <c r="A66" s="360" t="s">
        <v>1005</v>
      </c>
      <c r="B66" s="356">
        <f>B63+B64-B65</f>
        <v>0</v>
      </c>
      <c r="C66" s="356">
        <f>C63+C64-C65</f>
        <v>0</v>
      </c>
      <c r="D66" s="370">
        <f>D63+D64-D65</f>
        <v>0</v>
      </c>
      <c r="E66" s="356"/>
      <c r="F66" s="381"/>
    </row>
    <row r="67" spans="1:6" s="382" customFormat="1">
      <c r="A67" s="360" t="s">
        <v>602</v>
      </c>
      <c r="B67" s="356">
        <f>SUM(B68:B69)</f>
        <v>0</v>
      </c>
      <c r="C67" s="356">
        <f>SUM(C68:C69)</f>
        <v>0</v>
      </c>
      <c r="D67" s="370">
        <f>SUM(D68:D69)</f>
        <v>0</v>
      </c>
      <c r="E67" s="356"/>
      <c r="F67" s="381"/>
    </row>
    <row r="68" spans="1:6">
      <c r="A68" s="379" t="s">
        <v>1006</v>
      </c>
      <c r="B68" s="368"/>
      <c r="C68" s="368"/>
      <c r="D68" s="369"/>
      <c r="E68" s="368"/>
    </row>
    <row r="69" spans="1:6">
      <c r="A69" s="379" t="s">
        <v>1007</v>
      </c>
      <c r="B69" s="368"/>
      <c r="C69" s="368"/>
      <c r="D69" s="369"/>
      <c r="E69" s="368"/>
    </row>
    <row r="70" spans="1:6" s="382" customFormat="1">
      <c r="A70" s="360" t="s">
        <v>41</v>
      </c>
      <c r="B70" s="356">
        <f>SUM(B71:B76)</f>
        <v>0</v>
      </c>
      <c r="C70" s="356">
        <f>SUM(C71:C76)</f>
        <v>0</v>
      </c>
      <c r="D70" s="370">
        <f>SUM(D71:D76)</f>
        <v>0</v>
      </c>
      <c r="E70" s="356"/>
      <c r="F70" s="381"/>
    </row>
    <row r="71" spans="1:6">
      <c r="A71" s="379" t="s">
        <v>1008</v>
      </c>
      <c r="B71" s="368"/>
      <c r="C71" s="368"/>
      <c r="D71" s="369"/>
      <c r="E71" s="368"/>
    </row>
    <row r="72" spans="1:6">
      <c r="A72" s="379" t="s">
        <v>1009</v>
      </c>
      <c r="B72" s="368"/>
      <c r="C72" s="369"/>
      <c r="D72" s="368"/>
      <c r="E72" s="368"/>
    </row>
    <row r="73" spans="1:6">
      <c r="A73" s="379" t="s">
        <v>1010</v>
      </c>
      <c r="B73" s="368"/>
      <c r="C73" s="369"/>
      <c r="D73" s="368"/>
      <c r="E73" s="368"/>
    </row>
    <row r="74" spans="1:6">
      <c r="A74" s="379" t="s">
        <v>1011</v>
      </c>
      <c r="B74" s="444"/>
      <c r="C74" s="445"/>
      <c r="D74" s="445"/>
      <c r="E74" s="368"/>
    </row>
    <row r="75" spans="1:6">
      <c r="A75" s="379" t="s">
        <v>1012</v>
      </c>
      <c r="B75" s="368"/>
      <c r="C75" s="368"/>
      <c r="D75" s="369"/>
      <c r="E75" s="368"/>
    </row>
    <row r="76" spans="1:6">
      <c r="A76" s="379" t="s">
        <v>907</v>
      </c>
      <c r="B76" s="368"/>
      <c r="C76" s="368"/>
      <c r="D76" s="369"/>
      <c r="E76" s="368"/>
    </row>
    <row r="77" spans="1:6" s="382" customFormat="1">
      <c r="A77" s="360" t="s">
        <v>1013</v>
      </c>
      <c r="B77" s="356">
        <f>SUM(B78:B79)</f>
        <v>0</v>
      </c>
      <c r="C77" s="356">
        <f>SUM(C78:C79)</f>
        <v>0</v>
      </c>
      <c r="D77" s="370">
        <f>SUM(D78:D79)</f>
        <v>0</v>
      </c>
      <c r="E77" s="356"/>
      <c r="F77" s="381"/>
    </row>
    <row r="78" spans="1:6">
      <c r="A78" s="379" t="s">
        <v>1014</v>
      </c>
      <c r="B78" s="368"/>
      <c r="C78" s="438"/>
      <c r="D78" s="440"/>
      <c r="E78" s="368"/>
    </row>
    <row r="79" spans="1:6">
      <c r="A79" s="379" t="s">
        <v>1015</v>
      </c>
      <c r="B79" s="368"/>
      <c r="C79" s="368"/>
      <c r="D79" s="369"/>
      <c r="E79" s="368"/>
    </row>
    <row r="80" spans="1:6">
      <c r="A80" s="379" t="s">
        <v>1016</v>
      </c>
      <c r="B80" s="368"/>
      <c r="C80" s="368"/>
      <c r="D80" s="369"/>
      <c r="E80" s="368"/>
    </row>
    <row r="81" spans="1:6" s="382" customFormat="1">
      <c r="A81" s="360" t="s">
        <v>1017</v>
      </c>
      <c r="B81" s="356">
        <f>B66+B67+B70+B77+B80</f>
        <v>0</v>
      </c>
      <c r="C81" s="356">
        <f>C66+C67+C70+C77+C80</f>
        <v>0</v>
      </c>
      <c r="D81" s="356">
        <f>D66+D67+D70+D77+D80</f>
        <v>0</v>
      </c>
      <c r="E81" s="356"/>
      <c r="F81" s="381"/>
    </row>
    <row r="82" spans="1:6">
      <c r="A82" s="387" t="s">
        <v>1018</v>
      </c>
      <c r="B82" s="388">
        <f>B60-B81</f>
        <v>0</v>
      </c>
      <c r="C82" s="389">
        <f>C60-C81</f>
        <v>0</v>
      </c>
      <c r="D82" s="389">
        <f>D60-D81</f>
        <v>0</v>
      </c>
      <c r="E82" s="388"/>
    </row>
    <row r="83" spans="1:6">
      <c r="E83" s="368"/>
    </row>
    <row r="84" spans="1:6">
      <c r="A84" s="391" t="s">
        <v>1019</v>
      </c>
      <c r="B84" s="392">
        <f>B41</f>
        <v>42460</v>
      </c>
      <c r="C84" s="392">
        <f>C41</f>
        <v>42825</v>
      </c>
      <c r="D84" s="392">
        <f>D41</f>
        <v>43190</v>
      </c>
      <c r="E84" s="363" t="s">
        <v>1057</v>
      </c>
    </row>
    <row r="85" spans="1:6">
      <c r="A85" s="394" t="s">
        <v>1020</v>
      </c>
      <c r="B85" s="356"/>
      <c r="C85" s="395" t="e">
        <f>(C5-B5)/B5</f>
        <v>#DIV/0!</v>
      </c>
      <c r="D85" s="396" t="e">
        <f>(D5-C5)/C5</f>
        <v>#DIV/0!</v>
      </c>
      <c r="E85" s="395"/>
    </row>
    <row r="86" spans="1:6">
      <c r="A86" s="394" t="s">
        <v>1021</v>
      </c>
      <c r="B86" s="357" t="e">
        <f>B36/(B5+B6)</f>
        <v>#DIV/0!</v>
      </c>
      <c r="C86" s="357" t="e">
        <f>C36/(C5+C6)</f>
        <v>#DIV/0!</v>
      </c>
      <c r="D86" s="397" t="e">
        <f>D36/(D5+D6)</f>
        <v>#DIV/0!</v>
      </c>
      <c r="E86" s="357"/>
    </row>
    <row r="87" spans="1:6">
      <c r="A87" s="394" t="s">
        <v>1022</v>
      </c>
      <c r="B87" s="357" t="e">
        <f>B38/(B5+B6)</f>
        <v>#DIV/0!</v>
      </c>
      <c r="C87" s="357" t="e">
        <f>C38/(C5+C6)</f>
        <v>#DIV/0!</v>
      </c>
      <c r="D87" s="397" t="e">
        <f>D38/(D5+D6)</f>
        <v>#DIV/0!</v>
      </c>
      <c r="E87" s="357"/>
    </row>
    <row r="88" spans="1:6">
      <c r="A88" s="394" t="s">
        <v>1023</v>
      </c>
      <c r="B88" s="357" t="e">
        <f>B22/(B5+B6)</f>
        <v>#DIV/0!</v>
      </c>
      <c r="C88" s="357" t="e">
        <f>C22/(C5+C6)</f>
        <v>#DIV/0!</v>
      </c>
      <c r="D88" s="397" t="e">
        <f>D22/(D5+D6)</f>
        <v>#DIV/0!</v>
      </c>
      <c r="E88" s="357"/>
    </row>
    <row r="89" spans="1:6">
      <c r="A89" s="394" t="s">
        <v>613</v>
      </c>
      <c r="B89" s="356" t="e">
        <f>(B53-B49+B56)/B48</f>
        <v>#DIV/0!</v>
      </c>
      <c r="C89" s="356" t="e">
        <f>(C53-C49+C56)/C48</f>
        <v>#DIV/0!</v>
      </c>
      <c r="D89" s="370" t="e">
        <f>(D53-D49+D56)/D48</f>
        <v>#DIV/0!</v>
      </c>
      <c r="E89" s="356"/>
    </row>
    <row r="90" spans="1:6">
      <c r="A90" s="394" t="s">
        <v>1024</v>
      </c>
      <c r="B90" s="370" t="e">
        <f>(B53+B56)/B48</f>
        <v>#DIV/0!</v>
      </c>
      <c r="C90" s="370" t="e">
        <f>(C53+C56)/C48</f>
        <v>#DIV/0!</v>
      </c>
      <c r="D90" s="370" t="e">
        <f>(D53+D56)/D48</f>
        <v>#DIV/0!</v>
      </c>
      <c r="E90" s="356"/>
    </row>
    <row r="91" spans="1:6">
      <c r="A91" s="394" t="s">
        <v>1025</v>
      </c>
      <c r="B91" s="356" t="e">
        <f>B22/(B23+B25+B26)</f>
        <v>#DIV/0!</v>
      </c>
      <c r="C91" s="356" t="e">
        <f>C22/(C23+C25+C26)</f>
        <v>#DIV/0!</v>
      </c>
      <c r="D91" s="370" t="e">
        <f>D22/(D23+D25+D26)</f>
        <v>#DIV/0!</v>
      </c>
      <c r="E91" s="356"/>
    </row>
    <row r="92" spans="1:6">
      <c r="A92" s="394" t="s">
        <v>1026</v>
      </c>
      <c r="B92" s="356" t="e">
        <f>(B72+B73)/(B5+B6)*365</f>
        <v>#DIV/0!</v>
      </c>
      <c r="C92" s="356" t="e">
        <f>(C72+C73)/(C5+C6)*365</f>
        <v>#DIV/0!</v>
      </c>
      <c r="D92" s="370" t="e">
        <f>(D72+D73)/(D5+D6)*365</f>
        <v>#DIV/0!</v>
      </c>
      <c r="E92" s="356"/>
    </row>
    <row r="93" spans="1:6">
      <c r="A93" s="394" t="s">
        <v>1027</v>
      </c>
      <c r="B93" s="356">
        <f>IF(B9=0,0,B71/B9*365)</f>
        <v>0</v>
      </c>
      <c r="C93" s="356">
        <f>IF(C9=0,0,C71/C9*365)</f>
        <v>0</v>
      </c>
      <c r="D93" s="370">
        <f>IF(D9=0,0,D71/D9*365)</f>
        <v>0</v>
      </c>
      <c r="E93" s="356"/>
    </row>
    <row r="94" spans="1:6" s="393" customFormat="1">
      <c r="A94" s="394" t="s">
        <v>1028</v>
      </c>
      <c r="B94" s="356">
        <f>IF(B9=0,0,B55/B11*365)</f>
        <v>0</v>
      </c>
      <c r="C94" s="356">
        <f>IF(C9=0,0,C55/C11*365)</f>
        <v>0</v>
      </c>
      <c r="D94" s="370">
        <f>IF(D9=0,0,D55/D11*365)</f>
        <v>0</v>
      </c>
      <c r="E94" s="356"/>
      <c r="F94" s="352"/>
    </row>
    <row r="95" spans="1:6" s="393" customFormat="1">
      <c r="A95" s="394" t="s">
        <v>1029</v>
      </c>
      <c r="B95" s="356" t="e">
        <f>B92+B93-B94</f>
        <v>#DIV/0!</v>
      </c>
      <c r="C95" s="356" t="e">
        <f>C92+C93-C94</f>
        <v>#DIV/0!</v>
      </c>
      <c r="D95" s="370" t="e">
        <f>D92+D93-D94</f>
        <v>#DIV/0!</v>
      </c>
      <c r="E95" s="356"/>
      <c r="F95" s="352"/>
    </row>
    <row r="96" spans="1:6" s="393" customFormat="1">
      <c r="A96" s="394" t="s">
        <v>1030</v>
      </c>
      <c r="B96" s="356" t="e">
        <f>SUM(B71:B74,B78)/SUM(B55:B58,B49)</f>
        <v>#DIV/0!</v>
      </c>
      <c r="C96" s="356" t="e">
        <f>SUM(C71:C74,C78)/SUM(C55:C58,C49)</f>
        <v>#DIV/0!</v>
      </c>
      <c r="D96" s="370" t="e">
        <f>SUM(D71:D74,D78)/SUM(D55:D58,D49)</f>
        <v>#DIV/0!</v>
      </c>
      <c r="E96" s="356"/>
      <c r="F96" s="352"/>
    </row>
    <row r="97" spans="1:6" s="393" customFormat="1">
      <c r="A97" s="358"/>
      <c r="B97" s="398"/>
      <c r="C97" s="398"/>
      <c r="D97" s="398"/>
      <c r="E97" s="399"/>
      <c r="F97" s="352"/>
    </row>
    <row r="98" spans="1:6" s="393" customFormat="1">
      <c r="A98" s="400" t="s">
        <v>1031</v>
      </c>
      <c r="B98" s="392">
        <f>B84</f>
        <v>42460</v>
      </c>
      <c r="C98" s="392">
        <f>C84</f>
        <v>42825</v>
      </c>
      <c r="D98" s="392">
        <f>D84</f>
        <v>43190</v>
      </c>
      <c r="E98" s="392"/>
      <c r="F98" s="352"/>
    </row>
    <row r="99" spans="1:6" s="393" customFormat="1">
      <c r="A99" s="401" t="s">
        <v>1032</v>
      </c>
      <c r="B99" s="388"/>
      <c r="C99" s="388"/>
      <c r="D99" s="389"/>
      <c r="E99" s="388"/>
      <c r="F99" s="352"/>
    </row>
    <row r="100" spans="1:6" s="393" customFormat="1">
      <c r="A100" s="402" t="s">
        <v>1033</v>
      </c>
      <c r="B100" s="388"/>
      <c r="C100" s="403">
        <f>C36</f>
        <v>0</v>
      </c>
      <c r="D100" s="404">
        <f>D36</f>
        <v>0</v>
      </c>
      <c r="E100" s="403"/>
      <c r="F100" s="352"/>
    </row>
    <row r="101" spans="1:6" s="393" customFormat="1">
      <c r="A101" s="402" t="s">
        <v>1034</v>
      </c>
      <c r="B101" s="388"/>
      <c r="C101" s="403">
        <f>C27</f>
        <v>0</v>
      </c>
      <c r="D101" s="404">
        <f>D27</f>
        <v>0</v>
      </c>
      <c r="E101" s="403"/>
      <c r="F101" s="352"/>
    </row>
    <row r="102" spans="1:6" s="393" customFormat="1">
      <c r="A102" s="402" t="s">
        <v>1035</v>
      </c>
      <c r="B102" s="388"/>
      <c r="C102" s="403">
        <f>C29</f>
        <v>0</v>
      </c>
      <c r="D102" s="404">
        <f>D29</f>
        <v>0</v>
      </c>
      <c r="E102" s="403"/>
      <c r="F102" s="352"/>
    </row>
    <row r="103" spans="1:6" s="393" customFormat="1">
      <c r="A103" s="405" t="s">
        <v>1036</v>
      </c>
      <c r="B103" s="406"/>
      <c r="C103" s="407">
        <f>SUM(C100:C102)</f>
        <v>0</v>
      </c>
      <c r="D103" s="408">
        <f>SUM(D100:D102)</f>
        <v>0</v>
      </c>
      <c r="E103" s="407"/>
      <c r="F103" s="352"/>
    </row>
    <row r="104" spans="1:6" s="393" customFormat="1">
      <c r="A104" s="402" t="s">
        <v>1037</v>
      </c>
      <c r="B104" s="388"/>
      <c r="C104" s="403">
        <f>(B70-B74)-(C70-C74)</f>
        <v>0</v>
      </c>
      <c r="D104" s="404">
        <f>(C70-C74)-(D70-D74)</f>
        <v>0</v>
      </c>
      <c r="E104" s="403"/>
      <c r="F104" s="352"/>
    </row>
    <row r="105" spans="1:6" s="393" customFormat="1">
      <c r="A105" s="402" t="s">
        <v>1038</v>
      </c>
      <c r="B105" s="388"/>
      <c r="C105" s="403">
        <f>C54-B54</f>
        <v>0</v>
      </c>
      <c r="D105" s="404">
        <f>D54-C54</f>
        <v>0</v>
      </c>
      <c r="E105" s="403"/>
      <c r="F105" s="352"/>
    </row>
    <row r="106" spans="1:6" s="393" customFormat="1">
      <c r="A106" s="409" t="s">
        <v>1039</v>
      </c>
      <c r="B106" s="410"/>
      <c r="C106" s="411">
        <f>C103+C104+C105</f>
        <v>0</v>
      </c>
      <c r="D106" s="412">
        <f>D103+D104+D105</f>
        <v>0</v>
      </c>
      <c r="E106" s="411"/>
      <c r="F106" s="352"/>
    </row>
    <row r="107" spans="1:6" s="393" customFormat="1">
      <c r="A107" s="391" t="s">
        <v>1040</v>
      </c>
      <c r="B107" s="410"/>
      <c r="C107" s="411">
        <f>C7</f>
        <v>0</v>
      </c>
      <c r="D107" s="412">
        <f>D7</f>
        <v>0</v>
      </c>
      <c r="E107" s="411"/>
      <c r="F107" s="352"/>
    </row>
    <row r="108" spans="1:6" s="393" customFormat="1">
      <c r="A108" s="402"/>
      <c r="B108" s="388"/>
      <c r="C108" s="403"/>
      <c r="D108" s="404"/>
      <c r="E108" s="403"/>
      <c r="F108" s="352"/>
    </row>
    <row r="109" spans="1:6" s="393" customFormat="1">
      <c r="A109" s="401" t="s">
        <v>1041</v>
      </c>
      <c r="B109" s="388"/>
      <c r="C109" s="403"/>
      <c r="D109" s="404"/>
      <c r="E109" s="403"/>
      <c r="F109" s="352"/>
    </row>
    <row r="110" spans="1:6" s="393" customFormat="1">
      <c r="A110" s="402" t="s">
        <v>1042</v>
      </c>
      <c r="B110" s="388"/>
      <c r="C110" s="403">
        <f>(B63+B64)-(C63+C64)+B65+C27-C65</f>
        <v>0</v>
      </c>
      <c r="D110" s="404">
        <f>(C63+C64)-(D63+D64)+C65+D27-D65</f>
        <v>0</v>
      </c>
      <c r="E110" s="403"/>
      <c r="F110" s="352"/>
    </row>
    <row r="111" spans="1:6" s="393" customFormat="1">
      <c r="A111" s="402" t="s">
        <v>1043</v>
      </c>
      <c r="B111" s="388"/>
      <c r="C111" s="403">
        <f t="shared" ref="C111:D112" si="0">B68+B78-C68-C78</f>
        <v>0</v>
      </c>
      <c r="D111" s="404">
        <f t="shared" si="0"/>
        <v>0</v>
      </c>
      <c r="E111" s="403"/>
      <c r="F111" s="352"/>
    </row>
    <row r="112" spans="1:6" s="393" customFormat="1">
      <c r="A112" s="402" t="s">
        <v>1044</v>
      </c>
      <c r="B112" s="388"/>
      <c r="C112" s="403">
        <f t="shared" si="0"/>
        <v>0</v>
      </c>
      <c r="D112" s="404">
        <f t="shared" si="0"/>
        <v>0</v>
      </c>
      <c r="E112" s="403"/>
      <c r="F112" s="352"/>
    </row>
    <row r="113" spans="1:6" s="393" customFormat="1">
      <c r="A113" s="391" t="s">
        <v>1045</v>
      </c>
      <c r="B113" s="413"/>
      <c r="C113" s="411">
        <f>SUM(C110:C112)</f>
        <v>0</v>
      </c>
      <c r="D113" s="412">
        <f>SUM(D110:D112)</f>
        <v>0</v>
      </c>
      <c r="E113" s="411"/>
      <c r="F113" s="352"/>
    </row>
    <row r="114" spans="1:6" s="393" customFormat="1">
      <c r="A114" s="402"/>
      <c r="B114" s="388"/>
      <c r="C114" s="403"/>
      <c r="D114" s="404"/>
      <c r="E114" s="403"/>
      <c r="F114" s="352"/>
    </row>
    <row r="115" spans="1:6" s="393" customFormat="1">
      <c r="A115" s="401" t="s">
        <v>1046</v>
      </c>
      <c r="B115" s="388"/>
      <c r="C115" s="403"/>
      <c r="D115" s="404"/>
      <c r="E115" s="403"/>
      <c r="F115" s="352"/>
    </row>
    <row r="116" spans="1:6" s="393" customFormat="1">
      <c r="A116" s="402" t="s">
        <v>1047</v>
      </c>
      <c r="B116" s="388"/>
      <c r="C116" s="403">
        <f>C50-B50</f>
        <v>0</v>
      </c>
      <c r="D116" s="404">
        <f>D50-C50</f>
        <v>0</v>
      </c>
      <c r="E116" s="403"/>
      <c r="F116" s="352"/>
    </row>
    <row r="117" spans="1:6" s="393" customFormat="1">
      <c r="A117" s="402" t="s">
        <v>1048</v>
      </c>
      <c r="B117" s="388"/>
      <c r="C117" s="403">
        <f>C51+C52-B51-B52</f>
        <v>0</v>
      </c>
      <c r="D117" s="404">
        <f>D51+D52-C51-C52</f>
        <v>0</v>
      </c>
      <c r="E117" s="403"/>
      <c r="F117" s="352"/>
    </row>
    <row r="118" spans="1:6" s="393" customFormat="1">
      <c r="A118" s="402" t="s">
        <v>1049</v>
      </c>
      <c r="B118" s="388"/>
      <c r="C118" s="403">
        <f>C49-B49</f>
        <v>0</v>
      </c>
      <c r="D118" s="404">
        <f>D49-C49</f>
        <v>0</v>
      </c>
      <c r="E118" s="403"/>
      <c r="F118" s="352"/>
    </row>
    <row r="119" spans="1:6" s="393" customFormat="1">
      <c r="A119" s="402" t="s">
        <v>1050</v>
      </c>
      <c r="B119" s="388"/>
      <c r="C119" s="403">
        <f>(C45-C35)-B45</f>
        <v>0</v>
      </c>
      <c r="D119" s="404">
        <f>(D45-D35)-C45</f>
        <v>0</v>
      </c>
      <c r="E119" s="403"/>
      <c r="F119" s="352"/>
    </row>
    <row r="120" spans="1:6" s="393" customFormat="1">
      <c r="A120" s="402" t="s">
        <v>1051</v>
      </c>
      <c r="B120" s="388"/>
      <c r="C120" s="403">
        <f>C47-B47</f>
        <v>0</v>
      </c>
      <c r="D120" s="404">
        <f>D47-C47</f>
        <v>0</v>
      </c>
      <c r="E120" s="403"/>
      <c r="F120" s="352"/>
    </row>
    <row r="121" spans="1:6" s="393" customFormat="1">
      <c r="A121" s="391" t="s">
        <v>1052</v>
      </c>
      <c r="B121" s="413"/>
      <c r="C121" s="411">
        <f>SUM(C116:C120)</f>
        <v>0</v>
      </c>
      <c r="D121" s="412">
        <f>SUM(D116:D120)</f>
        <v>0</v>
      </c>
      <c r="E121" s="411"/>
      <c r="F121" s="352"/>
    </row>
    <row r="122" spans="1:6" s="393" customFormat="1">
      <c r="A122" s="391" t="s">
        <v>1053</v>
      </c>
      <c r="B122" s="413"/>
      <c r="C122" s="411">
        <f>C106+C107+C113+C121</f>
        <v>0</v>
      </c>
      <c r="D122" s="412">
        <f>D106+D107+D113+D121</f>
        <v>0</v>
      </c>
      <c r="E122" s="411"/>
      <c r="F122" s="352"/>
    </row>
    <row r="123" spans="1:6" s="393" customFormat="1">
      <c r="A123" s="402"/>
      <c r="B123" s="388"/>
      <c r="C123" s="403"/>
      <c r="D123" s="404"/>
      <c r="E123" s="403"/>
      <c r="F123" s="352"/>
    </row>
    <row r="124" spans="1:6" s="393" customFormat="1">
      <c r="A124" s="391" t="s">
        <v>1054</v>
      </c>
      <c r="B124" s="413"/>
      <c r="C124" s="414">
        <f>B74</f>
        <v>0</v>
      </c>
      <c r="D124" s="415">
        <f>C74</f>
        <v>0</v>
      </c>
      <c r="E124" s="414"/>
      <c r="F124" s="352"/>
    </row>
    <row r="125" spans="1:6" s="393" customFormat="1">
      <c r="A125" s="391" t="s">
        <v>1055</v>
      </c>
      <c r="B125" s="413"/>
      <c r="C125" s="414">
        <f>C74</f>
        <v>0</v>
      </c>
      <c r="D125" s="415">
        <f>D74</f>
        <v>0</v>
      </c>
      <c r="E125" s="414"/>
      <c r="F125" s="352"/>
    </row>
    <row r="126" spans="1:6" s="393" customFormat="1">
      <c r="A126" s="402"/>
      <c r="B126" s="388"/>
      <c r="C126" s="403"/>
      <c r="D126" s="404"/>
      <c r="E126" s="403"/>
      <c r="F126" s="352"/>
    </row>
    <row r="127" spans="1:6" s="393" customFormat="1">
      <c r="A127" s="402" t="s">
        <v>1056</v>
      </c>
      <c r="B127" s="388"/>
      <c r="C127" s="403">
        <f>C124+C122-C125</f>
        <v>0</v>
      </c>
      <c r="D127" s="404">
        <f>D124+D122-D125</f>
        <v>0</v>
      </c>
      <c r="E127" s="403"/>
      <c r="F127" s="352"/>
    </row>
    <row r="128" spans="1:6" s="393" customFormat="1">
      <c r="A128" s="373"/>
      <c r="B128" s="390"/>
      <c r="C128" s="390"/>
      <c r="D128" s="416"/>
      <c r="E128" s="417"/>
      <c r="F128" s="352"/>
    </row>
    <row r="129"/>
    <row r="130"/>
    <row r="131"/>
  </sheetData>
  <sheetProtection password="E03D" sheet="1" objects="1" scenarios="1" formatCells="0" formatColumns="0" formatRows="0"/>
  <dataValidations count="1">
    <dataValidation type="list" allowBlank="1" showInputMessage="1" showErrorMessage="1" sqref="B1:D1" xr:uid="{00000000-0002-0000-0C00-000000000000}">
      <formula1>Accnt_Holder</formula1>
    </dataValidation>
  </dataValidations>
  <pageMargins left="0.69930555555555596" right="0.69930555555555596" top="0.75" bottom="0.75" header="0.3" footer="0.3"/>
  <pageSetup orientation="portrait" r:id="rId1"/>
  <headerFooter alignWithMargins="0"/>
  <ignoredErrors>
    <ignoredError sqref="B41:D41" unlockedFormula="1"/>
    <ignoredError sqref="B85:D96" evalError="1"/>
    <ignoredError sqref="B8:D8"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17"/>
  </sheetPr>
  <dimension ref="A1:SP131"/>
  <sheetViews>
    <sheetView topLeftCell="A3" zoomScaleNormal="100" workbookViewId="0">
      <selection activeCell="B86" sqref="B86"/>
    </sheetView>
  </sheetViews>
  <sheetFormatPr defaultColWidth="0" defaultRowHeight="12" zeroHeight="1"/>
  <cols>
    <col min="1" max="1" width="63.140625" style="373" customWidth="1"/>
    <col min="2" max="2" width="20.42578125" style="390" customWidth="1"/>
    <col min="3" max="3" width="21" style="390" customWidth="1"/>
    <col min="4" max="4" width="21.42578125" style="390" customWidth="1"/>
    <col min="5" max="5" width="38.140625" style="417" customWidth="1"/>
    <col min="6" max="510" width="0" style="352" hidden="1" customWidth="1"/>
    <col min="511" max="16384" width="9.140625" style="352" hidden="1"/>
  </cols>
  <sheetData>
    <row r="1" spans="1:5" s="355" customFormat="1">
      <c r="A1" s="353"/>
      <c r="B1" s="354"/>
      <c r="C1" s="354"/>
      <c r="D1" s="354"/>
    </row>
    <row r="2" spans="1:5" s="355" customFormat="1" ht="18.75">
      <c r="A2" s="439">
        <f>'PD and CAM'!C34</f>
        <v>0</v>
      </c>
      <c r="B2" s="354" t="s">
        <v>1329</v>
      </c>
      <c r="C2" s="359"/>
      <c r="D2" s="359"/>
      <c r="E2" s="358"/>
    </row>
    <row r="3" spans="1:5">
      <c r="A3" s="360"/>
      <c r="B3" s="361" t="s">
        <v>950</v>
      </c>
      <c r="C3" s="361" t="s">
        <v>950</v>
      </c>
      <c r="D3" s="362" t="s">
        <v>950</v>
      </c>
      <c r="E3" s="363" t="s">
        <v>1057</v>
      </c>
    </row>
    <row r="4" spans="1:5">
      <c r="A4" s="364" t="s">
        <v>951</v>
      </c>
      <c r="B4" s="365">
        <v>42460</v>
      </c>
      <c r="C4" s="365">
        <v>42825</v>
      </c>
      <c r="D4" s="366">
        <v>43190</v>
      </c>
      <c r="E4" s="365"/>
    </row>
    <row r="5" spans="1:5">
      <c r="A5" s="367" t="s">
        <v>952</v>
      </c>
      <c r="B5" s="444"/>
      <c r="C5" s="444"/>
      <c r="D5" s="444"/>
      <c r="E5" s="368"/>
    </row>
    <row r="6" spans="1:5">
      <c r="A6" s="367" t="s">
        <v>953</v>
      </c>
      <c r="B6" s="444"/>
      <c r="C6" s="444"/>
      <c r="D6" s="444"/>
      <c r="E6" s="368"/>
    </row>
    <row r="7" spans="1:5">
      <c r="A7" s="367" t="s">
        <v>954</v>
      </c>
      <c r="B7" s="368"/>
      <c r="C7" s="369"/>
      <c r="D7" s="368"/>
      <c r="E7" s="368"/>
    </row>
    <row r="8" spans="1:5">
      <c r="A8" s="360" t="s">
        <v>955</v>
      </c>
      <c r="B8" s="356">
        <f>SUM(B5:B7)</f>
        <v>0</v>
      </c>
      <c r="C8" s="356">
        <f>SUM(C5:C7)</f>
        <v>0</v>
      </c>
      <c r="D8" s="370">
        <f>SUM(D5:D7)</f>
        <v>0</v>
      </c>
      <c r="E8" s="356"/>
    </row>
    <row r="9" spans="1:5">
      <c r="A9" s="360" t="s">
        <v>956</v>
      </c>
      <c r="B9" s="356">
        <f>B10+B11-B12+B13+B14</f>
        <v>0</v>
      </c>
      <c r="C9" s="356">
        <f>C10+C11-C12+C13+C14</f>
        <v>0</v>
      </c>
      <c r="D9" s="370">
        <f>D10+D11-D12+D13+D14</f>
        <v>0</v>
      </c>
      <c r="E9" s="356"/>
    </row>
    <row r="10" spans="1:5">
      <c r="A10" s="367" t="s">
        <v>957</v>
      </c>
      <c r="B10" s="368"/>
      <c r="C10" s="371"/>
      <c r="D10" s="372"/>
      <c r="E10" s="371"/>
    </row>
    <row r="11" spans="1:5">
      <c r="A11" s="367" t="s">
        <v>958</v>
      </c>
      <c r="B11" s="368"/>
      <c r="C11" s="368"/>
      <c r="D11" s="369"/>
      <c r="E11" s="368"/>
    </row>
    <row r="12" spans="1:5">
      <c r="A12" s="367" t="s">
        <v>959</v>
      </c>
      <c r="B12" s="368"/>
      <c r="C12" s="368"/>
      <c r="D12" s="369"/>
      <c r="E12" s="368"/>
    </row>
    <row r="13" spans="1:5">
      <c r="A13" s="367" t="s">
        <v>960</v>
      </c>
      <c r="B13" s="368"/>
      <c r="C13" s="368"/>
      <c r="D13" s="369"/>
      <c r="E13" s="368"/>
    </row>
    <row r="14" spans="1:5">
      <c r="A14" s="367" t="s">
        <v>961</v>
      </c>
      <c r="B14" s="368"/>
      <c r="C14" s="368"/>
      <c r="D14" s="369"/>
      <c r="E14" s="368"/>
    </row>
    <row r="15" spans="1:5">
      <c r="A15" s="360" t="s">
        <v>962</v>
      </c>
      <c r="B15" s="356">
        <f>B8-B9</f>
        <v>0</v>
      </c>
      <c r="C15" s="356">
        <f>C8-C9</f>
        <v>0</v>
      </c>
      <c r="D15" s="370">
        <f>D8-D9</f>
        <v>0</v>
      </c>
      <c r="E15" s="356"/>
    </row>
    <row r="16" spans="1:5">
      <c r="A16" s="360" t="s">
        <v>963</v>
      </c>
      <c r="B16" s="356">
        <f>B8-B9-B7</f>
        <v>0</v>
      </c>
      <c r="C16" s="356">
        <f>C8-C9-C7</f>
        <v>0</v>
      </c>
      <c r="D16" s="370">
        <f>D8-D9-D7</f>
        <v>0</v>
      </c>
      <c r="E16" s="356"/>
    </row>
    <row r="17" spans="1:5">
      <c r="A17" s="367" t="s">
        <v>964</v>
      </c>
      <c r="B17" s="444"/>
      <c r="C17" s="444"/>
      <c r="D17" s="444"/>
      <c r="E17" s="368"/>
    </row>
    <row r="18" spans="1:5">
      <c r="A18" s="367" t="s">
        <v>965</v>
      </c>
      <c r="B18" s="444"/>
      <c r="C18" s="444"/>
      <c r="D18" s="444"/>
      <c r="E18" s="368"/>
    </row>
    <row r="19" spans="1:5">
      <c r="A19" s="367" t="s">
        <v>966</v>
      </c>
      <c r="B19" s="444"/>
      <c r="C19" s="444"/>
      <c r="D19" s="444"/>
      <c r="E19" s="368"/>
    </row>
    <row r="20" spans="1:5">
      <c r="A20" s="367" t="s">
        <v>967</v>
      </c>
      <c r="B20" s="368"/>
      <c r="C20" s="369"/>
      <c r="D20" s="368"/>
      <c r="E20" s="368"/>
    </row>
    <row r="21" spans="1:5">
      <c r="A21" s="367" t="s">
        <v>968</v>
      </c>
      <c r="B21" s="368"/>
      <c r="C21" s="369"/>
      <c r="D21" s="368"/>
      <c r="E21" s="368"/>
    </row>
    <row r="22" spans="1:5">
      <c r="A22" s="360" t="s">
        <v>969</v>
      </c>
      <c r="B22" s="356">
        <f>B16-SUM(B17:B21)</f>
        <v>0</v>
      </c>
      <c r="C22" s="356">
        <f>C16-SUM(C17:C21)</f>
        <v>0</v>
      </c>
      <c r="D22" s="370">
        <f>D16-SUM(D17:D21)</f>
        <v>0</v>
      </c>
      <c r="E22" s="356"/>
    </row>
    <row r="23" spans="1:5">
      <c r="A23" s="367" t="s">
        <v>970</v>
      </c>
      <c r="B23" s="368"/>
      <c r="C23" s="368"/>
      <c r="D23" s="369"/>
      <c r="E23" s="368"/>
    </row>
    <row r="24" spans="1:5">
      <c r="A24" s="360" t="s">
        <v>971</v>
      </c>
      <c r="B24" s="356">
        <f>B22-B23</f>
        <v>0</v>
      </c>
      <c r="C24" s="356">
        <f>C22-C23</f>
        <v>0</v>
      </c>
      <c r="D24" s="370">
        <f>D22-D23</f>
        <v>0</v>
      </c>
      <c r="E24" s="356"/>
    </row>
    <row r="25" spans="1:5">
      <c r="A25" s="367" t="s">
        <v>972</v>
      </c>
      <c r="B25" s="444"/>
      <c r="C25" s="444"/>
      <c r="D25" s="444"/>
      <c r="E25" s="368"/>
    </row>
    <row r="26" spans="1:5">
      <c r="A26" s="367" t="s">
        <v>973</v>
      </c>
      <c r="B26" s="444"/>
      <c r="C26" s="444"/>
      <c r="D26" s="444"/>
      <c r="E26" s="368"/>
    </row>
    <row r="27" spans="1:5">
      <c r="A27" s="367" t="s">
        <v>4</v>
      </c>
      <c r="B27" s="444"/>
      <c r="C27" s="444"/>
      <c r="D27" s="444"/>
      <c r="E27" s="368"/>
    </row>
    <row r="28" spans="1:5">
      <c r="A28" s="367" t="s">
        <v>974</v>
      </c>
      <c r="B28" s="368"/>
      <c r="C28" s="438"/>
      <c r="D28" s="438"/>
      <c r="E28" s="368"/>
    </row>
    <row r="29" spans="1:5">
      <c r="A29" s="367" t="s">
        <v>975</v>
      </c>
      <c r="B29" s="368"/>
      <c r="C29" s="438"/>
      <c r="D29" s="438"/>
      <c r="E29" s="368"/>
    </row>
    <row r="30" spans="1:5">
      <c r="A30" s="367" t="s">
        <v>976</v>
      </c>
      <c r="B30" s="368"/>
      <c r="C30" s="438"/>
      <c r="D30" s="438"/>
      <c r="E30" s="368"/>
    </row>
    <row r="31" spans="1:5">
      <c r="A31" s="367" t="s">
        <v>977</v>
      </c>
      <c r="B31" s="368"/>
      <c r="C31" s="438"/>
      <c r="D31" s="438"/>
      <c r="E31" s="368"/>
    </row>
    <row r="32" spans="1:5">
      <c r="A32" s="360" t="s">
        <v>978</v>
      </c>
      <c r="B32" s="356">
        <f>B24-SUM(B25:B31)+B7</f>
        <v>0</v>
      </c>
      <c r="C32" s="356">
        <f>C24-SUM(C25:C31)+C7</f>
        <v>0</v>
      </c>
      <c r="D32" s="370">
        <f>D24-SUM(D25:D31)+D7</f>
        <v>0</v>
      </c>
      <c r="E32" s="356"/>
    </row>
    <row r="33" spans="1:6">
      <c r="A33" s="360" t="s">
        <v>979</v>
      </c>
      <c r="B33" s="356">
        <f>B24-SUM(B25:B31)</f>
        <v>0</v>
      </c>
      <c r="C33" s="356">
        <f>C24-SUM(C25:C31)</f>
        <v>0</v>
      </c>
      <c r="D33" s="370">
        <f>D24-SUM(D25:D31)</f>
        <v>0</v>
      </c>
      <c r="E33" s="356"/>
    </row>
    <row r="34" spans="1:6">
      <c r="A34" s="367" t="s">
        <v>980</v>
      </c>
      <c r="B34" s="368">
        <v>0</v>
      </c>
      <c r="C34" s="369">
        <v>0</v>
      </c>
      <c r="D34" s="369">
        <v>0</v>
      </c>
      <c r="E34" s="368"/>
    </row>
    <row r="35" spans="1:6">
      <c r="A35" s="360" t="s">
        <v>981</v>
      </c>
      <c r="B35" s="356">
        <f>B32-B34</f>
        <v>0</v>
      </c>
      <c r="C35" s="356">
        <f>C32-C34</f>
        <v>0</v>
      </c>
      <c r="D35" s="370">
        <f>D32-D34</f>
        <v>0</v>
      </c>
      <c r="E35" s="356"/>
    </row>
    <row r="36" spans="1:6">
      <c r="A36" s="360" t="s">
        <v>982</v>
      </c>
      <c r="B36" s="356">
        <f>B33-B34</f>
        <v>0</v>
      </c>
      <c r="C36" s="356">
        <f>C33-C34</f>
        <v>0</v>
      </c>
      <c r="D36" s="370">
        <f>D33-D34</f>
        <v>0</v>
      </c>
      <c r="E36" s="356"/>
    </row>
    <row r="37" spans="1:6">
      <c r="A37" s="360" t="s">
        <v>983</v>
      </c>
      <c r="B37" s="356">
        <f>B36+B27+B29</f>
        <v>0</v>
      </c>
      <c r="C37" s="356">
        <f>C36+C27+C29</f>
        <v>0</v>
      </c>
      <c r="D37" s="370">
        <f>D36+D27+D29</f>
        <v>0</v>
      </c>
      <c r="E37" s="356"/>
    </row>
    <row r="38" spans="1:6">
      <c r="A38" s="360" t="s">
        <v>984</v>
      </c>
      <c r="B38" s="356">
        <f>B37+B30+B31</f>
        <v>0</v>
      </c>
      <c r="C38" s="356">
        <f>C37+C30+C31</f>
        <v>0</v>
      </c>
      <c r="D38" s="370">
        <f>D37+D30+D31</f>
        <v>0</v>
      </c>
      <c r="E38" s="356"/>
    </row>
    <row r="39" spans="1:6" s="376" customFormat="1">
      <c r="A39" s="373"/>
      <c r="B39" s="374"/>
      <c r="C39" s="374"/>
      <c r="D39" s="374"/>
      <c r="E39" s="375"/>
    </row>
    <row r="40" spans="1:6">
      <c r="A40" s="360"/>
      <c r="B40" s="361" t="s">
        <v>950</v>
      </c>
      <c r="C40" s="361" t="s">
        <v>950</v>
      </c>
      <c r="D40" s="362" t="s">
        <v>950</v>
      </c>
      <c r="E40" s="363" t="s">
        <v>1057</v>
      </c>
    </row>
    <row r="41" spans="1:6">
      <c r="A41" s="364" t="s">
        <v>985</v>
      </c>
      <c r="B41" s="365">
        <f>B4</f>
        <v>42460</v>
      </c>
      <c r="C41" s="365">
        <f>C4</f>
        <v>42825</v>
      </c>
      <c r="D41" s="365">
        <f>D4</f>
        <v>43190</v>
      </c>
      <c r="E41" s="365"/>
    </row>
    <row r="42" spans="1:6" s="376" customFormat="1">
      <c r="A42" s="364" t="s">
        <v>505</v>
      </c>
      <c r="B42" s="377"/>
      <c r="C42" s="377"/>
      <c r="D42" s="378"/>
      <c r="E42" s="377"/>
    </row>
    <row r="43" spans="1:6">
      <c r="A43" s="379" t="s">
        <v>986</v>
      </c>
      <c r="B43" s="444"/>
      <c r="C43" s="444"/>
      <c r="D43" s="444"/>
      <c r="E43" s="380"/>
    </row>
    <row r="44" spans="1:6">
      <c r="A44" s="379" t="s">
        <v>987</v>
      </c>
      <c r="B44" s="380"/>
      <c r="C44" s="444"/>
      <c r="D44" s="444"/>
      <c r="E44" s="380"/>
    </row>
    <row r="45" spans="1:6" s="382" customFormat="1">
      <c r="A45" s="360" t="s">
        <v>988</v>
      </c>
      <c r="B45" s="356">
        <f>SUM(B43:B44)</f>
        <v>0</v>
      </c>
      <c r="C45" s="356">
        <f>SUM(C43:C44)</f>
        <v>0</v>
      </c>
      <c r="D45" s="370">
        <f>SUM(D43:D44)</f>
        <v>0</v>
      </c>
      <c r="E45" s="356"/>
      <c r="F45" s="381"/>
    </row>
    <row r="46" spans="1:6" s="383" customFormat="1">
      <c r="A46" s="360"/>
      <c r="B46" s="356"/>
      <c r="C46" s="356"/>
      <c r="D46" s="370"/>
      <c r="E46" s="356"/>
    </row>
    <row r="47" spans="1:6">
      <c r="A47" s="379" t="s">
        <v>989</v>
      </c>
      <c r="B47" s="380"/>
      <c r="C47" s="444"/>
      <c r="D47" s="444"/>
      <c r="E47" s="380"/>
    </row>
    <row r="48" spans="1:6" s="383" customFormat="1">
      <c r="A48" s="360" t="s">
        <v>990</v>
      </c>
      <c r="B48" s="356">
        <f>B45+B47-B69-B72-B79-B80</f>
        <v>0</v>
      </c>
      <c r="C48" s="356">
        <f>C45+C47-C69-C72-C79-C80</f>
        <v>0</v>
      </c>
      <c r="D48" s="356">
        <f>D45+D47-D69-D72-D79-D80</f>
        <v>0</v>
      </c>
      <c r="E48" s="356"/>
    </row>
    <row r="49" spans="1:6">
      <c r="A49" s="379" t="s">
        <v>991</v>
      </c>
      <c r="B49" s="384"/>
      <c r="C49" s="444"/>
      <c r="D49" s="444"/>
      <c r="E49" s="380"/>
    </row>
    <row r="50" spans="1:6">
      <c r="A50" s="379" t="s">
        <v>992</v>
      </c>
      <c r="B50" s="444"/>
      <c r="C50" s="444"/>
      <c r="D50" s="444"/>
      <c r="E50" s="380"/>
    </row>
    <row r="51" spans="1:6">
      <c r="A51" s="379" t="s">
        <v>993</v>
      </c>
      <c r="B51" s="444"/>
      <c r="C51" s="444"/>
      <c r="D51" s="444"/>
      <c r="E51" s="380"/>
    </row>
    <row r="52" spans="1:6">
      <c r="A52" s="379" t="s">
        <v>994</v>
      </c>
      <c r="B52" s="368"/>
      <c r="C52" s="444"/>
      <c r="D52" s="444"/>
      <c r="E52" s="380"/>
    </row>
    <row r="53" spans="1:6" s="382" customFormat="1">
      <c r="A53" s="360" t="s">
        <v>995</v>
      </c>
      <c r="B53" s="356">
        <f>SUM(B49:B52)</f>
        <v>0</v>
      </c>
      <c r="C53" s="356">
        <f>SUM(C49:C52)</f>
        <v>0</v>
      </c>
      <c r="D53" s="370">
        <f>SUM(D49:D52)</f>
        <v>0</v>
      </c>
      <c r="E53" s="356"/>
      <c r="F53" s="381"/>
    </row>
    <row r="54" spans="1:6" s="382" customFormat="1">
      <c r="A54" s="360" t="s">
        <v>996</v>
      </c>
      <c r="B54" s="356">
        <f>SUM(B55:B58)</f>
        <v>0</v>
      </c>
      <c r="C54" s="356">
        <f>SUM(C55:C58)</f>
        <v>0</v>
      </c>
      <c r="D54" s="370">
        <f>SUM(D55:D58)</f>
        <v>0</v>
      </c>
      <c r="E54" s="356"/>
      <c r="F54" s="381"/>
    </row>
    <row r="55" spans="1:6">
      <c r="A55" s="367" t="s">
        <v>14</v>
      </c>
      <c r="B55" s="368"/>
      <c r="C55" s="369"/>
      <c r="D55" s="368"/>
      <c r="E55" s="368"/>
    </row>
    <row r="56" spans="1:6">
      <c r="A56" s="367" t="s">
        <v>997</v>
      </c>
      <c r="B56" s="368"/>
      <c r="C56" s="368"/>
      <c r="D56" s="368"/>
      <c r="E56" s="368"/>
    </row>
    <row r="57" spans="1:6">
      <c r="A57" s="367" t="s">
        <v>998</v>
      </c>
      <c r="B57" s="368"/>
      <c r="C57" s="368"/>
      <c r="D57" s="369"/>
      <c r="E57" s="368"/>
    </row>
    <row r="58" spans="1:6">
      <c r="A58" s="367" t="s">
        <v>999</v>
      </c>
      <c r="B58" s="368"/>
      <c r="C58" s="438"/>
      <c r="D58" s="438"/>
      <c r="E58" s="368"/>
    </row>
    <row r="59" spans="1:6" s="382" customFormat="1">
      <c r="A59" s="360" t="s">
        <v>1000</v>
      </c>
      <c r="B59" s="356">
        <f>B54+B53</f>
        <v>0</v>
      </c>
      <c r="C59" s="356">
        <f>C54+C53</f>
        <v>0</v>
      </c>
      <c r="D59" s="370">
        <f>D54+D53</f>
        <v>0</v>
      </c>
      <c r="E59" s="356"/>
      <c r="F59" s="381"/>
    </row>
    <row r="60" spans="1:6" s="382" customFormat="1">
      <c r="A60" s="360" t="s">
        <v>1001</v>
      </c>
      <c r="B60" s="356">
        <f>B45+B53+B47+B54</f>
        <v>0</v>
      </c>
      <c r="C60" s="356">
        <f>C45+C53+C47+C54</f>
        <v>0</v>
      </c>
      <c r="D60" s="370">
        <f>D45+D53+D47+D54</f>
        <v>0</v>
      </c>
      <c r="E60" s="356"/>
      <c r="F60" s="381"/>
    </row>
    <row r="61" spans="1:6">
      <c r="A61" s="367"/>
      <c r="B61" s="368"/>
      <c r="C61" s="368"/>
      <c r="D61" s="369"/>
      <c r="E61" s="368"/>
    </row>
    <row r="62" spans="1:6" s="382" customFormat="1">
      <c r="A62" s="360" t="s">
        <v>606</v>
      </c>
      <c r="B62" s="385"/>
      <c r="C62" s="385"/>
      <c r="D62" s="386"/>
      <c r="E62" s="385"/>
      <c r="F62" s="381"/>
    </row>
    <row r="63" spans="1:6">
      <c r="A63" s="379" t="s">
        <v>1002</v>
      </c>
      <c r="B63" s="444"/>
      <c r="C63" s="444"/>
      <c r="D63" s="444"/>
      <c r="E63" s="368"/>
    </row>
    <row r="64" spans="1:6">
      <c r="A64" s="379" t="s">
        <v>1003</v>
      </c>
      <c r="B64" s="444"/>
      <c r="C64" s="444"/>
      <c r="D64" s="444"/>
      <c r="E64" s="368"/>
    </row>
    <row r="65" spans="1:6">
      <c r="A65" s="379" t="s">
        <v>1004</v>
      </c>
      <c r="B65" s="444"/>
      <c r="C65" s="444"/>
      <c r="D65" s="444"/>
      <c r="E65" s="368"/>
    </row>
    <row r="66" spans="1:6" s="382" customFormat="1">
      <c r="A66" s="360" t="s">
        <v>1005</v>
      </c>
      <c r="B66" s="356">
        <f>B63+B64-B65</f>
        <v>0</v>
      </c>
      <c r="C66" s="356">
        <f>C63+C64-C65</f>
        <v>0</v>
      </c>
      <c r="D66" s="370">
        <f>D63+D64-D65</f>
        <v>0</v>
      </c>
      <c r="E66" s="356"/>
      <c r="F66" s="381"/>
    </row>
    <row r="67" spans="1:6" s="382" customFormat="1">
      <c r="A67" s="360" t="s">
        <v>602</v>
      </c>
      <c r="B67" s="356">
        <f>SUM(B68:B69)</f>
        <v>0</v>
      </c>
      <c r="C67" s="356">
        <f>SUM(C68:C69)</f>
        <v>0</v>
      </c>
      <c r="D67" s="370">
        <f>SUM(D68:D69)</f>
        <v>0</v>
      </c>
      <c r="E67" s="356"/>
      <c r="F67" s="381"/>
    </row>
    <row r="68" spans="1:6">
      <c r="A68" s="379" t="s">
        <v>1006</v>
      </c>
      <c r="B68" s="368"/>
      <c r="C68" s="368"/>
      <c r="D68" s="369"/>
      <c r="E68" s="368"/>
    </row>
    <row r="69" spans="1:6">
      <c r="A69" s="379" t="s">
        <v>1007</v>
      </c>
      <c r="B69" s="368"/>
      <c r="C69" s="368"/>
      <c r="D69" s="369"/>
      <c r="E69" s="368"/>
    </row>
    <row r="70" spans="1:6" s="382" customFormat="1">
      <c r="A70" s="360" t="s">
        <v>41</v>
      </c>
      <c r="B70" s="356">
        <f>SUM(B71:B76)</f>
        <v>0</v>
      </c>
      <c r="C70" s="356">
        <f>SUM(C71:C76)</f>
        <v>0</v>
      </c>
      <c r="D70" s="370">
        <f>SUM(D71:D76)</f>
        <v>0</v>
      </c>
      <c r="E70" s="356"/>
      <c r="F70" s="381"/>
    </row>
    <row r="71" spans="1:6">
      <c r="A71" s="379" t="s">
        <v>1008</v>
      </c>
      <c r="B71" s="368"/>
      <c r="C71" s="368"/>
      <c r="D71" s="369"/>
      <c r="E71" s="368"/>
    </row>
    <row r="72" spans="1:6">
      <c r="A72" s="379" t="s">
        <v>1009</v>
      </c>
      <c r="B72" s="368"/>
      <c r="C72" s="369"/>
      <c r="D72" s="368"/>
      <c r="E72" s="368"/>
    </row>
    <row r="73" spans="1:6">
      <c r="A73" s="379" t="s">
        <v>1010</v>
      </c>
      <c r="B73" s="368"/>
      <c r="C73" s="369"/>
      <c r="D73" s="368"/>
      <c r="E73" s="368"/>
    </row>
    <row r="74" spans="1:6">
      <c r="A74" s="379" t="s">
        <v>1011</v>
      </c>
      <c r="B74" s="444"/>
      <c r="C74" s="444"/>
      <c r="D74" s="444"/>
      <c r="E74" s="368"/>
    </row>
    <row r="75" spans="1:6">
      <c r="A75" s="379" t="s">
        <v>1012</v>
      </c>
      <c r="B75" s="444"/>
      <c r="C75" s="444"/>
      <c r="D75" s="444"/>
      <c r="E75" s="368"/>
    </row>
    <row r="76" spans="1:6">
      <c r="A76" s="379" t="s">
        <v>907</v>
      </c>
      <c r="B76" s="444"/>
      <c r="C76" s="444"/>
      <c r="D76" s="444"/>
      <c r="E76" s="368"/>
    </row>
    <row r="77" spans="1:6" s="382" customFormat="1">
      <c r="A77" s="360" t="s">
        <v>1013</v>
      </c>
      <c r="B77" s="356">
        <f>SUM(B78:B79)</f>
        <v>0</v>
      </c>
      <c r="C77" s="356">
        <f>SUM(C78:C79)</f>
        <v>0</v>
      </c>
      <c r="D77" s="370">
        <f>SUM(D78:D79)</f>
        <v>0</v>
      </c>
      <c r="E77" s="356"/>
      <c r="F77" s="381"/>
    </row>
    <row r="78" spans="1:6">
      <c r="A78" s="379" t="s">
        <v>1014</v>
      </c>
      <c r="B78" s="444"/>
      <c r="C78" s="444"/>
      <c r="D78" s="444"/>
      <c r="E78" s="368"/>
    </row>
    <row r="79" spans="1:6">
      <c r="A79" s="379" t="s">
        <v>1015</v>
      </c>
      <c r="B79" s="368"/>
      <c r="C79" s="444"/>
      <c r="D79" s="444"/>
      <c r="E79" s="368"/>
    </row>
    <row r="80" spans="1:6">
      <c r="A80" s="379" t="s">
        <v>1016</v>
      </c>
      <c r="B80" s="368"/>
      <c r="C80" s="444"/>
      <c r="D80" s="444"/>
      <c r="E80" s="368"/>
    </row>
    <row r="81" spans="1:6" s="382" customFormat="1">
      <c r="A81" s="360" t="s">
        <v>1017</v>
      </c>
      <c r="B81" s="356">
        <f>B66+B67+B70+B77+B80</f>
        <v>0</v>
      </c>
      <c r="C81" s="356">
        <f>C66+C67+C70+C77+C80</f>
        <v>0</v>
      </c>
      <c r="D81" s="356">
        <f>D66+D67+D70+D77+D80</f>
        <v>0</v>
      </c>
      <c r="E81" s="356"/>
      <c r="F81" s="381"/>
    </row>
    <row r="82" spans="1:6">
      <c r="A82" s="387" t="s">
        <v>1018</v>
      </c>
      <c r="B82" s="388">
        <f>B60-B81</f>
        <v>0</v>
      </c>
      <c r="C82" s="388">
        <f>C60-C81</f>
        <v>0</v>
      </c>
      <c r="D82" s="389">
        <f>D60-D81</f>
        <v>0</v>
      </c>
      <c r="E82" s="388"/>
    </row>
    <row r="83" spans="1:6">
      <c r="E83" s="368"/>
    </row>
    <row r="84" spans="1:6">
      <c r="A84" s="391" t="s">
        <v>1019</v>
      </c>
      <c r="B84" s="392">
        <f>B41</f>
        <v>42460</v>
      </c>
      <c r="C84" s="392">
        <f>C41</f>
        <v>42825</v>
      </c>
      <c r="D84" s="392">
        <f>D41</f>
        <v>43190</v>
      </c>
      <c r="E84" s="363" t="s">
        <v>1057</v>
      </c>
    </row>
    <row r="85" spans="1:6">
      <c r="A85" s="394" t="s">
        <v>1020</v>
      </c>
      <c r="B85" s="356"/>
      <c r="C85" s="395" t="e">
        <f>(C5-B5)/B5</f>
        <v>#DIV/0!</v>
      </c>
      <c r="D85" s="396" t="e">
        <f>(D5-C5)/C5</f>
        <v>#DIV/0!</v>
      </c>
      <c r="E85" s="395"/>
    </row>
    <row r="86" spans="1:6">
      <c r="A86" s="394" t="s">
        <v>1021</v>
      </c>
      <c r="B86" s="357" t="e">
        <f>B36/(B5+B6)</f>
        <v>#DIV/0!</v>
      </c>
      <c r="C86" s="357" t="e">
        <f>C36/(C5+C6)</f>
        <v>#DIV/0!</v>
      </c>
      <c r="D86" s="397" t="e">
        <f>D36/(D5+D6)</f>
        <v>#DIV/0!</v>
      </c>
      <c r="E86" s="357"/>
    </row>
    <row r="87" spans="1:6">
      <c r="A87" s="394" t="s">
        <v>1022</v>
      </c>
      <c r="B87" s="357" t="e">
        <f>B38/(B5+B6)</f>
        <v>#DIV/0!</v>
      </c>
      <c r="C87" s="357" t="e">
        <f>C38/(C5+C6)</f>
        <v>#DIV/0!</v>
      </c>
      <c r="D87" s="397" t="e">
        <f>D38/(D5+D6)</f>
        <v>#DIV/0!</v>
      </c>
      <c r="E87" s="357"/>
    </row>
    <row r="88" spans="1:6">
      <c r="A88" s="394" t="s">
        <v>1023</v>
      </c>
      <c r="B88" s="357" t="e">
        <f>B22/(B5+B6)</f>
        <v>#DIV/0!</v>
      </c>
      <c r="C88" s="357" t="e">
        <f>C22/(C5+C6)</f>
        <v>#DIV/0!</v>
      </c>
      <c r="D88" s="397" t="e">
        <f>D22/(D5+D6)</f>
        <v>#DIV/0!</v>
      </c>
      <c r="E88" s="357"/>
    </row>
    <row r="89" spans="1:6">
      <c r="A89" s="394" t="s">
        <v>613</v>
      </c>
      <c r="B89" s="356" t="e">
        <f>(B53-B49+B56)/B48</f>
        <v>#DIV/0!</v>
      </c>
      <c r="C89" s="356" t="e">
        <f>(C53-C49+C56)/C48</f>
        <v>#DIV/0!</v>
      </c>
      <c r="D89" s="370" t="e">
        <f>(D53-D49+D56)/D48</f>
        <v>#DIV/0!</v>
      </c>
      <c r="E89" s="356"/>
    </row>
    <row r="90" spans="1:6">
      <c r="A90" s="394" t="s">
        <v>1024</v>
      </c>
      <c r="B90" s="370" t="e">
        <f>(B53+B56)/B48</f>
        <v>#DIV/0!</v>
      </c>
      <c r="C90" s="370" t="e">
        <f>(C53+C56)/C48</f>
        <v>#DIV/0!</v>
      </c>
      <c r="D90" s="370" t="e">
        <f>(D53+D56)/D48</f>
        <v>#DIV/0!</v>
      </c>
      <c r="E90" s="356"/>
    </row>
    <row r="91" spans="1:6">
      <c r="A91" s="394" t="s">
        <v>1025</v>
      </c>
      <c r="B91" s="356" t="e">
        <f>B22/(B23+B25+B26)</f>
        <v>#DIV/0!</v>
      </c>
      <c r="C91" s="356" t="e">
        <f>C22/(C23+C25+C26)</f>
        <v>#DIV/0!</v>
      </c>
      <c r="D91" s="370" t="e">
        <f>D22/(D23+D25+D26)</f>
        <v>#DIV/0!</v>
      </c>
      <c r="E91" s="356"/>
    </row>
    <row r="92" spans="1:6">
      <c r="A92" s="394" t="s">
        <v>1026</v>
      </c>
      <c r="B92" s="356" t="e">
        <f>(B72+B73)/(B5+B6)*365</f>
        <v>#DIV/0!</v>
      </c>
      <c r="C92" s="356" t="e">
        <f>(C72+C73)/(C5+C6)*365</f>
        <v>#DIV/0!</v>
      </c>
      <c r="D92" s="370" t="e">
        <f>(D72+D73)/(D5+D6)*365</f>
        <v>#DIV/0!</v>
      </c>
      <c r="E92" s="356"/>
    </row>
    <row r="93" spans="1:6">
      <c r="A93" s="394" t="s">
        <v>1027</v>
      </c>
      <c r="B93" s="356">
        <f>IF(B9=0,0,B71/B9*365)</f>
        <v>0</v>
      </c>
      <c r="C93" s="356">
        <f>IF(C9=0,0,C71/C9*365)</f>
        <v>0</v>
      </c>
      <c r="D93" s="370">
        <f>IF(D9=0,0,D71/D9*365)</f>
        <v>0</v>
      </c>
      <c r="E93" s="356"/>
    </row>
    <row r="94" spans="1:6" s="393" customFormat="1">
      <c r="A94" s="394" t="s">
        <v>1028</v>
      </c>
      <c r="B94" s="356">
        <f>IF(B9=0,0,B55/B11*365)</f>
        <v>0</v>
      </c>
      <c r="C94" s="356">
        <f>IF(C9=0,0,C55/C11*365)</f>
        <v>0</v>
      </c>
      <c r="D94" s="370">
        <f>IF(D9=0,0,D55/D11*365)</f>
        <v>0</v>
      </c>
      <c r="E94" s="356"/>
      <c r="F94" s="352"/>
    </row>
    <row r="95" spans="1:6" s="393" customFormat="1">
      <c r="A95" s="394" t="s">
        <v>1029</v>
      </c>
      <c r="B95" s="356" t="e">
        <f>B92+B93-B94</f>
        <v>#DIV/0!</v>
      </c>
      <c r="C95" s="356" t="e">
        <f>C92+C93-C94</f>
        <v>#DIV/0!</v>
      </c>
      <c r="D95" s="370" t="e">
        <f>D92+D93-D94</f>
        <v>#DIV/0!</v>
      </c>
      <c r="E95" s="356"/>
      <c r="F95" s="352"/>
    </row>
    <row r="96" spans="1:6" s="393" customFormat="1">
      <c r="A96" s="394" t="s">
        <v>1030</v>
      </c>
      <c r="B96" s="356" t="e">
        <f>SUM(B71:B74,B78)/SUM(B55:B58,B49)</f>
        <v>#DIV/0!</v>
      </c>
      <c r="C96" s="356" t="e">
        <f>SUM(C71:C74,C78)/SUM(C55:C58,C49)</f>
        <v>#DIV/0!</v>
      </c>
      <c r="D96" s="370" t="e">
        <f>SUM(D71:D74,D78)/SUM(D55:D58,D49)</f>
        <v>#DIV/0!</v>
      </c>
      <c r="E96" s="356"/>
      <c r="F96" s="352"/>
    </row>
    <row r="97" spans="1:6" s="393" customFormat="1">
      <c r="A97" s="358"/>
      <c r="B97" s="398"/>
      <c r="C97" s="398"/>
      <c r="D97" s="398"/>
      <c r="E97" s="399"/>
      <c r="F97" s="352"/>
    </row>
    <row r="98" spans="1:6" s="393" customFormat="1">
      <c r="A98" s="400" t="s">
        <v>1031</v>
      </c>
      <c r="B98" s="392">
        <f>B84</f>
        <v>42460</v>
      </c>
      <c r="C98" s="392">
        <f>C84</f>
        <v>42825</v>
      </c>
      <c r="D98" s="392">
        <f>D84</f>
        <v>43190</v>
      </c>
      <c r="E98" s="392"/>
      <c r="F98" s="352"/>
    </row>
    <row r="99" spans="1:6" s="393" customFormat="1">
      <c r="A99" s="401" t="s">
        <v>1032</v>
      </c>
      <c r="B99" s="388"/>
      <c r="C99" s="388"/>
      <c r="D99" s="389"/>
      <c r="E99" s="388"/>
      <c r="F99" s="352"/>
    </row>
    <row r="100" spans="1:6" s="393" customFormat="1">
      <c r="A100" s="402" t="s">
        <v>1033</v>
      </c>
      <c r="B100" s="388"/>
      <c r="C100" s="403">
        <f>C36</f>
        <v>0</v>
      </c>
      <c r="D100" s="404">
        <f>D36</f>
        <v>0</v>
      </c>
      <c r="E100" s="403"/>
      <c r="F100" s="352"/>
    </row>
    <row r="101" spans="1:6" s="393" customFormat="1">
      <c r="A101" s="402" t="s">
        <v>1034</v>
      </c>
      <c r="B101" s="388"/>
      <c r="C101" s="403">
        <f>C27</f>
        <v>0</v>
      </c>
      <c r="D101" s="404">
        <f>D27</f>
        <v>0</v>
      </c>
      <c r="E101" s="403"/>
      <c r="F101" s="352"/>
    </row>
    <row r="102" spans="1:6" s="393" customFormat="1">
      <c r="A102" s="402" t="s">
        <v>1035</v>
      </c>
      <c r="B102" s="388"/>
      <c r="C102" s="403">
        <f>C29</f>
        <v>0</v>
      </c>
      <c r="D102" s="404">
        <f>D29</f>
        <v>0</v>
      </c>
      <c r="E102" s="403"/>
      <c r="F102" s="352"/>
    </row>
    <row r="103" spans="1:6" s="393" customFormat="1">
      <c r="A103" s="405" t="s">
        <v>1036</v>
      </c>
      <c r="B103" s="406"/>
      <c r="C103" s="407">
        <f>SUM(C100:C102)</f>
        <v>0</v>
      </c>
      <c r="D103" s="408">
        <f>SUM(D100:D102)</f>
        <v>0</v>
      </c>
      <c r="E103" s="407"/>
      <c r="F103" s="352"/>
    </row>
    <row r="104" spans="1:6" s="393" customFormat="1">
      <c r="A104" s="402" t="s">
        <v>1037</v>
      </c>
      <c r="B104" s="388"/>
      <c r="C104" s="403">
        <f>(B70-B74)-(C70-C74)</f>
        <v>0</v>
      </c>
      <c r="D104" s="404">
        <f>(C70-C74)-(D70-D74)</f>
        <v>0</v>
      </c>
      <c r="E104" s="403"/>
      <c r="F104" s="352"/>
    </row>
    <row r="105" spans="1:6" s="393" customFormat="1">
      <c r="A105" s="402" t="s">
        <v>1038</v>
      </c>
      <c r="B105" s="388"/>
      <c r="C105" s="403">
        <f>C54-B54</f>
        <v>0</v>
      </c>
      <c r="D105" s="404">
        <f>D54-C54</f>
        <v>0</v>
      </c>
      <c r="E105" s="403"/>
      <c r="F105" s="352"/>
    </row>
    <row r="106" spans="1:6" s="393" customFormat="1">
      <c r="A106" s="409" t="s">
        <v>1039</v>
      </c>
      <c r="B106" s="410"/>
      <c r="C106" s="411">
        <f>C103+C104+C105</f>
        <v>0</v>
      </c>
      <c r="D106" s="412">
        <f>D103+D104+D105</f>
        <v>0</v>
      </c>
      <c r="E106" s="411"/>
      <c r="F106" s="352"/>
    </row>
    <row r="107" spans="1:6" s="393" customFormat="1">
      <c r="A107" s="391" t="s">
        <v>1040</v>
      </c>
      <c r="B107" s="410"/>
      <c r="C107" s="411">
        <f>C7</f>
        <v>0</v>
      </c>
      <c r="D107" s="412">
        <f>D7</f>
        <v>0</v>
      </c>
      <c r="E107" s="411"/>
      <c r="F107" s="352"/>
    </row>
    <row r="108" spans="1:6" s="393" customFormat="1">
      <c r="A108" s="402"/>
      <c r="B108" s="388"/>
      <c r="C108" s="403"/>
      <c r="D108" s="404"/>
      <c r="E108" s="403"/>
      <c r="F108" s="352"/>
    </row>
    <row r="109" spans="1:6" s="393" customFormat="1">
      <c r="A109" s="401" t="s">
        <v>1041</v>
      </c>
      <c r="B109" s="388"/>
      <c r="C109" s="403"/>
      <c r="D109" s="404"/>
      <c r="E109" s="403"/>
      <c r="F109" s="352"/>
    </row>
    <row r="110" spans="1:6" s="393" customFormat="1">
      <c r="A110" s="402" t="s">
        <v>1042</v>
      </c>
      <c r="B110" s="388"/>
      <c r="C110" s="403">
        <f>(B63+B64)-(C63+C64)+B65+C27-C65</f>
        <v>0</v>
      </c>
      <c r="D110" s="404">
        <f>(C63+C64)-(D63+D64)+C65+D27-D65</f>
        <v>0</v>
      </c>
      <c r="E110" s="403"/>
      <c r="F110" s="352"/>
    </row>
    <row r="111" spans="1:6" s="393" customFormat="1">
      <c r="A111" s="402" t="s">
        <v>1043</v>
      </c>
      <c r="B111" s="388"/>
      <c r="C111" s="403">
        <f t="shared" ref="C111:D112" si="0">B68+B78-C68-C78</f>
        <v>0</v>
      </c>
      <c r="D111" s="404">
        <f t="shared" si="0"/>
        <v>0</v>
      </c>
      <c r="E111" s="403"/>
      <c r="F111" s="352"/>
    </row>
    <row r="112" spans="1:6" s="393" customFormat="1">
      <c r="A112" s="402" t="s">
        <v>1044</v>
      </c>
      <c r="B112" s="388"/>
      <c r="C112" s="403">
        <f t="shared" si="0"/>
        <v>0</v>
      </c>
      <c r="D112" s="404">
        <f t="shared" si="0"/>
        <v>0</v>
      </c>
      <c r="E112" s="403"/>
      <c r="F112" s="352"/>
    </row>
    <row r="113" spans="1:6" s="393" customFormat="1">
      <c r="A113" s="391" t="s">
        <v>1045</v>
      </c>
      <c r="B113" s="413"/>
      <c r="C113" s="411">
        <f>SUM(C110:C112)</f>
        <v>0</v>
      </c>
      <c r="D113" s="412">
        <f>SUM(D110:D112)</f>
        <v>0</v>
      </c>
      <c r="E113" s="411"/>
      <c r="F113" s="352"/>
    </row>
    <row r="114" spans="1:6" s="393" customFormat="1">
      <c r="A114" s="402"/>
      <c r="B114" s="388"/>
      <c r="C114" s="403"/>
      <c r="D114" s="404"/>
      <c r="E114" s="403"/>
      <c r="F114" s="352"/>
    </row>
    <row r="115" spans="1:6" s="393" customFormat="1">
      <c r="A115" s="401" t="s">
        <v>1046</v>
      </c>
      <c r="B115" s="388"/>
      <c r="C115" s="403"/>
      <c r="D115" s="404"/>
      <c r="E115" s="403"/>
      <c r="F115" s="352"/>
    </row>
    <row r="116" spans="1:6" s="393" customFormat="1">
      <c r="A116" s="402" t="s">
        <v>1047</v>
      </c>
      <c r="B116" s="388"/>
      <c r="C116" s="403">
        <f>C50-B50</f>
        <v>0</v>
      </c>
      <c r="D116" s="404">
        <f>D50-C50</f>
        <v>0</v>
      </c>
      <c r="E116" s="403"/>
      <c r="F116" s="352"/>
    </row>
    <row r="117" spans="1:6" s="393" customFormat="1">
      <c r="A117" s="402" t="s">
        <v>1048</v>
      </c>
      <c r="B117" s="388"/>
      <c r="C117" s="403">
        <f>C51+C52-B51-B52</f>
        <v>0</v>
      </c>
      <c r="D117" s="404">
        <f>D51+D52-C51-C52</f>
        <v>0</v>
      </c>
      <c r="E117" s="403"/>
      <c r="F117" s="352"/>
    </row>
    <row r="118" spans="1:6" s="393" customFormat="1">
      <c r="A118" s="402" t="s">
        <v>1049</v>
      </c>
      <c r="B118" s="388"/>
      <c r="C118" s="403">
        <f>C49-B49</f>
        <v>0</v>
      </c>
      <c r="D118" s="404">
        <f>D49-C49</f>
        <v>0</v>
      </c>
      <c r="E118" s="403"/>
      <c r="F118" s="352"/>
    </row>
    <row r="119" spans="1:6" s="393" customFormat="1">
      <c r="A119" s="402" t="s">
        <v>1050</v>
      </c>
      <c r="B119" s="388"/>
      <c r="C119" s="403">
        <f>(C45-C35)-B45</f>
        <v>0</v>
      </c>
      <c r="D119" s="404">
        <f>(D45-D35)-C45</f>
        <v>0</v>
      </c>
      <c r="E119" s="403"/>
      <c r="F119" s="352"/>
    </row>
    <row r="120" spans="1:6" s="393" customFormat="1">
      <c r="A120" s="402" t="s">
        <v>1051</v>
      </c>
      <c r="B120" s="388"/>
      <c r="C120" s="403">
        <f>C47-B47</f>
        <v>0</v>
      </c>
      <c r="D120" s="404">
        <f>D47-C47</f>
        <v>0</v>
      </c>
      <c r="E120" s="403"/>
      <c r="F120" s="352"/>
    </row>
    <row r="121" spans="1:6" s="393" customFormat="1">
      <c r="A121" s="391" t="s">
        <v>1052</v>
      </c>
      <c r="B121" s="413"/>
      <c r="C121" s="411">
        <f>SUM(C116:C120)</f>
        <v>0</v>
      </c>
      <c r="D121" s="412">
        <f>SUM(D116:D120)</f>
        <v>0</v>
      </c>
      <c r="E121" s="411"/>
      <c r="F121" s="352"/>
    </row>
    <row r="122" spans="1:6" s="393" customFormat="1">
      <c r="A122" s="391" t="s">
        <v>1053</v>
      </c>
      <c r="B122" s="413"/>
      <c r="C122" s="411">
        <f>C106+C107+C113+C121</f>
        <v>0</v>
      </c>
      <c r="D122" s="412">
        <f>D106+D107+D113+D121</f>
        <v>0</v>
      </c>
      <c r="E122" s="411"/>
      <c r="F122" s="352"/>
    </row>
    <row r="123" spans="1:6" s="393" customFormat="1">
      <c r="A123" s="402"/>
      <c r="B123" s="388"/>
      <c r="C123" s="403"/>
      <c r="D123" s="404"/>
      <c r="E123" s="403"/>
      <c r="F123" s="352"/>
    </row>
    <row r="124" spans="1:6" s="393" customFormat="1">
      <c r="A124" s="391" t="s">
        <v>1054</v>
      </c>
      <c r="B124" s="413"/>
      <c r="C124" s="414">
        <f>B74</f>
        <v>0</v>
      </c>
      <c r="D124" s="415">
        <f>C74</f>
        <v>0</v>
      </c>
      <c r="E124" s="414"/>
      <c r="F124" s="352"/>
    </row>
    <row r="125" spans="1:6" s="393" customFormat="1">
      <c r="A125" s="391" t="s">
        <v>1055</v>
      </c>
      <c r="B125" s="413"/>
      <c r="C125" s="414">
        <f>C74</f>
        <v>0</v>
      </c>
      <c r="D125" s="415">
        <f>D74</f>
        <v>0</v>
      </c>
      <c r="E125" s="414"/>
      <c r="F125" s="352"/>
    </row>
    <row r="126" spans="1:6" s="393" customFormat="1">
      <c r="A126" s="402"/>
      <c r="B126" s="388"/>
      <c r="C126" s="403"/>
      <c r="D126" s="404"/>
      <c r="E126" s="403"/>
      <c r="F126" s="352"/>
    </row>
    <row r="127" spans="1:6" s="393" customFormat="1">
      <c r="A127" s="402" t="s">
        <v>1056</v>
      </c>
      <c r="B127" s="388"/>
      <c r="C127" s="403">
        <f>C124+C122-C125</f>
        <v>0</v>
      </c>
      <c r="D127" s="404">
        <f>D124+D122-D125</f>
        <v>0</v>
      </c>
      <c r="E127" s="403"/>
      <c r="F127" s="352"/>
    </row>
    <row r="128" spans="1:6" s="393" customFormat="1">
      <c r="A128" s="373"/>
      <c r="B128" s="390"/>
      <c r="C128" s="390"/>
      <c r="D128" s="416"/>
      <c r="E128" s="417"/>
      <c r="F128" s="352"/>
    </row>
    <row r="129"/>
    <row r="130"/>
    <row r="131"/>
  </sheetData>
  <dataValidations count="1">
    <dataValidation type="list" allowBlank="1" showInputMessage="1" showErrorMessage="1" sqref="B1:D1" xr:uid="{00000000-0002-0000-0D00-000000000000}">
      <formula1>Accnt_Holder</formula1>
    </dataValidation>
  </dataValidations>
  <pageMargins left="0.69930555555555596" right="0.69930555555555596" top="0.75" bottom="0.75" header="0.3" footer="0.3"/>
  <pageSetup orientation="portrait" r:id="rId1"/>
  <headerFooter alignWithMargins="0"/>
  <ignoredErrors>
    <ignoredError sqref="B41:D41" unlockedFormula="1"/>
    <ignoredError sqref="B8:D8" formulaRange="1"/>
    <ignoredError sqref="B85:D96" evalError="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U37"/>
  <sheetViews>
    <sheetView showGridLines="0" workbookViewId="0"/>
  </sheetViews>
  <sheetFormatPr defaultRowHeight="12.75"/>
  <cols>
    <col min="1" max="1" width="9.140625" style="418"/>
    <col min="2" max="2" width="52" style="418" bestFit="1" customWidth="1"/>
    <col min="3" max="3" width="21" style="419" bestFit="1" customWidth="1"/>
    <col min="4" max="6" width="20.140625" style="419" bestFit="1" customWidth="1"/>
    <col min="7" max="7" width="13.7109375" style="419" customWidth="1"/>
    <col min="8" max="47" width="12.28515625" style="419" customWidth="1"/>
    <col min="48" max="16384" width="9.140625" style="418"/>
  </cols>
  <sheetData>
    <row r="2" spans="2:47">
      <c r="B2" s="1019" t="s">
        <v>893</v>
      </c>
      <c r="C2" s="1019"/>
      <c r="D2" s="525"/>
    </row>
    <row r="3" spans="2:47">
      <c r="B3" s="1016" t="s">
        <v>894</v>
      </c>
      <c r="C3" s="1016"/>
      <c r="D3" s="525">
        <v>0</v>
      </c>
    </row>
    <row r="4" spans="2:47">
      <c r="B4" s="1016" t="s">
        <v>924</v>
      </c>
      <c r="C4" s="1016"/>
      <c r="D4" s="525">
        <v>0</v>
      </c>
    </row>
    <row r="5" spans="2:47">
      <c r="B5" s="1016" t="s">
        <v>1234</v>
      </c>
      <c r="C5" s="1016"/>
      <c r="D5" s="543">
        <v>0</v>
      </c>
    </row>
    <row r="6" spans="2:47">
      <c r="B6" s="1016" t="s">
        <v>1238</v>
      </c>
      <c r="C6" s="1016"/>
      <c r="D6" s="543">
        <v>0</v>
      </c>
    </row>
    <row r="7" spans="2:47">
      <c r="B7" s="1016" t="s">
        <v>1240</v>
      </c>
      <c r="C7" s="1016"/>
      <c r="D7" s="543"/>
    </row>
    <row r="8" spans="2:47" ht="13.5" thickBot="1">
      <c r="B8" s="1017" t="s">
        <v>1275</v>
      </c>
      <c r="C8" s="1018"/>
      <c r="D8" s="526"/>
    </row>
    <row r="9" spans="2:47">
      <c r="B9" s="523" t="s">
        <v>895</v>
      </c>
      <c r="C9" s="524">
        <v>1</v>
      </c>
      <c r="D9" s="524">
        <v>2</v>
      </c>
      <c r="E9" s="427">
        <v>3</v>
      </c>
      <c r="F9" s="427">
        <v>4</v>
      </c>
      <c r="G9" s="427">
        <v>5</v>
      </c>
      <c r="H9" s="427">
        <v>6</v>
      </c>
      <c r="I9" s="427">
        <v>7</v>
      </c>
      <c r="J9" s="427">
        <v>8</v>
      </c>
      <c r="K9" s="427">
        <v>9</v>
      </c>
      <c r="L9" s="427">
        <v>10</v>
      </c>
      <c r="M9" s="427">
        <v>11</v>
      </c>
      <c r="N9" s="427">
        <v>12</v>
      </c>
      <c r="O9" s="427">
        <v>13</v>
      </c>
      <c r="P9" s="427">
        <v>14</v>
      </c>
      <c r="Q9" s="427">
        <v>15</v>
      </c>
      <c r="R9" s="427">
        <v>16</v>
      </c>
      <c r="S9" s="427">
        <v>17</v>
      </c>
      <c r="T9" s="427">
        <v>18</v>
      </c>
      <c r="U9" s="427">
        <v>19</v>
      </c>
      <c r="V9" s="427">
        <v>20</v>
      </c>
      <c r="W9" s="427">
        <v>21</v>
      </c>
      <c r="X9" s="427">
        <v>22</v>
      </c>
      <c r="Y9" s="427"/>
      <c r="Z9" s="427"/>
      <c r="AA9" s="427"/>
      <c r="AB9" s="427"/>
      <c r="AC9" s="427"/>
      <c r="AD9" s="427"/>
      <c r="AE9" s="427"/>
      <c r="AF9" s="427"/>
      <c r="AG9" s="427"/>
      <c r="AH9" s="427"/>
      <c r="AI9" s="427"/>
      <c r="AJ9" s="427"/>
      <c r="AK9" s="427"/>
      <c r="AL9" s="427"/>
      <c r="AM9" s="427"/>
      <c r="AN9" s="427"/>
      <c r="AO9" s="427"/>
      <c r="AP9" s="427"/>
      <c r="AQ9" s="427"/>
      <c r="AR9" s="427"/>
      <c r="AS9" s="427"/>
      <c r="AT9" s="427"/>
      <c r="AU9" s="427"/>
    </row>
    <row r="10" spans="2:47">
      <c r="B10" s="428" t="s">
        <v>896</v>
      </c>
      <c r="C10" s="420"/>
      <c r="D10" s="420"/>
      <c r="E10" s="420"/>
      <c r="F10" s="420"/>
      <c r="G10" s="420"/>
      <c r="H10" s="467"/>
      <c r="I10" s="467"/>
      <c r="J10" s="467"/>
      <c r="K10" s="467"/>
      <c r="L10" s="467"/>
      <c r="M10" s="420"/>
      <c r="N10" s="420"/>
      <c r="O10" s="420"/>
      <c r="P10" s="420"/>
      <c r="Q10" s="420"/>
      <c r="R10" s="420"/>
      <c r="S10" s="420"/>
      <c r="T10" s="420"/>
      <c r="U10" s="420"/>
      <c r="V10" s="420"/>
      <c r="W10" s="420"/>
      <c r="X10" s="420"/>
      <c r="Y10" s="420"/>
      <c r="Z10" s="420"/>
      <c r="AA10" s="420"/>
      <c r="AB10" s="420"/>
      <c r="AC10" s="420"/>
      <c r="AD10" s="420"/>
      <c r="AE10" s="420"/>
      <c r="AF10" s="420"/>
      <c r="AG10" s="420"/>
      <c r="AH10" s="420"/>
      <c r="AI10" s="420"/>
      <c r="AJ10" s="420"/>
      <c r="AK10" s="420"/>
      <c r="AL10" s="420"/>
      <c r="AM10" s="420"/>
      <c r="AN10" s="420"/>
      <c r="AO10" s="420"/>
      <c r="AP10" s="420"/>
      <c r="AQ10" s="420"/>
      <c r="AR10" s="420"/>
      <c r="AS10" s="420"/>
      <c r="AT10" s="420"/>
      <c r="AU10" s="420"/>
    </row>
    <row r="11" spans="2:47" s="451" customFormat="1">
      <c r="B11" s="449" t="s">
        <v>849</v>
      </c>
      <c r="C11" s="450"/>
      <c r="D11" s="450"/>
      <c r="E11" s="450"/>
      <c r="F11" s="450"/>
      <c r="G11" s="450"/>
      <c r="H11" s="469"/>
      <c r="I11" s="469"/>
      <c r="J11" s="469"/>
      <c r="K11" s="469"/>
      <c r="L11" s="469"/>
      <c r="M11" s="450"/>
      <c r="N11" s="450"/>
      <c r="O11" s="450"/>
      <c r="P11" s="450"/>
      <c r="Q11" s="450"/>
      <c r="R11" s="450"/>
      <c r="S11" s="450"/>
      <c r="T11" s="450"/>
      <c r="U11" s="450"/>
      <c r="V11" s="450"/>
      <c r="W11" s="450"/>
      <c r="X11" s="450"/>
      <c r="Y11" s="450"/>
      <c r="Z11" s="450"/>
      <c r="AA11" s="450"/>
      <c r="AB11" s="450"/>
      <c r="AC11" s="450"/>
      <c r="AD11" s="450"/>
      <c r="AE11" s="450"/>
      <c r="AF11" s="450"/>
      <c r="AG11" s="450"/>
      <c r="AH11" s="450"/>
      <c r="AI11" s="450"/>
      <c r="AJ11" s="450"/>
      <c r="AK11" s="450"/>
      <c r="AL11" s="450"/>
      <c r="AM11" s="450"/>
      <c r="AN11" s="450"/>
      <c r="AO11" s="450"/>
      <c r="AP11" s="450"/>
      <c r="AQ11" s="450"/>
      <c r="AR11" s="450"/>
      <c r="AS11" s="450"/>
      <c r="AT11" s="450"/>
      <c r="AU11" s="450"/>
    </row>
    <row r="12" spans="2:47">
      <c r="B12" s="428" t="s">
        <v>897</v>
      </c>
      <c r="C12" s="423"/>
      <c r="D12" s="423"/>
      <c r="E12" s="423"/>
      <c r="F12" s="423"/>
      <c r="G12" s="423"/>
      <c r="H12" s="423"/>
      <c r="I12" s="423"/>
      <c r="J12" s="423"/>
      <c r="K12" s="470"/>
      <c r="L12" s="470"/>
      <c r="M12" s="423"/>
      <c r="N12" s="423"/>
      <c r="O12" s="423"/>
      <c r="P12" s="423"/>
      <c r="Q12" s="423"/>
      <c r="R12" s="423"/>
      <c r="S12" s="423"/>
      <c r="T12" s="423"/>
      <c r="U12" s="423"/>
      <c r="V12" s="423"/>
      <c r="W12" s="423"/>
      <c r="X12" s="423"/>
      <c r="Y12" s="423"/>
      <c r="Z12" s="423"/>
      <c r="AA12" s="423"/>
      <c r="AB12" s="423"/>
      <c r="AC12" s="423"/>
      <c r="AD12" s="423"/>
      <c r="AE12" s="423"/>
      <c r="AF12" s="423"/>
      <c r="AG12" s="423"/>
      <c r="AH12" s="423"/>
      <c r="AI12" s="423"/>
      <c r="AJ12" s="423"/>
      <c r="AK12" s="423"/>
      <c r="AL12" s="423"/>
      <c r="AM12" s="423"/>
      <c r="AN12" s="423"/>
      <c r="AO12" s="423"/>
      <c r="AP12" s="423"/>
      <c r="AQ12" s="423"/>
      <c r="AR12" s="423"/>
      <c r="AS12" s="423"/>
      <c r="AT12" s="423"/>
      <c r="AU12" s="423"/>
    </row>
    <row r="13" spans="2:47">
      <c r="B13" s="428" t="s">
        <v>927</v>
      </c>
      <c r="C13" s="423"/>
      <c r="D13" s="423"/>
      <c r="E13" s="423"/>
      <c r="F13" s="423"/>
      <c r="G13" s="423"/>
      <c r="H13" s="423"/>
      <c r="I13" s="423"/>
      <c r="J13" s="423"/>
      <c r="K13" s="470"/>
      <c r="L13" s="470"/>
      <c r="M13" s="423"/>
      <c r="N13" s="423"/>
      <c r="O13" s="423"/>
      <c r="P13" s="423"/>
      <c r="Q13" s="423"/>
      <c r="R13" s="423"/>
      <c r="S13" s="423"/>
      <c r="T13" s="423"/>
      <c r="U13" s="423"/>
      <c r="V13" s="423"/>
      <c r="W13" s="423"/>
      <c r="X13" s="423"/>
      <c r="Y13" s="423"/>
      <c r="Z13" s="423"/>
      <c r="AA13" s="423"/>
      <c r="AB13" s="423"/>
      <c r="AC13" s="423"/>
      <c r="AD13" s="423"/>
      <c r="AE13" s="423"/>
      <c r="AF13" s="423"/>
      <c r="AG13" s="423"/>
      <c r="AH13" s="423"/>
      <c r="AI13" s="423"/>
      <c r="AJ13" s="423"/>
      <c r="AK13" s="423"/>
      <c r="AL13" s="423"/>
      <c r="AM13" s="423"/>
      <c r="AN13" s="423"/>
      <c r="AO13" s="423"/>
      <c r="AP13" s="423"/>
      <c r="AQ13" s="423"/>
      <c r="AR13" s="423"/>
      <c r="AS13" s="423"/>
      <c r="AT13" s="423"/>
      <c r="AU13" s="423"/>
    </row>
    <row r="14" spans="2:47">
      <c r="B14" s="428" t="s">
        <v>898</v>
      </c>
      <c r="C14" s="423"/>
      <c r="D14" s="423"/>
      <c r="E14" s="423"/>
      <c r="F14" s="423"/>
      <c r="G14" s="423"/>
      <c r="H14" s="423"/>
      <c r="I14" s="423"/>
      <c r="J14" s="423"/>
      <c r="K14" s="470"/>
      <c r="L14" s="470"/>
      <c r="M14" s="423"/>
      <c r="N14" s="423"/>
      <c r="O14" s="423"/>
      <c r="P14" s="423"/>
      <c r="Q14" s="423"/>
      <c r="R14" s="423"/>
      <c r="S14" s="423"/>
      <c r="T14" s="423"/>
      <c r="U14" s="423"/>
      <c r="V14" s="423"/>
      <c r="W14" s="423"/>
      <c r="X14" s="423"/>
      <c r="Y14" s="423"/>
      <c r="Z14" s="423"/>
      <c r="AA14" s="423"/>
      <c r="AB14" s="423"/>
      <c r="AC14" s="423"/>
      <c r="AD14" s="423"/>
      <c r="AE14" s="423"/>
      <c r="AF14" s="423"/>
      <c r="AG14" s="423"/>
      <c r="AH14" s="423"/>
      <c r="AI14" s="423"/>
      <c r="AJ14" s="423"/>
      <c r="AK14" s="423"/>
      <c r="AL14" s="423"/>
      <c r="AM14" s="423"/>
      <c r="AN14" s="423"/>
      <c r="AO14" s="423"/>
      <c r="AP14" s="423"/>
      <c r="AQ14" s="423"/>
      <c r="AR14" s="423"/>
      <c r="AS14" s="423"/>
      <c r="AT14" s="423"/>
      <c r="AU14" s="423"/>
    </row>
    <row r="15" spans="2:47">
      <c r="B15" s="428" t="s">
        <v>899</v>
      </c>
      <c r="C15" s="467"/>
      <c r="D15" s="420"/>
      <c r="E15" s="420"/>
      <c r="F15" s="420"/>
      <c r="G15" s="454"/>
      <c r="H15" s="467"/>
      <c r="I15" s="467"/>
      <c r="J15" s="467"/>
      <c r="K15" s="467"/>
      <c r="L15" s="467"/>
      <c r="M15" s="420"/>
      <c r="N15" s="420"/>
      <c r="O15" s="420"/>
      <c r="P15" s="420"/>
      <c r="Q15" s="420"/>
      <c r="R15" s="420"/>
      <c r="S15" s="420"/>
      <c r="T15" s="420"/>
      <c r="U15" s="420"/>
      <c r="V15" s="420"/>
      <c r="W15" s="420"/>
      <c r="X15" s="420"/>
      <c r="Y15" s="420"/>
      <c r="Z15" s="420"/>
      <c r="AA15" s="420"/>
      <c r="AB15" s="420"/>
      <c r="AC15" s="420"/>
      <c r="AD15" s="420"/>
      <c r="AE15" s="420"/>
      <c r="AF15" s="420"/>
      <c r="AG15" s="420"/>
      <c r="AH15" s="420"/>
      <c r="AI15" s="420"/>
      <c r="AJ15" s="420"/>
      <c r="AK15" s="420"/>
      <c r="AL15" s="420"/>
      <c r="AM15" s="420"/>
      <c r="AN15" s="420"/>
      <c r="AO15" s="420"/>
      <c r="AP15" s="420"/>
      <c r="AQ15" s="420"/>
      <c r="AR15" s="420"/>
      <c r="AS15" s="420"/>
      <c r="AT15" s="420"/>
      <c r="AU15" s="420"/>
    </row>
    <row r="16" spans="2:47">
      <c r="B16" s="428" t="s">
        <v>900</v>
      </c>
      <c r="C16" s="420"/>
      <c r="D16" s="420"/>
      <c r="E16" s="420"/>
      <c r="F16" s="420"/>
      <c r="G16" s="420"/>
      <c r="H16" s="467"/>
      <c r="I16" s="467"/>
      <c r="J16" s="467"/>
      <c r="K16" s="467"/>
      <c r="L16" s="467"/>
      <c r="M16" s="420"/>
      <c r="N16" s="420"/>
      <c r="O16" s="420"/>
      <c r="P16" s="420"/>
      <c r="Q16" s="420"/>
      <c r="R16" s="420"/>
      <c r="S16" s="420"/>
      <c r="T16" s="420"/>
      <c r="U16" s="420"/>
      <c r="V16" s="420"/>
      <c r="W16" s="420"/>
      <c r="X16" s="420"/>
      <c r="Y16" s="420"/>
      <c r="Z16" s="420"/>
      <c r="AA16" s="420"/>
      <c r="AB16" s="420"/>
      <c r="AC16" s="420"/>
      <c r="AD16" s="420"/>
      <c r="AE16" s="420"/>
      <c r="AF16" s="420"/>
      <c r="AG16" s="420"/>
      <c r="AH16" s="420"/>
      <c r="AI16" s="420"/>
      <c r="AJ16" s="420"/>
      <c r="AK16" s="420"/>
      <c r="AL16" s="420"/>
      <c r="AM16" s="420"/>
      <c r="AN16" s="420"/>
      <c r="AO16" s="420"/>
      <c r="AP16" s="420"/>
      <c r="AQ16" s="420"/>
      <c r="AR16" s="420"/>
      <c r="AS16" s="420"/>
      <c r="AT16" s="420"/>
      <c r="AU16" s="420"/>
    </row>
    <row r="17" spans="2:47">
      <c r="B17" s="428" t="s">
        <v>901</v>
      </c>
      <c r="C17" s="424"/>
      <c r="D17" s="424"/>
      <c r="E17" s="424"/>
      <c r="F17" s="424"/>
      <c r="G17" s="424"/>
      <c r="H17" s="471"/>
      <c r="I17" s="471"/>
      <c r="J17" s="471"/>
      <c r="K17" s="471"/>
      <c r="L17" s="471"/>
      <c r="M17" s="424"/>
      <c r="N17" s="424"/>
      <c r="O17" s="424"/>
      <c r="P17" s="424"/>
      <c r="Q17" s="424"/>
      <c r="R17" s="424"/>
      <c r="S17" s="424"/>
      <c r="T17" s="424"/>
      <c r="U17" s="424"/>
      <c r="V17" s="424"/>
      <c r="W17" s="424"/>
      <c r="X17" s="424"/>
      <c r="Y17" s="424"/>
      <c r="Z17" s="424"/>
      <c r="AA17" s="424"/>
      <c r="AB17" s="424"/>
      <c r="AC17" s="424"/>
      <c r="AD17" s="424"/>
      <c r="AE17" s="424"/>
      <c r="AF17" s="424"/>
      <c r="AG17" s="424"/>
      <c r="AH17" s="424"/>
      <c r="AI17" s="424"/>
      <c r="AJ17" s="424"/>
      <c r="AK17" s="424"/>
      <c r="AL17" s="424"/>
      <c r="AM17" s="424"/>
      <c r="AN17" s="424"/>
      <c r="AO17" s="424"/>
      <c r="AP17" s="424"/>
      <c r="AQ17" s="424"/>
      <c r="AR17" s="424"/>
      <c r="AS17" s="424"/>
      <c r="AT17" s="424"/>
      <c r="AU17" s="424"/>
    </row>
    <row r="18" spans="2:47">
      <c r="B18" s="428" t="s">
        <v>902</v>
      </c>
      <c r="C18" s="467"/>
      <c r="D18" s="420"/>
      <c r="E18" s="420"/>
      <c r="F18" s="420"/>
      <c r="G18" s="420"/>
      <c r="H18" s="467"/>
      <c r="I18" s="467"/>
      <c r="J18" s="467"/>
      <c r="K18" s="467"/>
      <c r="L18" s="467"/>
      <c r="M18" s="420"/>
      <c r="N18" s="420"/>
      <c r="O18" s="420"/>
      <c r="P18" s="420"/>
      <c r="Q18" s="420"/>
      <c r="R18" s="420"/>
      <c r="S18" s="420"/>
      <c r="T18" s="420"/>
      <c r="U18" s="420"/>
      <c r="V18" s="420"/>
      <c r="W18" s="420"/>
      <c r="X18" s="420"/>
      <c r="Y18" s="420"/>
      <c r="Z18" s="420"/>
      <c r="AA18" s="420"/>
      <c r="AB18" s="420"/>
      <c r="AC18" s="420"/>
      <c r="AD18" s="420"/>
      <c r="AE18" s="420"/>
      <c r="AF18" s="420"/>
      <c r="AG18" s="420"/>
      <c r="AH18" s="420"/>
      <c r="AI18" s="420"/>
      <c r="AJ18" s="420"/>
      <c r="AK18" s="420"/>
      <c r="AL18" s="420"/>
      <c r="AM18" s="420"/>
      <c r="AN18" s="420"/>
      <c r="AO18" s="420"/>
      <c r="AP18" s="420"/>
      <c r="AQ18" s="420"/>
      <c r="AR18" s="420"/>
      <c r="AS18" s="420"/>
      <c r="AT18" s="420"/>
      <c r="AU18" s="420"/>
    </row>
    <row r="19" spans="2:47">
      <c r="B19" s="428" t="s">
        <v>903</v>
      </c>
      <c r="C19" s="468"/>
      <c r="D19" s="421"/>
      <c r="E19" s="421"/>
      <c r="F19" s="421"/>
      <c r="G19" s="421"/>
      <c r="H19" s="468"/>
      <c r="I19" s="468"/>
      <c r="J19" s="468"/>
      <c r="K19" s="468"/>
      <c r="L19" s="468"/>
      <c r="M19" s="421"/>
      <c r="N19" s="421"/>
      <c r="O19" s="421"/>
      <c r="P19" s="421"/>
      <c r="Q19" s="421"/>
      <c r="R19" s="421"/>
      <c r="S19" s="421"/>
      <c r="T19" s="421"/>
      <c r="U19" s="421"/>
      <c r="V19" s="421"/>
      <c r="W19" s="421"/>
      <c r="X19" s="421"/>
      <c r="Y19" s="421"/>
      <c r="Z19" s="421"/>
      <c r="AA19" s="421"/>
      <c r="AB19" s="421"/>
      <c r="AC19" s="421"/>
      <c r="AD19" s="421"/>
      <c r="AE19" s="421"/>
      <c r="AF19" s="421"/>
      <c r="AG19" s="421"/>
      <c r="AH19" s="421"/>
      <c r="AI19" s="421"/>
      <c r="AJ19" s="421"/>
      <c r="AK19" s="421"/>
      <c r="AL19" s="421"/>
      <c r="AM19" s="421"/>
      <c r="AN19" s="421"/>
      <c r="AO19" s="421"/>
      <c r="AP19" s="421"/>
      <c r="AQ19" s="421"/>
      <c r="AR19" s="421"/>
      <c r="AS19" s="421"/>
      <c r="AT19" s="421"/>
      <c r="AU19" s="421"/>
    </row>
    <row r="20" spans="2:47">
      <c r="B20" s="428" t="s">
        <v>904</v>
      </c>
      <c r="C20" s="425">
        <f t="shared" ref="C20:D20" si="0">C19+(30*C18)</f>
        <v>0</v>
      </c>
      <c r="D20" s="425">
        <f t="shared" si="0"/>
        <v>0</v>
      </c>
      <c r="E20" s="425">
        <f t="shared" ref="E20:R20" si="1">E19+(30*E18)</f>
        <v>0</v>
      </c>
      <c r="F20" s="425">
        <f t="shared" si="1"/>
        <v>0</v>
      </c>
      <c r="G20" s="425">
        <f t="shared" si="1"/>
        <v>0</v>
      </c>
      <c r="H20" s="425">
        <f t="shared" si="1"/>
        <v>0</v>
      </c>
      <c r="I20" s="425">
        <f t="shared" si="1"/>
        <v>0</v>
      </c>
      <c r="J20" s="425">
        <f t="shared" si="1"/>
        <v>0</v>
      </c>
      <c r="K20" s="425">
        <f t="shared" si="1"/>
        <v>0</v>
      </c>
      <c r="L20" s="425">
        <f t="shared" si="1"/>
        <v>0</v>
      </c>
      <c r="M20" s="425">
        <f t="shared" si="1"/>
        <v>0</v>
      </c>
      <c r="N20" s="425">
        <f t="shared" si="1"/>
        <v>0</v>
      </c>
      <c r="O20" s="425">
        <f t="shared" si="1"/>
        <v>0</v>
      </c>
      <c r="P20" s="425">
        <f t="shared" si="1"/>
        <v>0</v>
      </c>
      <c r="Q20" s="425">
        <f t="shared" si="1"/>
        <v>0</v>
      </c>
      <c r="R20" s="425">
        <f t="shared" si="1"/>
        <v>0</v>
      </c>
      <c r="S20" s="425"/>
      <c r="T20" s="425"/>
      <c r="U20" s="425"/>
      <c r="V20" s="425"/>
      <c r="W20" s="425"/>
      <c r="X20" s="425"/>
      <c r="Y20" s="425"/>
      <c r="Z20" s="425"/>
      <c r="AA20" s="425"/>
      <c r="AB20" s="425"/>
      <c r="AC20" s="425"/>
      <c r="AD20" s="425"/>
      <c r="AE20" s="425"/>
      <c r="AF20" s="425"/>
      <c r="AG20" s="425"/>
      <c r="AH20" s="425"/>
      <c r="AI20" s="425"/>
      <c r="AJ20" s="425"/>
      <c r="AK20" s="425"/>
      <c r="AL20" s="425"/>
      <c r="AM20" s="425"/>
      <c r="AN20" s="425"/>
      <c r="AO20" s="425"/>
      <c r="AP20" s="425"/>
      <c r="AQ20" s="425"/>
      <c r="AR20" s="425"/>
      <c r="AS20" s="425"/>
      <c r="AT20" s="425"/>
      <c r="AU20" s="425"/>
    </row>
    <row r="21" spans="2:47">
      <c r="B21" s="428" t="s">
        <v>905</v>
      </c>
      <c r="C21" s="426">
        <f ca="1">(TODAY()-C19)/30-1</f>
        <v>1458.2333333333333</v>
      </c>
      <c r="D21" s="426">
        <f t="shared" ref="D21:R21" ca="1" si="2">(TODAY()-D19)/30-1</f>
        <v>1458.2333333333333</v>
      </c>
      <c r="E21" s="426">
        <f t="shared" ca="1" si="2"/>
        <v>1458.2333333333333</v>
      </c>
      <c r="F21" s="426">
        <f t="shared" ca="1" si="2"/>
        <v>1458.2333333333333</v>
      </c>
      <c r="G21" s="426">
        <f t="shared" ca="1" si="2"/>
        <v>1458.2333333333333</v>
      </c>
      <c r="H21" s="426">
        <f t="shared" ca="1" si="2"/>
        <v>1458.2333333333333</v>
      </c>
      <c r="I21" s="426">
        <f t="shared" ca="1" si="2"/>
        <v>1458.2333333333333</v>
      </c>
      <c r="J21" s="426">
        <f t="shared" ca="1" si="2"/>
        <v>1458.2333333333333</v>
      </c>
      <c r="K21" s="426">
        <f t="shared" ca="1" si="2"/>
        <v>1458.2333333333333</v>
      </c>
      <c r="L21" s="426">
        <f t="shared" ca="1" si="2"/>
        <v>1458.2333333333333</v>
      </c>
      <c r="M21" s="426">
        <f t="shared" ca="1" si="2"/>
        <v>1458.2333333333333</v>
      </c>
      <c r="N21" s="426">
        <f t="shared" ca="1" si="2"/>
        <v>1458.2333333333333</v>
      </c>
      <c r="O21" s="426">
        <f t="shared" ca="1" si="2"/>
        <v>1458.2333333333333</v>
      </c>
      <c r="P21" s="426">
        <f t="shared" ca="1" si="2"/>
        <v>1458.2333333333333</v>
      </c>
      <c r="Q21" s="426">
        <f t="shared" ca="1" si="2"/>
        <v>1458.2333333333333</v>
      </c>
      <c r="R21" s="426">
        <f t="shared" ca="1" si="2"/>
        <v>1458.2333333333333</v>
      </c>
      <c r="S21" s="426"/>
      <c r="T21" s="426"/>
      <c r="U21" s="426"/>
      <c r="V21" s="426"/>
      <c r="W21" s="426"/>
      <c r="X21" s="426"/>
      <c r="Y21" s="426"/>
      <c r="Z21" s="426"/>
      <c r="AA21" s="426"/>
      <c r="AB21" s="426"/>
      <c r="AC21" s="426"/>
      <c r="AD21" s="426"/>
      <c r="AE21" s="426"/>
      <c r="AF21" s="426"/>
      <c r="AG21" s="426"/>
      <c r="AH21" s="426"/>
      <c r="AI21" s="426"/>
      <c r="AJ21" s="426"/>
      <c r="AK21" s="426"/>
      <c r="AL21" s="426"/>
      <c r="AM21" s="426"/>
      <c r="AN21" s="426"/>
      <c r="AO21" s="426"/>
      <c r="AP21" s="426"/>
      <c r="AQ21" s="426"/>
      <c r="AR21" s="426"/>
      <c r="AS21" s="426"/>
      <c r="AT21" s="426"/>
      <c r="AU21" s="426"/>
    </row>
    <row r="22" spans="2:47">
      <c r="B22" s="428" t="s">
        <v>925</v>
      </c>
      <c r="C22" s="422">
        <f ca="1">C18-C21</f>
        <v>-1458.2333333333333</v>
      </c>
      <c r="D22" s="422">
        <f t="shared" ref="D22:R22" ca="1" si="3">D18-D21</f>
        <v>-1458.2333333333333</v>
      </c>
      <c r="E22" s="422">
        <f t="shared" ca="1" si="3"/>
        <v>-1458.2333333333333</v>
      </c>
      <c r="F22" s="422">
        <f t="shared" ca="1" si="3"/>
        <v>-1458.2333333333333</v>
      </c>
      <c r="G22" s="422">
        <f t="shared" ca="1" si="3"/>
        <v>-1458.2333333333333</v>
      </c>
      <c r="H22" s="422">
        <f t="shared" ca="1" si="3"/>
        <v>-1458.2333333333333</v>
      </c>
      <c r="I22" s="422">
        <f t="shared" ca="1" si="3"/>
        <v>-1458.2333333333333</v>
      </c>
      <c r="J22" s="422">
        <f t="shared" ca="1" si="3"/>
        <v>-1458.2333333333333</v>
      </c>
      <c r="K22" s="422">
        <f t="shared" ca="1" si="3"/>
        <v>-1458.2333333333333</v>
      </c>
      <c r="L22" s="422">
        <f t="shared" ca="1" si="3"/>
        <v>-1458.2333333333333</v>
      </c>
      <c r="M22" s="422">
        <f t="shared" ca="1" si="3"/>
        <v>-1458.2333333333333</v>
      </c>
      <c r="N22" s="422">
        <f t="shared" ca="1" si="3"/>
        <v>-1458.2333333333333</v>
      </c>
      <c r="O22" s="422">
        <f t="shared" ca="1" si="3"/>
        <v>-1458.2333333333333</v>
      </c>
      <c r="P22" s="422">
        <f t="shared" ca="1" si="3"/>
        <v>-1458.2333333333333</v>
      </c>
      <c r="Q22" s="422">
        <f t="shared" ca="1" si="3"/>
        <v>-1458.2333333333333</v>
      </c>
      <c r="R22" s="422">
        <f t="shared" ca="1" si="3"/>
        <v>-1458.2333333333333</v>
      </c>
      <c r="S22" s="422"/>
      <c r="T22" s="422"/>
      <c r="U22" s="422"/>
      <c r="V22" s="422"/>
      <c r="W22" s="422"/>
      <c r="X22" s="422"/>
      <c r="Y22" s="422"/>
      <c r="Z22" s="422"/>
      <c r="AA22" s="422"/>
      <c r="AB22" s="422"/>
      <c r="AC22" s="422"/>
      <c r="AD22" s="422"/>
      <c r="AE22" s="422"/>
      <c r="AF22" s="422"/>
      <c r="AG22" s="422"/>
      <c r="AH22" s="422"/>
      <c r="AI22" s="422"/>
      <c r="AJ22" s="422"/>
      <c r="AK22" s="422"/>
      <c r="AL22" s="422"/>
      <c r="AM22" s="422"/>
      <c r="AN22" s="422"/>
      <c r="AO22" s="422"/>
      <c r="AP22" s="422"/>
      <c r="AQ22" s="422"/>
      <c r="AR22" s="422"/>
      <c r="AS22" s="422"/>
      <c r="AT22" s="422"/>
      <c r="AU22" s="422"/>
    </row>
    <row r="23" spans="2:47">
      <c r="B23" s="428" t="s">
        <v>1058</v>
      </c>
      <c r="C23" s="420"/>
      <c r="D23" s="420"/>
      <c r="E23" s="420"/>
      <c r="F23" s="420"/>
      <c r="G23" s="420"/>
      <c r="H23" s="467"/>
      <c r="I23" s="467"/>
      <c r="J23" s="467"/>
      <c r="K23" s="467"/>
      <c r="L23" s="467"/>
      <c r="M23" s="420"/>
      <c r="N23" s="420"/>
      <c r="O23" s="420"/>
      <c r="P23" s="420"/>
      <c r="Q23" s="420"/>
      <c r="R23" s="420"/>
      <c r="S23" s="420"/>
      <c r="T23" s="420"/>
      <c r="U23" s="420"/>
      <c r="V23" s="420"/>
      <c r="W23" s="420"/>
      <c r="X23" s="420"/>
      <c r="Y23" s="420"/>
      <c r="Z23" s="420"/>
      <c r="AA23" s="420"/>
      <c r="AB23" s="420"/>
      <c r="AC23" s="420"/>
      <c r="AD23" s="420"/>
      <c r="AE23" s="420"/>
      <c r="AF23" s="420"/>
      <c r="AG23" s="420"/>
      <c r="AH23" s="420"/>
      <c r="AI23" s="420"/>
      <c r="AJ23" s="420"/>
      <c r="AK23" s="420"/>
      <c r="AL23" s="420"/>
      <c r="AM23" s="420"/>
      <c r="AN23" s="420"/>
      <c r="AO23" s="420"/>
      <c r="AP23" s="420"/>
      <c r="AQ23" s="420"/>
      <c r="AR23" s="420"/>
      <c r="AS23" s="420"/>
      <c r="AT23" s="420"/>
      <c r="AU23" s="420"/>
    </row>
    <row r="24" spans="2:47">
      <c r="B24" s="428" t="s">
        <v>906</v>
      </c>
      <c r="C24" s="420"/>
      <c r="D24" s="420"/>
      <c r="E24" s="420"/>
      <c r="F24" s="420"/>
      <c r="G24" s="420"/>
      <c r="H24" s="467"/>
      <c r="I24" s="467"/>
      <c r="J24" s="467"/>
      <c r="K24" s="467"/>
      <c r="L24" s="467"/>
      <c r="M24" s="420"/>
      <c r="N24" s="420"/>
      <c r="O24" s="420"/>
      <c r="P24" s="420"/>
      <c r="Q24" s="420"/>
      <c r="R24" s="420"/>
      <c r="S24" s="420"/>
      <c r="T24" s="420"/>
      <c r="U24" s="420"/>
      <c r="V24" s="420"/>
      <c r="W24" s="420"/>
      <c r="X24" s="420"/>
      <c r="Y24" s="420"/>
      <c r="Z24" s="420"/>
      <c r="AA24" s="420"/>
      <c r="AB24" s="420"/>
      <c r="AC24" s="420"/>
      <c r="AD24" s="420"/>
      <c r="AE24" s="420"/>
      <c r="AF24" s="420"/>
      <c r="AG24" s="420"/>
      <c r="AH24" s="420"/>
      <c r="AI24" s="420"/>
      <c r="AJ24" s="420"/>
      <c r="AK24" s="420"/>
      <c r="AL24" s="420"/>
      <c r="AM24" s="420"/>
      <c r="AN24" s="420"/>
      <c r="AO24" s="420"/>
      <c r="AP24" s="420"/>
      <c r="AQ24" s="420"/>
      <c r="AR24" s="420"/>
      <c r="AS24" s="420"/>
      <c r="AT24" s="420"/>
      <c r="AU24" s="420"/>
    </row>
    <row r="25" spans="2:47">
      <c r="B25" s="429">
        <f t="shared" ref="B25:B28" si="4">+B26+31</f>
        <v>43621</v>
      </c>
      <c r="C25" s="454"/>
      <c r="D25" s="454"/>
      <c r="E25" s="421"/>
      <c r="F25" s="421"/>
      <c r="G25" s="420"/>
      <c r="H25" s="468"/>
      <c r="I25" s="468"/>
      <c r="J25" s="468"/>
      <c r="K25" s="468"/>
      <c r="L25" s="467"/>
      <c r="M25" s="420"/>
      <c r="N25" s="420"/>
      <c r="O25" s="420"/>
      <c r="P25" s="420"/>
      <c r="Q25" s="420"/>
      <c r="R25" s="420"/>
      <c r="S25" s="420"/>
      <c r="T25" s="420"/>
      <c r="U25" s="420"/>
      <c r="V25" s="420"/>
      <c r="W25" s="420"/>
      <c r="X25" s="420"/>
      <c r="Y25" s="420"/>
      <c r="Z25" s="420"/>
      <c r="AA25" s="420"/>
      <c r="AB25" s="420"/>
      <c r="AC25" s="420"/>
      <c r="AD25" s="420"/>
      <c r="AE25" s="420"/>
      <c r="AF25" s="420"/>
      <c r="AG25" s="420"/>
      <c r="AH25" s="420"/>
      <c r="AI25" s="420"/>
      <c r="AJ25" s="420"/>
      <c r="AK25" s="420"/>
      <c r="AL25" s="420"/>
      <c r="AM25" s="420"/>
      <c r="AN25" s="420"/>
      <c r="AO25" s="420"/>
      <c r="AP25" s="420"/>
      <c r="AQ25" s="420"/>
      <c r="AR25" s="420"/>
      <c r="AS25" s="420"/>
      <c r="AT25" s="420"/>
      <c r="AU25" s="420"/>
    </row>
    <row r="26" spans="2:47">
      <c r="B26" s="429">
        <f t="shared" si="4"/>
        <v>43590</v>
      </c>
      <c r="C26" s="454"/>
      <c r="D26" s="454"/>
      <c r="E26" s="421"/>
      <c r="F26" s="421"/>
      <c r="G26" s="420"/>
      <c r="H26" s="468"/>
      <c r="I26" s="468"/>
      <c r="J26" s="468"/>
      <c r="K26" s="468"/>
      <c r="L26" s="467"/>
      <c r="M26" s="420"/>
      <c r="N26" s="420"/>
      <c r="O26" s="420"/>
      <c r="P26" s="420"/>
      <c r="Q26" s="420"/>
      <c r="R26" s="420"/>
      <c r="S26" s="420"/>
      <c r="T26" s="420"/>
      <c r="U26" s="420"/>
      <c r="V26" s="420"/>
      <c r="W26" s="420"/>
      <c r="X26" s="420"/>
      <c r="Y26" s="420"/>
      <c r="Z26" s="420"/>
      <c r="AA26" s="420"/>
      <c r="AB26" s="420"/>
      <c r="AC26" s="420"/>
      <c r="AD26" s="420"/>
      <c r="AE26" s="420"/>
      <c r="AF26" s="420"/>
      <c r="AG26" s="420"/>
      <c r="AH26" s="420"/>
      <c r="AI26" s="420"/>
      <c r="AJ26" s="420"/>
      <c r="AK26" s="420"/>
      <c r="AL26" s="420"/>
      <c r="AM26" s="420"/>
      <c r="AN26" s="420"/>
      <c r="AO26" s="420"/>
      <c r="AP26" s="420"/>
      <c r="AQ26" s="420"/>
      <c r="AR26" s="420"/>
      <c r="AS26" s="420"/>
      <c r="AT26" s="420"/>
      <c r="AU26" s="420"/>
    </row>
    <row r="27" spans="2:47">
      <c r="B27" s="429">
        <f t="shared" si="4"/>
        <v>43559</v>
      </c>
      <c r="C27" s="454"/>
      <c r="D27" s="454"/>
      <c r="E27" s="421"/>
      <c r="F27" s="421"/>
      <c r="G27" s="420"/>
      <c r="H27" s="468"/>
      <c r="I27" s="468"/>
      <c r="J27" s="468"/>
      <c r="K27" s="468"/>
      <c r="L27" s="467"/>
      <c r="M27" s="420"/>
      <c r="N27" s="420"/>
      <c r="O27" s="420"/>
      <c r="P27" s="420"/>
      <c r="Q27" s="420"/>
      <c r="R27" s="420"/>
      <c r="S27" s="420"/>
      <c r="T27" s="420"/>
      <c r="U27" s="420"/>
      <c r="V27" s="420"/>
      <c r="W27" s="420"/>
      <c r="X27" s="420"/>
      <c r="Y27" s="420"/>
      <c r="Z27" s="420"/>
      <c r="AA27" s="420"/>
      <c r="AB27" s="420"/>
      <c r="AC27" s="420"/>
      <c r="AD27" s="420"/>
      <c r="AE27" s="420"/>
      <c r="AF27" s="420"/>
      <c r="AG27" s="420"/>
      <c r="AH27" s="420"/>
      <c r="AI27" s="420"/>
      <c r="AJ27" s="420"/>
      <c r="AK27" s="420"/>
      <c r="AL27" s="420"/>
      <c r="AM27" s="420"/>
      <c r="AN27" s="420"/>
      <c r="AO27" s="420"/>
      <c r="AP27" s="420"/>
      <c r="AQ27" s="420"/>
      <c r="AR27" s="420"/>
      <c r="AS27" s="420"/>
      <c r="AT27" s="420"/>
      <c r="AU27" s="420"/>
    </row>
    <row r="28" spans="2:47">
      <c r="B28" s="429">
        <f t="shared" si="4"/>
        <v>43528</v>
      </c>
      <c r="C28" s="454"/>
      <c r="D28" s="454"/>
      <c r="E28" s="421"/>
      <c r="F28" s="421"/>
      <c r="G28" s="420"/>
      <c r="H28" s="468"/>
      <c r="I28" s="468"/>
      <c r="J28" s="467"/>
      <c r="K28" s="468"/>
      <c r="L28" s="467"/>
      <c r="M28" s="420"/>
      <c r="N28" s="420"/>
      <c r="O28" s="420"/>
      <c r="P28" s="420"/>
      <c r="Q28" s="420"/>
      <c r="R28" s="420"/>
      <c r="S28" s="420"/>
      <c r="T28" s="420"/>
      <c r="U28" s="420"/>
      <c r="V28" s="420"/>
      <c r="W28" s="420"/>
      <c r="X28" s="420"/>
      <c r="Y28" s="420"/>
      <c r="Z28" s="420"/>
      <c r="AA28" s="420"/>
      <c r="AB28" s="420"/>
      <c r="AC28" s="420"/>
      <c r="AD28" s="420"/>
      <c r="AE28" s="420"/>
      <c r="AF28" s="420"/>
      <c r="AG28" s="420"/>
      <c r="AH28" s="420"/>
      <c r="AI28" s="420"/>
      <c r="AJ28" s="420"/>
      <c r="AK28" s="420"/>
      <c r="AL28" s="420"/>
      <c r="AM28" s="420"/>
      <c r="AN28" s="420"/>
      <c r="AO28" s="420"/>
      <c r="AP28" s="420"/>
      <c r="AQ28" s="420"/>
      <c r="AR28" s="420"/>
      <c r="AS28" s="420"/>
      <c r="AT28" s="420"/>
      <c r="AU28" s="420"/>
    </row>
    <row r="29" spans="2:47">
      <c r="B29" s="429">
        <f>+B30+31</f>
        <v>43497</v>
      </c>
      <c r="C29" s="454"/>
      <c r="D29" s="454"/>
      <c r="E29" s="421"/>
      <c r="F29" s="421"/>
      <c r="G29" s="420"/>
      <c r="H29" s="467"/>
      <c r="I29" s="467"/>
      <c r="J29" s="468"/>
      <c r="K29" s="468"/>
      <c r="L29" s="467"/>
      <c r="M29" s="420"/>
      <c r="N29" s="420"/>
      <c r="O29" s="420"/>
      <c r="P29" s="420"/>
      <c r="Q29" s="420"/>
      <c r="R29" s="420"/>
      <c r="S29" s="420"/>
      <c r="T29" s="420"/>
      <c r="U29" s="420"/>
      <c r="V29" s="420"/>
      <c r="W29" s="420"/>
      <c r="X29" s="420"/>
      <c r="Y29" s="420"/>
      <c r="Z29" s="420"/>
      <c r="AA29" s="420"/>
      <c r="AB29" s="420"/>
      <c r="AC29" s="420"/>
      <c r="AD29" s="420"/>
      <c r="AE29" s="420"/>
      <c r="AF29" s="420"/>
      <c r="AG29" s="420"/>
      <c r="AH29" s="420"/>
      <c r="AI29" s="420"/>
      <c r="AJ29" s="420"/>
      <c r="AK29" s="420"/>
      <c r="AL29" s="420"/>
      <c r="AM29" s="420"/>
      <c r="AN29" s="420"/>
      <c r="AO29" s="420"/>
      <c r="AP29" s="420"/>
      <c r="AQ29" s="420"/>
      <c r="AR29" s="420"/>
      <c r="AS29" s="420"/>
      <c r="AT29" s="420"/>
      <c r="AU29" s="420"/>
    </row>
    <row r="30" spans="2:47">
      <c r="B30" s="429">
        <v>43466</v>
      </c>
      <c r="C30" s="454"/>
      <c r="D30" s="454"/>
      <c r="E30" s="421"/>
      <c r="F30" s="421"/>
      <c r="G30" s="420"/>
      <c r="H30" s="468"/>
      <c r="I30" s="468"/>
      <c r="J30" s="467"/>
      <c r="K30" s="468"/>
      <c r="L30" s="467"/>
      <c r="M30" s="420"/>
      <c r="N30" s="420"/>
      <c r="O30" s="420"/>
      <c r="P30" s="420"/>
      <c r="Q30" s="420"/>
      <c r="R30" s="420"/>
      <c r="S30" s="420"/>
      <c r="T30" s="420"/>
      <c r="U30" s="420"/>
      <c r="V30" s="420"/>
      <c r="W30" s="420"/>
      <c r="X30" s="420"/>
      <c r="Y30" s="420"/>
      <c r="Z30" s="420"/>
      <c r="AA30" s="420"/>
      <c r="AB30" s="420"/>
      <c r="AC30" s="420"/>
      <c r="AD30" s="420"/>
      <c r="AE30" s="420"/>
      <c r="AF30" s="420"/>
      <c r="AG30" s="420"/>
      <c r="AH30" s="420"/>
      <c r="AI30" s="420"/>
      <c r="AJ30" s="420"/>
      <c r="AK30" s="420"/>
      <c r="AL30" s="420"/>
      <c r="AM30" s="420"/>
      <c r="AN30" s="420"/>
      <c r="AO30" s="420"/>
      <c r="AP30" s="420"/>
      <c r="AQ30" s="420"/>
      <c r="AR30" s="420"/>
      <c r="AS30" s="420"/>
      <c r="AT30" s="420"/>
      <c r="AU30" s="420"/>
    </row>
    <row r="31" spans="2:47">
      <c r="B31" s="428" t="s">
        <v>926</v>
      </c>
      <c r="C31" s="351">
        <f ca="1">IF(AND(C14="Live",C22&gt;6),C16,0)</f>
        <v>0</v>
      </c>
      <c r="D31" s="351">
        <f t="shared" ref="D31:R31" ca="1" si="5">IF(AND(D14="Live",D22&gt;6),D16,0)</f>
        <v>0</v>
      </c>
      <c r="E31" s="452">
        <f t="shared" ca="1" si="5"/>
        <v>0</v>
      </c>
      <c r="F31" s="452">
        <f t="shared" ca="1" si="5"/>
        <v>0</v>
      </c>
      <c r="G31" s="452">
        <f t="shared" ca="1" si="5"/>
        <v>0</v>
      </c>
      <c r="H31" s="452">
        <f t="shared" ca="1" si="5"/>
        <v>0</v>
      </c>
      <c r="I31" s="452">
        <f t="shared" ca="1" si="5"/>
        <v>0</v>
      </c>
      <c r="J31" s="452">
        <f t="shared" ca="1" si="5"/>
        <v>0</v>
      </c>
      <c r="K31" s="452">
        <f t="shared" ca="1" si="5"/>
        <v>0</v>
      </c>
      <c r="L31" s="452">
        <f t="shared" ca="1" si="5"/>
        <v>0</v>
      </c>
      <c r="M31" s="452">
        <f t="shared" ca="1" si="5"/>
        <v>0</v>
      </c>
      <c r="N31" s="452">
        <f t="shared" ca="1" si="5"/>
        <v>0</v>
      </c>
      <c r="O31" s="452">
        <f t="shared" ca="1" si="5"/>
        <v>0</v>
      </c>
      <c r="P31" s="452">
        <f t="shared" ca="1" si="5"/>
        <v>0</v>
      </c>
      <c r="Q31" s="452">
        <f t="shared" ca="1" si="5"/>
        <v>0</v>
      </c>
      <c r="R31" s="452">
        <f t="shared" ca="1" si="5"/>
        <v>0</v>
      </c>
      <c r="S31" s="452"/>
      <c r="T31" s="452"/>
      <c r="U31" s="452"/>
      <c r="V31" s="452"/>
      <c r="W31" s="452"/>
      <c r="X31" s="452"/>
      <c r="Y31" s="452"/>
      <c r="Z31" s="452"/>
      <c r="AA31" s="452"/>
      <c r="AB31" s="452"/>
      <c r="AC31" s="452"/>
      <c r="AD31" s="452"/>
      <c r="AE31" s="452"/>
      <c r="AF31" s="452"/>
      <c r="AG31" s="452"/>
      <c r="AH31" s="452"/>
      <c r="AI31" s="452"/>
      <c r="AJ31" s="452"/>
      <c r="AK31" s="452"/>
      <c r="AL31" s="452"/>
      <c r="AM31" s="452"/>
      <c r="AN31" s="452"/>
      <c r="AO31" s="452"/>
      <c r="AP31" s="452"/>
      <c r="AQ31" s="452"/>
      <c r="AR31" s="452"/>
      <c r="AS31" s="452"/>
      <c r="AT31" s="452"/>
      <c r="AU31" s="452"/>
    </row>
    <row r="32" spans="2:47">
      <c r="B32" s="429">
        <f t="shared" ref="B32:B35" si="6">+B33+31</f>
        <v>43621</v>
      </c>
      <c r="C32" s="454"/>
      <c r="D32" s="448"/>
      <c r="E32" s="448"/>
      <c r="F32" s="448"/>
      <c r="G32" s="453"/>
      <c r="H32" s="465"/>
      <c r="I32" s="465"/>
      <c r="J32" s="466"/>
      <c r="K32" s="465"/>
      <c r="L32" s="465"/>
      <c r="M32" s="453"/>
      <c r="N32" s="453"/>
      <c r="O32" s="453"/>
      <c r="P32" s="453"/>
      <c r="Q32" s="453"/>
      <c r="R32" s="453"/>
      <c r="S32" s="453"/>
      <c r="T32" s="453"/>
      <c r="U32" s="453"/>
      <c r="V32" s="453"/>
      <c r="W32" s="453"/>
      <c r="X32" s="453"/>
      <c r="Y32" s="453"/>
      <c r="Z32" s="453"/>
      <c r="AA32" s="453"/>
      <c r="AB32" s="453"/>
      <c r="AC32" s="453"/>
      <c r="AD32" s="453"/>
      <c r="AE32" s="453"/>
      <c r="AF32" s="453"/>
      <c r="AG32" s="453"/>
      <c r="AH32" s="453"/>
      <c r="AI32" s="453"/>
      <c r="AJ32" s="453"/>
      <c r="AK32" s="453"/>
      <c r="AL32" s="453"/>
      <c r="AM32" s="453"/>
      <c r="AN32" s="453"/>
      <c r="AO32" s="453"/>
      <c r="AP32" s="453"/>
      <c r="AQ32" s="453"/>
      <c r="AR32" s="453"/>
      <c r="AS32" s="453"/>
      <c r="AT32" s="453"/>
      <c r="AU32" s="453"/>
    </row>
    <row r="33" spans="2:47">
      <c r="B33" s="429">
        <f t="shared" si="6"/>
        <v>43590</v>
      </c>
      <c r="C33" s="454"/>
      <c r="D33" s="448"/>
      <c r="E33" s="448"/>
      <c r="F33" s="448"/>
      <c r="G33" s="453"/>
      <c r="H33" s="465"/>
      <c r="I33" s="465"/>
      <c r="J33" s="465"/>
      <c r="K33" s="465"/>
      <c r="L33" s="465"/>
      <c r="M33" s="453"/>
      <c r="N33" s="453"/>
      <c r="O33" s="453"/>
      <c r="P33" s="453"/>
      <c r="Q33" s="453"/>
      <c r="R33" s="453"/>
      <c r="S33" s="453"/>
      <c r="T33" s="453"/>
      <c r="U33" s="453"/>
      <c r="V33" s="453"/>
      <c r="W33" s="453"/>
      <c r="X33" s="453"/>
      <c r="Y33" s="453"/>
      <c r="Z33" s="453"/>
      <c r="AA33" s="453"/>
      <c r="AB33" s="453"/>
      <c r="AC33" s="453"/>
      <c r="AD33" s="453"/>
      <c r="AE33" s="453"/>
      <c r="AF33" s="453"/>
      <c r="AG33" s="453"/>
      <c r="AH33" s="453"/>
      <c r="AI33" s="453"/>
      <c r="AJ33" s="453"/>
      <c r="AK33" s="453"/>
      <c r="AL33" s="453"/>
      <c r="AM33" s="453"/>
      <c r="AN33" s="453"/>
      <c r="AO33" s="453"/>
      <c r="AP33" s="453"/>
      <c r="AQ33" s="453"/>
      <c r="AR33" s="453"/>
      <c r="AS33" s="453"/>
      <c r="AT33" s="453"/>
      <c r="AU33" s="453"/>
    </row>
    <row r="34" spans="2:47">
      <c r="B34" s="429">
        <f t="shared" si="6"/>
        <v>43559</v>
      </c>
      <c r="C34" s="454"/>
      <c r="D34" s="448"/>
      <c r="E34" s="448"/>
      <c r="F34" s="448"/>
      <c r="G34" s="453"/>
      <c r="H34" s="465"/>
      <c r="I34" s="465"/>
      <c r="J34" s="465"/>
      <c r="K34" s="465"/>
      <c r="L34" s="465"/>
      <c r="M34" s="453"/>
      <c r="N34" s="453"/>
      <c r="O34" s="453"/>
      <c r="P34" s="453"/>
      <c r="Q34" s="453"/>
      <c r="R34" s="453"/>
      <c r="S34" s="453"/>
      <c r="T34" s="453"/>
      <c r="U34" s="453"/>
      <c r="V34" s="453"/>
      <c r="W34" s="453"/>
      <c r="X34" s="453"/>
      <c r="Y34" s="453"/>
      <c r="Z34" s="453"/>
      <c r="AA34" s="453"/>
      <c r="AB34" s="453"/>
      <c r="AC34" s="453"/>
      <c r="AD34" s="453"/>
      <c r="AE34" s="453"/>
      <c r="AF34" s="453"/>
      <c r="AG34" s="453"/>
      <c r="AH34" s="453"/>
      <c r="AI34" s="453"/>
      <c r="AJ34" s="453"/>
      <c r="AK34" s="453"/>
      <c r="AL34" s="453"/>
      <c r="AM34" s="453"/>
      <c r="AN34" s="453"/>
      <c r="AO34" s="453"/>
      <c r="AP34" s="453"/>
      <c r="AQ34" s="453"/>
      <c r="AR34" s="453"/>
      <c r="AS34" s="453"/>
      <c r="AT34" s="453"/>
      <c r="AU34" s="453"/>
    </row>
    <row r="35" spans="2:47">
      <c r="B35" s="429">
        <f t="shared" si="6"/>
        <v>43528</v>
      </c>
      <c r="C35" s="454"/>
      <c r="D35" s="448"/>
      <c r="E35" s="448"/>
      <c r="F35" s="448"/>
      <c r="G35" s="453"/>
      <c r="H35" s="465"/>
      <c r="I35" s="465"/>
      <c r="J35" s="472"/>
      <c r="K35" s="465"/>
      <c r="L35" s="465"/>
      <c r="M35" s="453"/>
      <c r="N35" s="453"/>
      <c r="O35" s="453"/>
      <c r="P35" s="453"/>
      <c r="Q35" s="453"/>
      <c r="R35" s="453"/>
      <c r="S35" s="453"/>
      <c r="T35" s="453"/>
      <c r="U35" s="453"/>
      <c r="V35" s="453"/>
      <c r="W35" s="453"/>
      <c r="X35" s="453"/>
      <c r="Y35" s="453"/>
      <c r="Z35" s="453"/>
      <c r="AA35" s="453"/>
      <c r="AB35" s="453"/>
      <c r="AC35" s="453"/>
      <c r="AD35" s="453"/>
      <c r="AE35" s="453"/>
      <c r="AF35" s="453"/>
      <c r="AG35" s="453"/>
      <c r="AH35" s="453"/>
      <c r="AI35" s="453"/>
      <c r="AJ35" s="453"/>
      <c r="AK35" s="453"/>
      <c r="AL35" s="453"/>
      <c r="AM35" s="453"/>
      <c r="AN35" s="453"/>
      <c r="AO35" s="453"/>
      <c r="AP35" s="453"/>
      <c r="AQ35" s="453"/>
      <c r="AR35" s="453"/>
      <c r="AS35" s="453"/>
      <c r="AT35" s="453"/>
      <c r="AU35" s="453"/>
    </row>
    <row r="36" spans="2:47">
      <c r="B36" s="429">
        <f>+B37+31</f>
        <v>43497</v>
      </c>
      <c r="C36" s="454"/>
      <c r="D36" s="448"/>
      <c r="E36" s="448"/>
      <c r="F36" s="448"/>
      <c r="G36" s="453"/>
      <c r="H36" s="466"/>
      <c r="I36" s="466"/>
      <c r="J36" s="472"/>
      <c r="K36" s="465"/>
      <c r="L36" s="465"/>
      <c r="M36" s="453"/>
      <c r="N36" s="453"/>
      <c r="O36" s="453"/>
      <c r="P36" s="453"/>
      <c r="Q36" s="453"/>
      <c r="R36" s="453"/>
      <c r="S36" s="453"/>
      <c r="T36" s="453"/>
      <c r="U36" s="453"/>
      <c r="V36" s="453"/>
      <c r="W36" s="453"/>
      <c r="X36" s="453"/>
      <c r="Y36" s="453"/>
      <c r="Z36" s="453"/>
      <c r="AA36" s="453"/>
      <c r="AB36" s="453"/>
      <c r="AC36" s="453"/>
      <c r="AD36" s="453"/>
      <c r="AE36" s="453"/>
      <c r="AF36" s="453"/>
      <c r="AG36" s="453"/>
      <c r="AH36" s="453"/>
      <c r="AI36" s="453"/>
      <c r="AJ36" s="453"/>
      <c r="AK36" s="453"/>
      <c r="AL36" s="453"/>
      <c r="AM36" s="453"/>
      <c r="AN36" s="453"/>
      <c r="AO36" s="453"/>
      <c r="AP36" s="453"/>
      <c r="AQ36" s="453"/>
      <c r="AR36" s="453"/>
      <c r="AS36" s="453"/>
      <c r="AT36" s="453"/>
      <c r="AU36" s="453"/>
    </row>
    <row r="37" spans="2:47">
      <c r="B37" s="429">
        <v>43466</v>
      </c>
      <c r="C37" s="454"/>
      <c r="D37" s="448"/>
      <c r="E37" s="448"/>
      <c r="F37" s="448"/>
      <c r="G37" s="453"/>
      <c r="H37" s="465"/>
      <c r="I37" s="465"/>
      <c r="J37" s="472"/>
      <c r="K37" s="465"/>
      <c r="L37" s="465"/>
      <c r="M37" s="453"/>
      <c r="N37" s="453"/>
      <c r="O37" s="453"/>
      <c r="P37" s="453"/>
      <c r="Q37" s="453"/>
      <c r="R37" s="453"/>
      <c r="S37" s="453"/>
      <c r="T37" s="453"/>
      <c r="U37" s="453"/>
      <c r="V37" s="453"/>
      <c r="W37" s="453"/>
      <c r="X37" s="453"/>
      <c r="Y37" s="453"/>
      <c r="Z37" s="453"/>
      <c r="AA37" s="453"/>
      <c r="AB37" s="453"/>
      <c r="AC37" s="453"/>
      <c r="AD37" s="453"/>
      <c r="AE37" s="453"/>
      <c r="AF37" s="453"/>
      <c r="AG37" s="453"/>
      <c r="AH37" s="453"/>
      <c r="AI37" s="453"/>
      <c r="AJ37" s="453"/>
      <c r="AK37" s="453"/>
      <c r="AL37" s="453"/>
      <c r="AM37" s="453"/>
      <c r="AN37" s="453"/>
      <c r="AO37" s="453"/>
      <c r="AP37" s="453"/>
      <c r="AQ37" s="453"/>
      <c r="AR37" s="453"/>
      <c r="AS37" s="453"/>
      <c r="AT37" s="453"/>
      <c r="AU37" s="453"/>
    </row>
  </sheetData>
  <mergeCells count="7">
    <mergeCell ref="B7:C7"/>
    <mergeCell ref="B8:C8"/>
    <mergeCell ref="B2:C2"/>
    <mergeCell ref="B3:C3"/>
    <mergeCell ref="B4:C4"/>
    <mergeCell ref="B5:C5"/>
    <mergeCell ref="B6:C6"/>
  </mergeCells>
  <dataValidations count="5">
    <dataValidation type="list" allowBlank="1" showInputMessage="1" showErrorMessage="1" sqref="C14:R14" xr:uid="{00000000-0002-0000-0E00-000000000000}">
      <formula1>"Live, Closed, Will be closed, Not to be obligated"</formula1>
    </dataValidation>
    <dataValidation type="list" allowBlank="1" showInputMessage="1" showErrorMessage="1" sqref="C12:R12" xr:uid="{00000000-0002-0000-0E00-000001000000}">
      <formula1>"Secured, Unsecured"</formula1>
    </dataValidation>
    <dataValidation type="list" allowBlank="1" showInputMessage="1" showErrorMessage="1" sqref="C13:R13" xr:uid="{00000000-0002-0000-0E00-000002000000}">
      <formula1>"Bureau, Banking, Financial, Others"</formula1>
    </dataValidation>
    <dataValidation type="list" allowBlank="1" showInputMessage="1" showErrorMessage="1" sqref="K33:K37 K32:L32 D32:J37" xr:uid="{00000000-0002-0000-0E00-000003000000}">
      <formula1>"Cleared on Presentation, Bounce, Bounce and Cleared on re-presentation"</formula1>
    </dataValidation>
    <dataValidation type="list" allowBlank="1" showInputMessage="1" showErrorMessage="1" sqref="D7:D8" xr:uid="{00000000-0002-0000-0E00-000004000000}">
      <formula1>"Yes, No"</formula1>
    </dataValidation>
  </dataValidation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WC101"/>
  <sheetViews>
    <sheetView showGridLines="0" workbookViewId="0"/>
  </sheetViews>
  <sheetFormatPr defaultColWidth="0" defaultRowHeight="12" zeroHeight="1"/>
  <cols>
    <col min="1" max="1" width="5.28515625" style="321" customWidth="1"/>
    <col min="2" max="2" width="9.140625" style="327" customWidth="1"/>
    <col min="3" max="3" width="12.7109375" style="327" customWidth="1"/>
    <col min="4" max="4" width="13.28515625" style="327" customWidth="1"/>
    <col min="5" max="5" width="14.85546875" style="327" bestFit="1" customWidth="1"/>
    <col min="6" max="6" width="12" style="327" customWidth="1"/>
    <col min="7" max="12" width="9.140625" style="327" customWidth="1"/>
    <col min="13" max="13" width="13" style="327" customWidth="1"/>
    <col min="14" max="14" width="11.85546875" style="327" customWidth="1"/>
    <col min="15" max="15" width="13.28515625" style="325" customWidth="1"/>
    <col min="16" max="17" width="9.140625" style="325" customWidth="1"/>
    <col min="18" max="19" width="9.140625" style="320" customWidth="1"/>
    <col min="20" max="27" width="0" style="321" hidden="1" customWidth="1"/>
    <col min="28" max="255" width="9.140625" style="321" hidden="1"/>
    <col min="256" max="256" width="8.28515625" style="321" customWidth="1"/>
    <col min="257" max="257" width="12.7109375" style="321" customWidth="1"/>
    <col min="258" max="258" width="13.28515625" style="321" customWidth="1"/>
    <col min="259" max="259" width="12.140625" style="321" customWidth="1"/>
    <col min="260" max="260" width="12" style="321" customWidth="1"/>
    <col min="261" max="266" width="9.140625" style="321" customWidth="1"/>
    <col min="267" max="267" width="13" style="321" customWidth="1"/>
    <col min="268" max="268" width="11.85546875" style="321" customWidth="1"/>
    <col min="269" max="269" width="13.28515625" style="321" customWidth="1"/>
    <col min="270" max="275" width="9.140625" style="321" customWidth="1"/>
    <col min="276" max="283" width="9.140625" style="321" hidden="1" customWidth="1"/>
    <col min="284" max="511" width="9.140625" style="321" hidden="1"/>
    <col min="512" max="512" width="8.28515625" style="321" customWidth="1"/>
    <col min="513" max="513" width="12.7109375" style="321" customWidth="1"/>
    <col min="514" max="514" width="13.28515625" style="321" customWidth="1"/>
    <col min="515" max="515" width="12.140625" style="321" customWidth="1"/>
    <col min="516" max="516" width="12" style="321" customWidth="1"/>
    <col min="517" max="522" width="9.140625" style="321" customWidth="1"/>
    <col min="523" max="523" width="13" style="321" customWidth="1"/>
    <col min="524" max="524" width="11.85546875" style="321" customWidth="1"/>
    <col min="525" max="525" width="13.28515625" style="321" customWidth="1"/>
    <col min="526" max="531" width="9.140625" style="321" customWidth="1"/>
    <col min="532" max="539" width="9.140625" style="321" hidden="1" customWidth="1"/>
    <col min="540" max="767" width="9.140625" style="321" hidden="1"/>
    <col min="768" max="768" width="8.28515625" style="321" customWidth="1"/>
    <col min="769" max="769" width="12.7109375" style="321" customWidth="1"/>
    <col min="770" max="770" width="13.28515625" style="321" customWidth="1"/>
    <col min="771" max="771" width="12.140625" style="321" customWidth="1"/>
    <col min="772" max="772" width="12" style="321" customWidth="1"/>
    <col min="773" max="778" width="9.140625" style="321" customWidth="1"/>
    <col min="779" max="779" width="13" style="321" customWidth="1"/>
    <col min="780" max="780" width="11.85546875" style="321" customWidth="1"/>
    <col min="781" max="781" width="13.28515625" style="321" customWidth="1"/>
    <col min="782" max="787" width="9.140625" style="321" customWidth="1"/>
    <col min="788" max="795" width="9.140625" style="321" hidden="1" customWidth="1"/>
    <col min="796" max="1023" width="9.140625" style="321" hidden="1"/>
    <col min="1024" max="1024" width="8.28515625" style="321" customWidth="1"/>
    <col min="1025" max="1025" width="12.7109375" style="321" customWidth="1"/>
    <col min="1026" max="1026" width="13.28515625" style="321" customWidth="1"/>
    <col min="1027" max="1027" width="12.140625" style="321" customWidth="1"/>
    <col min="1028" max="1028" width="12" style="321" customWidth="1"/>
    <col min="1029" max="1034" width="9.140625" style="321" customWidth="1"/>
    <col min="1035" max="1035" width="13" style="321" customWidth="1"/>
    <col min="1036" max="1036" width="11.85546875" style="321" customWidth="1"/>
    <col min="1037" max="1037" width="13.28515625" style="321" customWidth="1"/>
    <col min="1038" max="1043" width="9.140625" style="321" customWidth="1"/>
    <col min="1044" max="1051" width="9.140625" style="321" hidden="1" customWidth="1"/>
    <col min="1052" max="1279" width="9.140625" style="321" hidden="1"/>
    <col min="1280" max="1280" width="8.28515625" style="321" customWidth="1"/>
    <col min="1281" max="1281" width="12.7109375" style="321" customWidth="1"/>
    <col min="1282" max="1282" width="13.28515625" style="321" customWidth="1"/>
    <col min="1283" max="1283" width="12.140625" style="321" customWidth="1"/>
    <col min="1284" max="1284" width="12" style="321" customWidth="1"/>
    <col min="1285" max="1290" width="9.140625" style="321" customWidth="1"/>
    <col min="1291" max="1291" width="13" style="321" customWidth="1"/>
    <col min="1292" max="1292" width="11.85546875" style="321" customWidth="1"/>
    <col min="1293" max="1293" width="13.28515625" style="321" customWidth="1"/>
    <col min="1294" max="1299" width="9.140625" style="321" customWidth="1"/>
    <col min="1300" max="1307" width="9.140625" style="321" hidden="1" customWidth="1"/>
    <col min="1308" max="1535" width="9.140625" style="321" hidden="1"/>
    <col min="1536" max="1536" width="8.28515625" style="321" customWidth="1"/>
    <col min="1537" max="1537" width="12.7109375" style="321" customWidth="1"/>
    <col min="1538" max="1538" width="13.28515625" style="321" customWidth="1"/>
    <col min="1539" max="1539" width="12.140625" style="321" customWidth="1"/>
    <col min="1540" max="1540" width="12" style="321" customWidth="1"/>
    <col min="1541" max="1546" width="9.140625" style="321" customWidth="1"/>
    <col min="1547" max="1547" width="13" style="321" customWidth="1"/>
    <col min="1548" max="1548" width="11.85546875" style="321" customWidth="1"/>
    <col min="1549" max="1549" width="13.28515625" style="321" customWidth="1"/>
    <col min="1550" max="1555" width="9.140625" style="321" customWidth="1"/>
    <col min="1556" max="1563" width="9.140625" style="321" hidden="1" customWidth="1"/>
    <col min="1564" max="1791" width="9.140625" style="321" hidden="1"/>
    <col min="1792" max="1792" width="8.28515625" style="321" customWidth="1"/>
    <col min="1793" max="1793" width="12.7109375" style="321" customWidth="1"/>
    <col min="1794" max="1794" width="13.28515625" style="321" customWidth="1"/>
    <col min="1795" max="1795" width="12.140625" style="321" customWidth="1"/>
    <col min="1796" max="1796" width="12" style="321" customWidth="1"/>
    <col min="1797" max="1802" width="9.140625" style="321" customWidth="1"/>
    <col min="1803" max="1803" width="13" style="321" customWidth="1"/>
    <col min="1804" max="1804" width="11.85546875" style="321" customWidth="1"/>
    <col min="1805" max="1805" width="13.28515625" style="321" customWidth="1"/>
    <col min="1806" max="1811" width="9.140625" style="321" customWidth="1"/>
    <col min="1812" max="1819" width="9.140625" style="321" hidden="1" customWidth="1"/>
    <col min="1820" max="2047" width="9.140625" style="321" hidden="1"/>
    <col min="2048" max="2048" width="8.28515625" style="321" customWidth="1"/>
    <col min="2049" max="2049" width="12.7109375" style="321" customWidth="1"/>
    <col min="2050" max="2050" width="13.28515625" style="321" customWidth="1"/>
    <col min="2051" max="2051" width="12.140625" style="321" customWidth="1"/>
    <col min="2052" max="2052" width="12" style="321" customWidth="1"/>
    <col min="2053" max="2058" width="9.140625" style="321" customWidth="1"/>
    <col min="2059" max="2059" width="13" style="321" customWidth="1"/>
    <col min="2060" max="2060" width="11.85546875" style="321" customWidth="1"/>
    <col min="2061" max="2061" width="13.28515625" style="321" customWidth="1"/>
    <col min="2062" max="2067" width="9.140625" style="321" customWidth="1"/>
    <col min="2068" max="2075" width="9.140625" style="321" hidden="1" customWidth="1"/>
    <col min="2076" max="2303" width="9.140625" style="321" hidden="1"/>
    <col min="2304" max="2304" width="8.28515625" style="321" customWidth="1"/>
    <col min="2305" max="2305" width="12.7109375" style="321" customWidth="1"/>
    <col min="2306" max="2306" width="13.28515625" style="321" customWidth="1"/>
    <col min="2307" max="2307" width="12.140625" style="321" customWidth="1"/>
    <col min="2308" max="2308" width="12" style="321" customWidth="1"/>
    <col min="2309" max="2314" width="9.140625" style="321" customWidth="1"/>
    <col min="2315" max="2315" width="13" style="321" customWidth="1"/>
    <col min="2316" max="2316" width="11.85546875" style="321" customWidth="1"/>
    <col min="2317" max="2317" width="13.28515625" style="321" customWidth="1"/>
    <col min="2318" max="2323" width="9.140625" style="321" customWidth="1"/>
    <col min="2324" max="2331" width="9.140625" style="321" hidden="1" customWidth="1"/>
    <col min="2332" max="2559" width="9.140625" style="321" hidden="1"/>
    <col min="2560" max="2560" width="8.28515625" style="321" customWidth="1"/>
    <col min="2561" max="2561" width="12.7109375" style="321" customWidth="1"/>
    <col min="2562" max="2562" width="13.28515625" style="321" customWidth="1"/>
    <col min="2563" max="2563" width="12.140625" style="321" customWidth="1"/>
    <col min="2564" max="2564" width="12" style="321" customWidth="1"/>
    <col min="2565" max="2570" width="9.140625" style="321" customWidth="1"/>
    <col min="2571" max="2571" width="13" style="321" customWidth="1"/>
    <col min="2572" max="2572" width="11.85546875" style="321" customWidth="1"/>
    <col min="2573" max="2573" width="13.28515625" style="321" customWidth="1"/>
    <col min="2574" max="2579" width="9.140625" style="321" customWidth="1"/>
    <col min="2580" max="2587" width="9.140625" style="321" hidden="1" customWidth="1"/>
    <col min="2588" max="2815" width="9.140625" style="321" hidden="1"/>
    <col min="2816" max="2816" width="8.28515625" style="321" customWidth="1"/>
    <col min="2817" max="2817" width="12.7109375" style="321" customWidth="1"/>
    <col min="2818" max="2818" width="13.28515625" style="321" customWidth="1"/>
    <col min="2819" max="2819" width="12.140625" style="321" customWidth="1"/>
    <col min="2820" max="2820" width="12" style="321" customWidth="1"/>
    <col min="2821" max="2826" width="9.140625" style="321" customWidth="1"/>
    <col min="2827" max="2827" width="13" style="321" customWidth="1"/>
    <col min="2828" max="2828" width="11.85546875" style="321" customWidth="1"/>
    <col min="2829" max="2829" width="13.28515625" style="321" customWidth="1"/>
    <col min="2830" max="2835" width="9.140625" style="321" customWidth="1"/>
    <col min="2836" max="2843" width="9.140625" style="321" hidden="1" customWidth="1"/>
    <col min="2844" max="3071" width="9.140625" style="321" hidden="1"/>
    <col min="3072" max="3072" width="8.28515625" style="321" customWidth="1"/>
    <col min="3073" max="3073" width="12.7109375" style="321" customWidth="1"/>
    <col min="3074" max="3074" width="13.28515625" style="321" customWidth="1"/>
    <col min="3075" max="3075" width="12.140625" style="321" customWidth="1"/>
    <col min="3076" max="3076" width="12" style="321" customWidth="1"/>
    <col min="3077" max="3082" width="9.140625" style="321" customWidth="1"/>
    <col min="3083" max="3083" width="13" style="321" customWidth="1"/>
    <col min="3084" max="3084" width="11.85546875" style="321" customWidth="1"/>
    <col min="3085" max="3085" width="13.28515625" style="321" customWidth="1"/>
    <col min="3086" max="3091" width="9.140625" style="321" customWidth="1"/>
    <col min="3092" max="3099" width="9.140625" style="321" hidden="1" customWidth="1"/>
    <col min="3100" max="3327" width="9.140625" style="321" hidden="1"/>
    <col min="3328" max="3328" width="8.28515625" style="321" customWidth="1"/>
    <col min="3329" max="3329" width="12.7109375" style="321" customWidth="1"/>
    <col min="3330" max="3330" width="13.28515625" style="321" customWidth="1"/>
    <col min="3331" max="3331" width="12.140625" style="321" customWidth="1"/>
    <col min="3332" max="3332" width="12" style="321" customWidth="1"/>
    <col min="3333" max="3338" width="9.140625" style="321" customWidth="1"/>
    <col min="3339" max="3339" width="13" style="321" customWidth="1"/>
    <col min="3340" max="3340" width="11.85546875" style="321" customWidth="1"/>
    <col min="3341" max="3341" width="13.28515625" style="321" customWidth="1"/>
    <col min="3342" max="3347" width="9.140625" style="321" customWidth="1"/>
    <col min="3348" max="3355" width="9.140625" style="321" hidden="1" customWidth="1"/>
    <col min="3356" max="3583" width="9.140625" style="321" hidden="1"/>
    <col min="3584" max="3584" width="8.28515625" style="321" customWidth="1"/>
    <col min="3585" max="3585" width="12.7109375" style="321" customWidth="1"/>
    <col min="3586" max="3586" width="13.28515625" style="321" customWidth="1"/>
    <col min="3587" max="3587" width="12.140625" style="321" customWidth="1"/>
    <col min="3588" max="3588" width="12" style="321" customWidth="1"/>
    <col min="3589" max="3594" width="9.140625" style="321" customWidth="1"/>
    <col min="3595" max="3595" width="13" style="321" customWidth="1"/>
    <col min="3596" max="3596" width="11.85546875" style="321" customWidth="1"/>
    <col min="3597" max="3597" width="13.28515625" style="321" customWidth="1"/>
    <col min="3598" max="3603" width="9.140625" style="321" customWidth="1"/>
    <col min="3604" max="3611" width="9.140625" style="321" hidden="1" customWidth="1"/>
    <col min="3612" max="3839" width="9.140625" style="321" hidden="1"/>
    <col min="3840" max="3840" width="8.28515625" style="321" customWidth="1"/>
    <col min="3841" max="3841" width="12.7109375" style="321" customWidth="1"/>
    <col min="3842" max="3842" width="13.28515625" style="321" customWidth="1"/>
    <col min="3843" max="3843" width="12.140625" style="321" customWidth="1"/>
    <col min="3844" max="3844" width="12" style="321" customWidth="1"/>
    <col min="3845" max="3850" width="9.140625" style="321" customWidth="1"/>
    <col min="3851" max="3851" width="13" style="321" customWidth="1"/>
    <col min="3852" max="3852" width="11.85546875" style="321" customWidth="1"/>
    <col min="3853" max="3853" width="13.28515625" style="321" customWidth="1"/>
    <col min="3854" max="3859" width="9.140625" style="321" customWidth="1"/>
    <col min="3860" max="3867" width="9.140625" style="321" hidden="1" customWidth="1"/>
    <col min="3868" max="4095" width="9.140625" style="321" hidden="1"/>
    <col min="4096" max="4096" width="8.28515625" style="321" customWidth="1"/>
    <col min="4097" max="4097" width="12.7109375" style="321" customWidth="1"/>
    <col min="4098" max="4098" width="13.28515625" style="321" customWidth="1"/>
    <col min="4099" max="4099" width="12.140625" style="321" customWidth="1"/>
    <col min="4100" max="4100" width="12" style="321" customWidth="1"/>
    <col min="4101" max="4106" width="9.140625" style="321" customWidth="1"/>
    <col min="4107" max="4107" width="13" style="321" customWidth="1"/>
    <col min="4108" max="4108" width="11.85546875" style="321" customWidth="1"/>
    <col min="4109" max="4109" width="13.28515625" style="321" customWidth="1"/>
    <col min="4110" max="4115" width="9.140625" style="321" customWidth="1"/>
    <col min="4116" max="4123" width="9.140625" style="321" hidden="1" customWidth="1"/>
    <col min="4124" max="4351" width="9.140625" style="321" hidden="1"/>
    <col min="4352" max="4352" width="8.28515625" style="321" customWidth="1"/>
    <col min="4353" max="4353" width="12.7109375" style="321" customWidth="1"/>
    <col min="4354" max="4354" width="13.28515625" style="321" customWidth="1"/>
    <col min="4355" max="4355" width="12.140625" style="321" customWidth="1"/>
    <col min="4356" max="4356" width="12" style="321" customWidth="1"/>
    <col min="4357" max="4362" width="9.140625" style="321" customWidth="1"/>
    <col min="4363" max="4363" width="13" style="321" customWidth="1"/>
    <col min="4364" max="4364" width="11.85546875" style="321" customWidth="1"/>
    <col min="4365" max="4365" width="13.28515625" style="321" customWidth="1"/>
    <col min="4366" max="4371" width="9.140625" style="321" customWidth="1"/>
    <col min="4372" max="4379" width="9.140625" style="321" hidden="1" customWidth="1"/>
    <col min="4380" max="4607" width="9.140625" style="321" hidden="1"/>
    <col min="4608" max="4608" width="8.28515625" style="321" customWidth="1"/>
    <col min="4609" max="4609" width="12.7109375" style="321" customWidth="1"/>
    <col min="4610" max="4610" width="13.28515625" style="321" customWidth="1"/>
    <col min="4611" max="4611" width="12.140625" style="321" customWidth="1"/>
    <col min="4612" max="4612" width="12" style="321" customWidth="1"/>
    <col min="4613" max="4618" width="9.140625" style="321" customWidth="1"/>
    <col min="4619" max="4619" width="13" style="321" customWidth="1"/>
    <col min="4620" max="4620" width="11.85546875" style="321" customWidth="1"/>
    <col min="4621" max="4621" width="13.28515625" style="321" customWidth="1"/>
    <col min="4622" max="4627" width="9.140625" style="321" customWidth="1"/>
    <col min="4628" max="4635" width="9.140625" style="321" hidden="1" customWidth="1"/>
    <col min="4636" max="4863" width="9.140625" style="321" hidden="1"/>
    <col min="4864" max="4864" width="8.28515625" style="321" customWidth="1"/>
    <col min="4865" max="4865" width="12.7109375" style="321" customWidth="1"/>
    <col min="4866" max="4866" width="13.28515625" style="321" customWidth="1"/>
    <col min="4867" max="4867" width="12.140625" style="321" customWidth="1"/>
    <col min="4868" max="4868" width="12" style="321" customWidth="1"/>
    <col min="4869" max="4874" width="9.140625" style="321" customWidth="1"/>
    <col min="4875" max="4875" width="13" style="321" customWidth="1"/>
    <col min="4876" max="4876" width="11.85546875" style="321" customWidth="1"/>
    <col min="4877" max="4877" width="13.28515625" style="321" customWidth="1"/>
    <col min="4878" max="4883" width="9.140625" style="321" customWidth="1"/>
    <col min="4884" max="4891" width="9.140625" style="321" hidden="1" customWidth="1"/>
    <col min="4892" max="5119" width="9.140625" style="321" hidden="1"/>
    <col min="5120" max="5120" width="8.28515625" style="321" customWidth="1"/>
    <col min="5121" max="5121" width="12.7109375" style="321" customWidth="1"/>
    <col min="5122" max="5122" width="13.28515625" style="321" customWidth="1"/>
    <col min="5123" max="5123" width="12.140625" style="321" customWidth="1"/>
    <col min="5124" max="5124" width="12" style="321" customWidth="1"/>
    <col min="5125" max="5130" width="9.140625" style="321" customWidth="1"/>
    <col min="5131" max="5131" width="13" style="321" customWidth="1"/>
    <col min="5132" max="5132" width="11.85546875" style="321" customWidth="1"/>
    <col min="5133" max="5133" width="13.28515625" style="321" customWidth="1"/>
    <col min="5134" max="5139" width="9.140625" style="321" customWidth="1"/>
    <col min="5140" max="5147" width="9.140625" style="321" hidden="1" customWidth="1"/>
    <col min="5148" max="5375" width="9.140625" style="321" hidden="1"/>
    <col min="5376" max="5376" width="8.28515625" style="321" customWidth="1"/>
    <col min="5377" max="5377" width="12.7109375" style="321" customWidth="1"/>
    <col min="5378" max="5378" width="13.28515625" style="321" customWidth="1"/>
    <col min="5379" max="5379" width="12.140625" style="321" customWidth="1"/>
    <col min="5380" max="5380" width="12" style="321" customWidth="1"/>
    <col min="5381" max="5386" width="9.140625" style="321" customWidth="1"/>
    <col min="5387" max="5387" width="13" style="321" customWidth="1"/>
    <col min="5388" max="5388" width="11.85546875" style="321" customWidth="1"/>
    <col min="5389" max="5389" width="13.28515625" style="321" customWidth="1"/>
    <col min="5390" max="5395" width="9.140625" style="321" customWidth="1"/>
    <col min="5396" max="5403" width="9.140625" style="321" hidden="1" customWidth="1"/>
    <col min="5404" max="5631" width="9.140625" style="321" hidden="1"/>
    <col min="5632" max="5632" width="8.28515625" style="321" customWidth="1"/>
    <col min="5633" max="5633" width="12.7109375" style="321" customWidth="1"/>
    <col min="5634" max="5634" width="13.28515625" style="321" customWidth="1"/>
    <col min="5635" max="5635" width="12.140625" style="321" customWidth="1"/>
    <col min="5636" max="5636" width="12" style="321" customWidth="1"/>
    <col min="5637" max="5642" width="9.140625" style="321" customWidth="1"/>
    <col min="5643" max="5643" width="13" style="321" customWidth="1"/>
    <col min="5644" max="5644" width="11.85546875" style="321" customWidth="1"/>
    <col min="5645" max="5645" width="13.28515625" style="321" customWidth="1"/>
    <col min="5646" max="5651" width="9.140625" style="321" customWidth="1"/>
    <col min="5652" max="5659" width="9.140625" style="321" hidden="1" customWidth="1"/>
    <col min="5660" max="5887" width="9.140625" style="321" hidden="1"/>
    <col min="5888" max="5888" width="8.28515625" style="321" customWidth="1"/>
    <col min="5889" max="5889" width="12.7109375" style="321" customWidth="1"/>
    <col min="5890" max="5890" width="13.28515625" style="321" customWidth="1"/>
    <col min="5891" max="5891" width="12.140625" style="321" customWidth="1"/>
    <col min="5892" max="5892" width="12" style="321" customWidth="1"/>
    <col min="5893" max="5898" width="9.140625" style="321" customWidth="1"/>
    <col min="5899" max="5899" width="13" style="321" customWidth="1"/>
    <col min="5900" max="5900" width="11.85546875" style="321" customWidth="1"/>
    <col min="5901" max="5901" width="13.28515625" style="321" customWidth="1"/>
    <col min="5902" max="5907" width="9.140625" style="321" customWidth="1"/>
    <col min="5908" max="5915" width="9.140625" style="321" hidden="1" customWidth="1"/>
    <col min="5916" max="6143" width="9.140625" style="321" hidden="1"/>
    <col min="6144" max="6144" width="8.28515625" style="321" customWidth="1"/>
    <col min="6145" max="6145" width="12.7109375" style="321" customWidth="1"/>
    <col min="6146" max="6146" width="13.28515625" style="321" customWidth="1"/>
    <col min="6147" max="6147" width="12.140625" style="321" customWidth="1"/>
    <col min="6148" max="6148" width="12" style="321" customWidth="1"/>
    <col min="6149" max="6154" width="9.140625" style="321" customWidth="1"/>
    <col min="6155" max="6155" width="13" style="321" customWidth="1"/>
    <col min="6156" max="6156" width="11.85546875" style="321" customWidth="1"/>
    <col min="6157" max="6157" width="13.28515625" style="321" customWidth="1"/>
    <col min="6158" max="6163" width="9.140625" style="321" customWidth="1"/>
    <col min="6164" max="6171" width="9.140625" style="321" hidden="1" customWidth="1"/>
    <col min="6172" max="6399" width="9.140625" style="321" hidden="1"/>
    <col min="6400" max="6400" width="8.28515625" style="321" customWidth="1"/>
    <col min="6401" max="6401" width="12.7109375" style="321" customWidth="1"/>
    <col min="6402" max="6402" width="13.28515625" style="321" customWidth="1"/>
    <col min="6403" max="6403" width="12.140625" style="321" customWidth="1"/>
    <col min="6404" max="6404" width="12" style="321" customWidth="1"/>
    <col min="6405" max="6410" width="9.140625" style="321" customWidth="1"/>
    <col min="6411" max="6411" width="13" style="321" customWidth="1"/>
    <col min="6412" max="6412" width="11.85546875" style="321" customWidth="1"/>
    <col min="6413" max="6413" width="13.28515625" style="321" customWidth="1"/>
    <col min="6414" max="6419" width="9.140625" style="321" customWidth="1"/>
    <col min="6420" max="6427" width="9.140625" style="321" hidden="1" customWidth="1"/>
    <col min="6428" max="6655" width="9.140625" style="321" hidden="1"/>
    <col min="6656" max="6656" width="8.28515625" style="321" customWidth="1"/>
    <col min="6657" max="6657" width="12.7109375" style="321" customWidth="1"/>
    <col min="6658" max="6658" width="13.28515625" style="321" customWidth="1"/>
    <col min="6659" max="6659" width="12.140625" style="321" customWidth="1"/>
    <col min="6660" max="6660" width="12" style="321" customWidth="1"/>
    <col min="6661" max="6666" width="9.140625" style="321" customWidth="1"/>
    <col min="6667" max="6667" width="13" style="321" customWidth="1"/>
    <col min="6668" max="6668" width="11.85546875" style="321" customWidth="1"/>
    <col min="6669" max="6669" width="13.28515625" style="321" customWidth="1"/>
    <col min="6670" max="6675" width="9.140625" style="321" customWidth="1"/>
    <col min="6676" max="6683" width="9.140625" style="321" hidden="1" customWidth="1"/>
    <col min="6684" max="6911" width="9.140625" style="321" hidden="1"/>
    <col min="6912" max="6912" width="8.28515625" style="321" customWidth="1"/>
    <col min="6913" max="6913" width="12.7109375" style="321" customWidth="1"/>
    <col min="6914" max="6914" width="13.28515625" style="321" customWidth="1"/>
    <col min="6915" max="6915" width="12.140625" style="321" customWidth="1"/>
    <col min="6916" max="6916" width="12" style="321" customWidth="1"/>
    <col min="6917" max="6922" width="9.140625" style="321" customWidth="1"/>
    <col min="6923" max="6923" width="13" style="321" customWidth="1"/>
    <col min="6924" max="6924" width="11.85546875" style="321" customWidth="1"/>
    <col min="6925" max="6925" width="13.28515625" style="321" customWidth="1"/>
    <col min="6926" max="6931" width="9.140625" style="321" customWidth="1"/>
    <col min="6932" max="6939" width="9.140625" style="321" hidden="1" customWidth="1"/>
    <col min="6940" max="7167" width="9.140625" style="321" hidden="1"/>
    <col min="7168" max="7168" width="8.28515625" style="321" customWidth="1"/>
    <col min="7169" max="7169" width="12.7109375" style="321" customWidth="1"/>
    <col min="7170" max="7170" width="13.28515625" style="321" customWidth="1"/>
    <col min="7171" max="7171" width="12.140625" style="321" customWidth="1"/>
    <col min="7172" max="7172" width="12" style="321" customWidth="1"/>
    <col min="7173" max="7178" width="9.140625" style="321" customWidth="1"/>
    <col min="7179" max="7179" width="13" style="321" customWidth="1"/>
    <col min="7180" max="7180" width="11.85546875" style="321" customWidth="1"/>
    <col min="7181" max="7181" width="13.28515625" style="321" customWidth="1"/>
    <col min="7182" max="7187" width="9.140625" style="321" customWidth="1"/>
    <col min="7188" max="7195" width="9.140625" style="321" hidden="1" customWidth="1"/>
    <col min="7196" max="7423" width="9.140625" style="321" hidden="1"/>
    <col min="7424" max="7424" width="8.28515625" style="321" customWidth="1"/>
    <col min="7425" max="7425" width="12.7109375" style="321" customWidth="1"/>
    <col min="7426" max="7426" width="13.28515625" style="321" customWidth="1"/>
    <col min="7427" max="7427" width="12.140625" style="321" customWidth="1"/>
    <col min="7428" max="7428" width="12" style="321" customWidth="1"/>
    <col min="7429" max="7434" width="9.140625" style="321" customWidth="1"/>
    <col min="7435" max="7435" width="13" style="321" customWidth="1"/>
    <col min="7436" max="7436" width="11.85546875" style="321" customWidth="1"/>
    <col min="7437" max="7437" width="13.28515625" style="321" customWidth="1"/>
    <col min="7438" max="7443" width="9.140625" style="321" customWidth="1"/>
    <col min="7444" max="7451" width="9.140625" style="321" hidden="1" customWidth="1"/>
    <col min="7452" max="7679" width="9.140625" style="321" hidden="1"/>
    <col min="7680" max="7680" width="8.28515625" style="321" customWidth="1"/>
    <col min="7681" max="7681" width="12.7109375" style="321" customWidth="1"/>
    <col min="7682" max="7682" width="13.28515625" style="321" customWidth="1"/>
    <col min="7683" max="7683" width="12.140625" style="321" customWidth="1"/>
    <col min="7684" max="7684" width="12" style="321" customWidth="1"/>
    <col min="7685" max="7690" width="9.140625" style="321" customWidth="1"/>
    <col min="7691" max="7691" width="13" style="321" customWidth="1"/>
    <col min="7692" max="7692" width="11.85546875" style="321" customWidth="1"/>
    <col min="7693" max="7693" width="13.28515625" style="321" customWidth="1"/>
    <col min="7694" max="7699" width="9.140625" style="321" customWidth="1"/>
    <col min="7700" max="7707" width="9.140625" style="321" hidden="1" customWidth="1"/>
    <col min="7708" max="7935" width="9.140625" style="321" hidden="1"/>
    <col min="7936" max="7936" width="8.28515625" style="321" customWidth="1"/>
    <col min="7937" max="7937" width="12.7109375" style="321" customWidth="1"/>
    <col min="7938" max="7938" width="13.28515625" style="321" customWidth="1"/>
    <col min="7939" max="7939" width="12.140625" style="321" customWidth="1"/>
    <col min="7940" max="7940" width="12" style="321" customWidth="1"/>
    <col min="7941" max="7946" width="9.140625" style="321" customWidth="1"/>
    <col min="7947" max="7947" width="13" style="321" customWidth="1"/>
    <col min="7948" max="7948" width="11.85546875" style="321" customWidth="1"/>
    <col min="7949" max="7949" width="13.28515625" style="321" customWidth="1"/>
    <col min="7950" max="7955" width="9.140625" style="321" customWidth="1"/>
    <col min="7956" max="7963" width="9.140625" style="321" hidden="1" customWidth="1"/>
    <col min="7964" max="8191" width="9.140625" style="321" hidden="1"/>
    <col min="8192" max="8192" width="8.28515625" style="321" customWidth="1"/>
    <col min="8193" max="8193" width="12.7109375" style="321" customWidth="1"/>
    <col min="8194" max="8194" width="13.28515625" style="321" customWidth="1"/>
    <col min="8195" max="8195" width="12.140625" style="321" customWidth="1"/>
    <col min="8196" max="8196" width="12" style="321" customWidth="1"/>
    <col min="8197" max="8202" width="9.140625" style="321" customWidth="1"/>
    <col min="8203" max="8203" width="13" style="321" customWidth="1"/>
    <col min="8204" max="8204" width="11.85546875" style="321" customWidth="1"/>
    <col min="8205" max="8205" width="13.28515625" style="321" customWidth="1"/>
    <col min="8206" max="8211" width="9.140625" style="321" customWidth="1"/>
    <col min="8212" max="8219" width="9.140625" style="321" hidden="1" customWidth="1"/>
    <col min="8220" max="8447" width="9.140625" style="321" hidden="1"/>
    <col min="8448" max="8448" width="8.28515625" style="321" customWidth="1"/>
    <col min="8449" max="8449" width="12.7109375" style="321" customWidth="1"/>
    <col min="8450" max="8450" width="13.28515625" style="321" customWidth="1"/>
    <col min="8451" max="8451" width="12.140625" style="321" customWidth="1"/>
    <col min="8452" max="8452" width="12" style="321" customWidth="1"/>
    <col min="8453" max="8458" width="9.140625" style="321" customWidth="1"/>
    <col min="8459" max="8459" width="13" style="321" customWidth="1"/>
    <col min="8460" max="8460" width="11.85546875" style="321" customWidth="1"/>
    <col min="8461" max="8461" width="13.28515625" style="321" customWidth="1"/>
    <col min="8462" max="8467" width="9.140625" style="321" customWidth="1"/>
    <col min="8468" max="8475" width="9.140625" style="321" hidden="1" customWidth="1"/>
    <col min="8476" max="8703" width="9.140625" style="321" hidden="1"/>
    <col min="8704" max="8704" width="8.28515625" style="321" customWidth="1"/>
    <col min="8705" max="8705" width="12.7109375" style="321" customWidth="1"/>
    <col min="8706" max="8706" width="13.28515625" style="321" customWidth="1"/>
    <col min="8707" max="8707" width="12.140625" style="321" customWidth="1"/>
    <col min="8708" max="8708" width="12" style="321" customWidth="1"/>
    <col min="8709" max="8714" width="9.140625" style="321" customWidth="1"/>
    <col min="8715" max="8715" width="13" style="321" customWidth="1"/>
    <col min="8716" max="8716" width="11.85546875" style="321" customWidth="1"/>
    <col min="8717" max="8717" width="13.28515625" style="321" customWidth="1"/>
    <col min="8718" max="8723" width="9.140625" style="321" customWidth="1"/>
    <col min="8724" max="8731" width="9.140625" style="321" hidden="1" customWidth="1"/>
    <col min="8732" max="8959" width="9.140625" style="321" hidden="1"/>
    <col min="8960" max="8960" width="8.28515625" style="321" customWidth="1"/>
    <col min="8961" max="8961" width="12.7109375" style="321" customWidth="1"/>
    <col min="8962" max="8962" width="13.28515625" style="321" customWidth="1"/>
    <col min="8963" max="8963" width="12.140625" style="321" customWidth="1"/>
    <col min="8964" max="8964" width="12" style="321" customWidth="1"/>
    <col min="8965" max="8970" width="9.140625" style="321" customWidth="1"/>
    <col min="8971" max="8971" width="13" style="321" customWidth="1"/>
    <col min="8972" max="8972" width="11.85546875" style="321" customWidth="1"/>
    <col min="8973" max="8973" width="13.28515625" style="321" customWidth="1"/>
    <col min="8974" max="8979" width="9.140625" style="321" customWidth="1"/>
    <col min="8980" max="8987" width="9.140625" style="321" hidden="1" customWidth="1"/>
    <col min="8988" max="9215" width="9.140625" style="321" hidden="1"/>
    <col min="9216" max="9216" width="8.28515625" style="321" customWidth="1"/>
    <col min="9217" max="9217" width="12.7109375" style="321" customWidth="1"/>
    <col min="9218" max="9218" width="13.28515625" style="321" customWidth="1"/>
    <col min="9219" max="9219" width="12.140625" style="321" customWidth="1"/>
    <col min="9220" max="9220" width="12" style="321" customWidth="1"/>
    <col min="9221" max="9226" width="9.140625" style="321" customWidth="1"/>
    <col min="9227" max="9227" width="13" style="321" customWidth="1"/>
    <col min="9228" max="9228" width="11.85546875" style="321" customWidth="1"/>
    <col min="9229" max="9229" width="13.28515625" style="321" customWidth="1"/>
    <col min="9230" max="9235" width="9.140625" style="321" customWidth="1"/>
    <col min="9236" max="9243" width="9.140625" style="321" hidden="1" customWidth="1"/>
    <col min="9244" max="9471" width="9.140625" style="321" hidden="1"/>
    <col min="9472" max="9472" width="8.28515625" style="321" customWidth="1"/>
    <col min="9473" max="9473" width="12.7109375" style="321" customWidth="1"/>
    <col min="9474" max="9474" width="13.28515625" style="321" customWidth="1"/>
    <col min="9475" max="9475" width="12.140625" style="321" customWidth="1"/>
    <col min="9476" max="9476" width="12" style="321" customWidth="1"/>
    <col min="9477" max="9482" width="9.140625" style="321" customWidth="1"/>
    <col min="9483" max="9483" width="13" style="321" customWidth="1"/>
    <col min="9484" max="9484" width="11.85546875" style="321" customWidth="1"/>
    <col min="9485" max="9485" width="13.28515625" style="321" customWidth="1"/>
    <col min="9486" max="9491" width="9.140625" style="321" customWidth="1"/>
    <col min="9492" max="9499" width="9.140625" style="321" hidden="1" customWidth="1"/>
    <col min="9500" max="9727" width="9.140625" style="321" hidden="1"/>
    <col min="9728" max="9728" width="8.28515625" style="321" customWidth="1"/>
    <col min="9729" max="9729" width="12.7109375" style="321" customWidth="1"/>
    <col min="9730" max="9730" width="13.28515625" style="321" customWidth="1"/>
    <col min="9731" max="9731" width="12.140625" style="321" customWidth="1"/>
    <col min="9732" max="9732" width="12" style="321" customWidth="1"/>
    <col min="9733" max="9738" width="9.140625" style="321" customWidth="1"/>
    <col min="9739" max="9739" width="13" style="321" customWidth="1"/>
    <col min="9740" max="9740" width="11.85546875" style="321" customWidth="1"/>
    <col min="9741" max="9741" width="13.28515625" style="321" customWidth="1"/>
    <col min="9742" max="9747" width="9.140625" style="321" customWidth="1"/>
    <col min="9748" max="9755" width="9.140625" style="321" hidden="1" customWidth="1"/>
    <col min="9756" max="9983" width="9.140625" style="321" hidden="1"/>
    <col min="9984" max="9984" width="8.28515625" style="321" customWidth="1"/>
    <col min="9985" max="9985" width="12.7109375" style="321" customWidth="1"/>
    <col min="9986" max="9986" width="13.28515625" style="321" customWidth="1"/>
    <col min="9987" max="9987" width="12.140625" style="321" customWidth="1"/>
    <col min="9988" max="9988" width="12" style="321" customWidth="1"/>
    <col min="9989" max="9994" width="9.140625" style="321" customWidth="1"/>
    <col min="9995" max="9995" width="13" style="321" customWidth="1"/>
    <col min="9996" max="9996" width="11.85546875" style="321" customWidth="1"/>
    <col min="9997" max="9997" width="13.28515625" style="321" customWidth="1"/>
    <col min="9998" max="10003" width="9.140625" style="321" customWidth="1"/>
    <col min="10004" max="10011" width="9.140625" style="321" hidden="1" customWidth="1"/>
    <col min="10012" max="10239" width="9.140625" style="321" hidden="1"/>
    <col min="10240" max="10240" width="8.28515625" style="321" customWidth="1"/>
    <col min="10241" max="10241" width="12.7109375" style="321" customWidth="1"/>
    <col min="10242" max="10242" width="13.28515625" style="321" customWidth="1"/>
    <col min="10243" max="10243" width="12.140625" style="321" customWidth="1"/>
    <col min="10244" max="10244" width="12" style="321" customWidth="1"/>
    <col min="10245" max="10250" width="9.140625" style="321" customWidth="1"/>
    <col min="10251" max="10251" width="13" style="321" customWidth="1"/>
    <col min="10252" max="10252" width="11.85546875" style="321" customWidth="1"/>
    <col min="10253" max="10253" width="13.28515625" style="321" customWidth="1"/>
    <col min="10254" max="10259" width="9.140625" style="321" customWidth="1"/>
    <col min="10260" max="10267" width="9.140625" style="321" hidden="1" customWidth="1"/>
    <col min="10268" max="10495" width="9.140625" style="321" hidden="1"/>
    <col min="10496" max="10496" width="8.28515625" style="321" customWidth="1"/>
    <col min="10497" max="10497" width="12.7109375" style="321" customWidth="1"/>
    <col min="10498" max="10498" width="13.28515625" style="321" customWidth="1"/>
    <col min="10499" max="10499" width="12.140625" style="321" customWidth="1"/>
    <col min="10500" max="10500" width="12" style="321" customWidth="1"/>
    <col min="10501" max="10506" width="9.140625" style="321" customWidth="1"/>
    <col min="10507" max="10507" width="13" style="321" customWidth="1"/>
    <col min="10508" max="10508" width="11.85546875" style="321" customWidth="1"/>
    <col min="10509" max="10509" width="13.28515625" style="321" customWidth="1"/>
    <col min="10510" max="10515" width="9.140625" style="321" customWidth="1"/>
    <col min="10516" max="10523" width="9.140625" style="321" hidden="1" customWidth="1"/>
    <col min="10524" max="10751" width="9.140625" style="321" hidden="1"/>
    <col min="10752" max="10752" width="8.28515625" style="321" customWidth="1"/>
    <col min="10753" max="10753" width="12.7109375" style="321" customWidth="1"/>
    <col min="10754" max="10754" width="13.28515625" style="321" customWidth="1"/>
    <col min="10755" max="10755" width="12.140625" style="321" customWidth="1"/>
    <col min="10756" max="10756" width="12" style="321" customWidth="1"/>
    <col min="10757" max="10762" width="9.140625" style="321" customWidth="1"/>
    <col min="10763" max="10763" width="13" style="321" customWidth="1"/>
    <col min="10764" max="10764" width="11.85546875" style="321" customWidth="1"/>
    <col min="10765" max="10765" width="13.28515625" style="321" customWidth="1"/>
    <col min="10766" max="10771" width="9.140625" style="321" customWidth="1"/>
    <col min="10772" max="10779" width="9.140625" style="321" hidden="1" customWidth="1"/>
    <col min="10780" max="11007" width="9.140625" style="321" hidden="1"/>
    <col min="11008" max="11008" width="8.28515625" style="321" customWidth="1"/>
    <col min="11009" max="11009" width="12.7109375" style="321" customWidth="1"/>
    <col min="11010" max="11010" width="13.28515625" style="321" customWidth="1"/>
    <col min="11011" max="11011" width="12.140625" style="321" customWidth="1"/>
    <col min="11012" max="11012" width="12" style="321" customWidth="1"/>
    <col min="11013" max="11018" width="9.140625" style="321" customWidth="1"/>
    <col min="11019" max="11019" width="13" style="321" customWidth="1"/>
    <col min="11020" max="11020" width="11.85546875" style="321" customWidth="1"/>
    <col min="11021" max="11021" width="13.28515625" style="321" customWidth="1"/>
    <col min="11022" max="11027" width="9.140625" style="321" customWidth="1"/>
    <col min="11028" max="11035" width="9.140625" style="321" hidden="1" customWidth="1"/>
    <col min="11036" max="11263" width="9.140625" style="321" hidden="1"/>
    <col min="11264" max="11264" width="8.28515625" style="321" customWidth="1"/>
    <col min="11265" max="11265" width="12.7109375" style="321" customWidth="1"/>
    <col min="11266" max="11266" width="13.28515625" style="321" customWidth="1"/>
    <col min="11267" max="11267" width="12.140625" style="321" customWidth="1"/>
    <col min="11268" max="11268" width="12" style="321" customWidth="1"/>
    <col min="11269" max="11274" width="9.140625" style="321" customWidth="1"/>
    <col min="11275" max="11275" width="13" style="321" customWidth="1"/>
    <col min="11276" max="11276" width="11.85546875" style="321" customWidth="1"/>
    <col min="11277" max="11277" width="13.28515625" style="321" customWidth="1"/>
    <col min="11278" max="11283" width="9.140625" style="321" customWidth="1"/>
    <col min="11284" max="11291" width="9.140625" style="321" hidden="1" customWidth="1"/>
    <col min="11292" max="11519" width="9.140625" style="321" hidden="1"/>
    <col min="11520" max="11520" width="8.28515625" style="321" customWidth="1"/>
    <col min="11521" max="11521" width="12.7109375" style="321" customWidth="1"/>
    <col min="11522" max="11522" width="13.28515625" style="321" customWidth="1"/>
    <col min="11523" max="11523" width="12.140625" style="321" customWidth="1"/>
    <col min="11524" max="11524" width="12" style="321" customWidth="1"/>
    <col min="11525" max="11530" width="9.140625" style="321" customWidth="1"/>
    <col min="11531" max="11531" width="13" style="321" customWidth="1"/>
    <col min="11532" max="11532" width="11.85546875" style="321" customWidth="1"/>
    <col min="11533" max="11533" width="13.28515625" style="321" customWidth="1"/>
    <col min="11534" max="11539" width="9.140625" style="321" customWidth="1"/>
    <col min="11540" max="11547" width="9.140625" style="321" hidden="1" customWidth="1"/>
    <col min="11548" max="11775" width="9.140625" style="321" hidden="1"/>
    <col min="11776" max="11776" width="8.28515625" style="321" customWidth="1"/>
    <col min="11777" max="11777" width="12.7109375" style="321" customWidth="1"/>
    <col min="11778" max="11778" width="13.28515625" style="321" customWidth="1"/>
    <col min="11779" max="11779" width="12.140625" style="321" customWidth="1"/>
    <col min="11780" max="11780" width="12" style="321" customWidth="1"/>
    <col min="11781" max="11786" width="9.140625" style="321" customWidth="1"/>
    <col min="11787" max="11787" width="13" style="321" customWidth="1"/>
    <col min="11788" max="11788" width="11.85546875" style="321" customWidth="1"/>
    <col min="11789" max="11789" width="13.28515625" style="321" customWidth="1"/>
    <col min="11790" max="11795" width="9.140625" style="321" customWidth="1"/>
    <col min="11796" max="11803" width="9.140625" style="321" hidden="1" customWidth="1"/>
    <col min="11804" max="12031" width="9.140625" style="321" hidden="1"/>
    <col min="12032" max="12032" width="8.28515625" style="321" customWidth="1"/>
    <col min="12033" max="12033" width="12.7109375" style="321" customWidth="1"/>
    <col min="12034" max="12034" width="13.28515625" style="321" customWidth="1"/>
    <col min="12035" max="12035" width="12.140625" style="321" customWidth="1"/>
    <col min="12036" max="12036" width="12" style="321" customWidth="1"/>
    <col min="12037" max="12042" width="9.140625" style="321" customWidth="1"/>
    <col min="12043" max="12043" width="13" style="321" customWidth="1"/>
    <col min="12044" max="12044" width="11.85546875" style="321" customWidth="1"/>
    <col min="12045" max="12045" width="13.28515625" style="321" customWidth="1"/>
    <col min="12046" max="12051" width="9.140625" style="321" customWidth="1"/>
    <col min="12052" max="12059" width="9.140625" style="321" hidden="1" customWidth="1"/>
    <col min="12060" max="12287" width="9.140625" style="321" hidden="1"/>
    <col min="12288" max="12288" width="8.28515625" style="321" customWidth="1"/>
    <col min="12289" max="12289" width="12.7109375" style="321" customWidth="1"/>
    <col min="12290" max="12290" width="13.28515625" style="321" customWidth="1"/>
    <col min="12291" max="12291" width="12.140625" style="321" customWidth="1"/>
    <col min="12292" max="12292" width="12" style="321" customWidth="1"/>
    <col min="12293" max="12298" width="9.140625" style="321" customWidth="1"/>
    <col min="12299" max="12299" width="13" style="321" customWidth="1"/>
    <col min="12300" max="12300" width="11.85546875" style="321" customWidth="1"/>
    <col min="12301" max="12301" width="13.28515625" style="321" customWidth="1"/>
    <col min="12302" max="12307" width="9.140625" style="321" customWidth="1"/>
    <col min="12308" max="12315" width="9.140625" style="321" hidden="1" customWidth="1"/>
    <col min="12316" max="12543" width="9.140625" style="321" hidden="1"/>
    <col min="12544" max="12544" width="8.28515625" style="321" customWidth="1"/>
    <col min="12545" max="12545" width="12.7109375" style="321" customWidth="1"/>
    <col min="12546" max="12546" width="13.28515625" style="321" customWidth="1"/>
    <col min="12547" max="12547" width="12.140625" style="321" customWidth="1"/>
    <col min="12548" max="12548" width="12" style="321" customWidth="1"/>
    <col min="12549" max="12554" width="9.140625" style="321" customWidth="1"/>
    <col min="12555" max="12555" width="13" style="321" customWidth="1"/>
    <col min="12556" max="12556" width="11.85546875" style="321" customWidth="1"/>
    <col min="12557" max="12557" width="13.28515625" style="321" customWidth="1"/>
    <col min="12558" max="12563" width="9.140625" style="321" customWidth="1"/>
    <col min="12564" max="12571" width="9.140625" style="321" hidden="1" customWidth="1"/>
    <col min="12572" max="12799" width="9.140625" style="321" hidden="1"/>
    <col min="12800" max="12800" width="8.28515625" style="321" customWidth="1"/>
    <col min="12801" max="12801" width="12.7109375" style="321" customWidth="1"/>
    <col min="12802" max="12802" width="13.28515625" style="321" customWidth="1"/>
    <col min="12803" max="12803" width="12.140625" style="321" customWidth="1"/>
    <col min="12804" max="12804" width="12" style="321" customWidth="1"/>
    <col min="12805" max="12810" width="9.140625" style="321" customWidth="1"/>
    <col min="12811" max="12811" width="13" style="321" customWidth="1"/>
    <col min="12812" max="12812" width="11.85546875" style="321" customWidth="1"/>
    <col min="12813" max="12813" width="13.28515625" style="321" customWidth="1"/>
    <col min="12814" max="12819" width="9.140625" style="321" customWidth="1"/>
    <col min="12820" max="12827" width="9.140625" style="321" hidden="1" customWidth="1"/>
    <col min="12828" max="13055" width="9.140625" style="321" hidden="1"/>
    <col min="13056" max="13056" width="8.28515625" style="321" customWidth="1"/>
    <col min="13057" max="13057" width="12.7109375" style="321" customWidth="1"/>
    <col min="13058" max="13058" width="13.28515625" style="321" customWidth="1"/>
    <col min="13059" max="13059" width="12.140625" style="321" customWidth="1"/>
    <col min="13060" max="13060" width="12" style="321" customWidth="1"/>
    <col min="13061" max="13066" width="9.140625" style="321" customWidth="1"/>
    <col min="13067" max="13067" width="13" style="321" customWidth="1"/>
    <col min="13068" max="13068" width="11.85546875" style="321" customWidth="1"/>
    <col min="13069" max="13069" width="13.28515625" style="321" customWidth="1"/>
    <col min="13070" max="13075" width="9.140625" style="321" customWidth="1"/>
    <col min="13076" max="13083" width="9.140625" style="321" hidden="1" customWidth="1"/>
    <col min="13084" max="13311" width="9.140625" style="321" hidden="1"/>
    <col min="13312" max="13312" width="8.28515625" style="321" customWidth="1"/>
    <col min="13313" max="13313" width="12.7109375" style="321" customWidth="1"/>
    <col min="13314" max="13314" width="13.28515625" style="321" customWidth="1"/>
    <col min="13315" max="13315" width="12.140625" style="321" customWidth="1"/>
    <col min="13316" max="13316" width="12" style="321" customWidth="1"/>
    <col min="13317" max="13322" width="9.140625" style="321" customWidth="1"/>
    <col min="13323" max="13323" width="13" style="321" customWidth="1"/>
    <col min="13324" max="13324" width="11.85546875" style="321" customWidth="1"/>
    <col min="13325" max="13325" width="13.28515625" style="321" customWidth="1"/>
    <col min="13326" max="13331" width="9.140625" style="321" customWidth="1"/>
    <col min="13332" max="13339" width="9.140625" style="321" hidden="1" customWidth="1"/>
    <col min="13340" max="13567" width="9.140625" style="321" hidden="1"/>
    <col min="13568" max="13568" width="8.28515625" style="321" customWidth="1"/>
    <col min="13569" max="13569" width="12.7109375" style="321" customWidth="1"/>
    <col min="13570" max="13570" width="13.28515625" style="321" customWidth="1"/>
    <col min="13571" max="13571" width="12.140625" style="321" customWidth="1"/>
    <col min="13572" max="13572" width="12" style="321" customWidth="1"/>
    <col min="13573" max="13578" width="9.140625" style="321" customWidth="1"/>
    <col min="13579" max="13579" width="13" style="321" customWidth="1"/>
    <col min="13580" max="13580" width="11.85546875" style="321" customWidth="1"/>
    <col min="13581" max="13581" width="13.28515625" style="321" customWidth="1"/>
    <col min="13582" max="13587" width="9.140625" style="321" customWidth="1"/>
    <col min="13588" max="13595" width="9.140625" style="321" hidden="1" customWidth="1"/>
    <col min="13596" max="13823" width="9.140625" style="321" hidden="1"/>
    <col min="13824" max="13824" width="8.28515625" style="321" customWidth="1"/>
    <col min="13825" max="13825" width="12.7109375" style="321" customWidth="1"/>
    <col min="13826" max="13826" width="13.28515625" style="321" customWidth="1"/>
    <col min="13827" max="13827" width="12.140625" style="321" customWidth="1"/>
    <col min="13828" max="13828" width="12" style="321" customWidth="1"/>
    <col min="13829" max="13834" width="9.140625" style="321" customWidth="1"/>
    <col min="13835" max="13835" width="13" style="321" customWidth="1"/>
    <col min="13836" max="13836" width="11.85546875" style="321" customWidth="1"/>
    <col min="13837" max="13837" width="13.28515625" style="321" customWidth="1"/>
    <col min="13838" max="13843" width="9.140625" style="321" customWidth="1"/>
    <col min="13844" max="13851" width="9.140625" style="321" hidden="1" customWidth="1"/>
    <col min="13852" max="14079" width="9.140625" style="321" hidden="1"/>
    <col min="14080" max="14080" width="8.28515625" style="321" customWidth="1"/>
    <col min="14081" max="14081" width="12.7109375" style="321" customWidth="1"/>
    <col min="14082" max="14082" width="13.28515625" style="321" customWidth="1"/>
    <col min="14083" max="14083" width="12.140625" style="321" customWidth="1"/>
    <col min="14084" max="14084" width="12" style="321" customWidth="1"/>
    <col min="14085" max="14090" width="9.140625" style="321" customWidth="1"/>
    <col min="14091" max="14091" width="13" style="321" customWidth="1"/>
    <col min="14092" max="14092" width="11.85546875" style="321" customWidth="1"/>
    <col min="14093" max="14093" width="13.28515625" style="321" customWidth="1"/>
    <col min="14094" max="14099" width="9.140625" style="321" customWidth="1"/>
    <col min="14100" max="14107" width="9.140625" style="321" hidden="1" customWidth="1"/>
    <col min="14108" max="14335" width="9.140625" style="321" hidden="1"/>
    <col min="14336" max="14336" width="8.28515625" style="321" customWidth="1"/>
    <col min="14337" max="14337" width="12.7109375" style="321" customWidth="1"/>
    <col min="14338" max="14338" width="13.28515625" style="321" customWidth="1"/>
    <col min="14339" max="14339" width="12.140625" style="321" customWidth="1"/>
    <col min="14340" max="14340" width="12" style="321" customWidth="1"/>
    <col min="14341" max="14346" width="9.140625" style="321" customWidth="1"/>
    <col min="14347" max="14347" width="13" style="321" customWidth="1"/>
    <col min="14348" max="14348" width="11.85546875" style="321" customWidth="1"/>
    <col min="14349" max="14349" width="13.28515625" style="321" customWidth="1"/>
    <col min="14350" max="14355" width="9.140625" style="321" customWidth="1"/>
    <col min="14356" max="14363" width="9.140625" style="321" hidden="1" customWidth="1"/>
    <col min="14364" max="14591" width="9.140625" style="321" hidden="1"/>
    <col min="14592" max="14592" width="8.28515625" style="321" customWidth="1"/>
    <col min="14593" max="14593" width="12.7109375" style="321" customWidth="1"/>
    <col min="14594" max="14594" width="13.28515625" style="321" customWidth="1"/>
    <col min="14595" max="14595" width="12.140625" style="321" customWidth="1"/>
    <col min="14596" max="14596" width="12" style="321" customWidth="1"/>
    <col min="14597" max="14602" width="9.140625" style="321" customWidth="1"/>
    <col min="14603" max="14603" width="13" style="321" customWidth="1"/>
    <col min="14604" max="14604" width="11.85546875" style="321" customWidth="1"/>
    <col min="14605" max="14605" width="13.28515625" style="321" customWidth="1"/>
    <col min="14606" max="14611" width="9.140625" style="321" customWidth="1"/>
    <col min="14612" max="14619" width="9.140625" style="321" hidden="1" customWidth="1"/>
    <col min="14620" max="14847" width="9.140625" style="321" hidden="1"/>
    <col min="14848" max="14848" width="8.28515625" style="321" customWidth="1"/>
    <col min="14849" max="14849" width="12.7109375" style="321" customWidth="1"/>
    <col min="14850" max="14850" width="13.28515625" style="321" customWidth="1"/>
    <col min="14851" max="14851" width="12.140625" style="321" customWidth="1"/>
    <col min="14852" max="14852" width="12" style="321" customWidth="1"/>
    <col min="14853" max="14858" width="9.140625" style="321" customWidth="1"/>
    <col min="14859" max="14859" width="13" style="321" customWidth="1"/>
    <col min="14860" max="14860" width="11.85546875" style="321" customWidth="1"/>
    <col min="14861" max="14861" width="13.28515625" style="321" customWidth="1"/>
    <col min="14862" max="14867" width="9.140625" style="321" customWidth="1"/>
    <col min="14868" max="14875" width="9.140625" style="321" hidden="1" customWidth="1"/>
    <col min="14876" max="15103" width="9.140625" style="321" hidden="1"/>
    <col min="15104" max="15104" width="8.28515625" style="321" customWidth="1"/>
    <col min="15105" max="15105" width="12.7109375" style="321" customWidth="1"/>
    <col min="15106" max="15106" width="13.28515625" style="321" customWidth="1"/>
    <col min="15107" max="15107" width="12.140625" style="321" customWidth="1"/>
    <col min="15108" max="15108" width="12" style="321" customWidth="1"/>
    <col min="15109" max="15114" width="9.140625" style="321" customWidth="1"/>
    <col min="15115" max="15115" width="13" style="321" customWidth="1"/>
    <col min="15116" max="15116" width="11.85546875" style="321" customWidth="1"/>
    <col min="15117" max="15117" width="13.28515625" style="321" customWidth="1"/>
    <col min="15118" max="15123" width="9.140625" style="321" customWidth="1"/>
    <col min="15124" max="15131" width="9.140625" style="321" hidden="1" customWidth="1"/>
    <col min="15132" max="15359" width="9.140625" style="321" hidden="1"/>
    <col min="15360" max="15360" width="8.28515625" style="321" customWidth="1"/>
    <col min="15361" max="15361" width="12.7109375" style="321" customWidth="1"/>
    <col min="15362" max="15362" width="13.28515625" style="321" customWidth="1"/>
    <col min="15363" max="15363" width="12.140625" style="321" customWidth="1"/>
    <col min="15364" max="15364" width="12" style="321" customWidth="1"/>
    <col min="15365" max="15370" width="9.140625" style="321" customWidth="1"/>
    <col min="15371" max="15371" width="13" style="321" customWidth="1"/>
    <col min="15372" max="15372" width="11.85546875" style="321" customWidth="1"/>
    <col min="15373" max="15373" width="13.28515625" style="321" customWidth="1"/>
    <col min="15374" max="15379" width="9.140625" style="321" customWidth="1"/>
    <col min="15380" max="15387" width="9.140625" style="321" hidden="1" customWidth="1"/>
    <col min="15388" max="15615" width="9.140625" style="321" hidden="1"/>
    <col min="15616" max="15616" width="8.28515625" style="321" customWidth="1"/>
    <col min="15617" max="15617" width="12.7109375" style="321" customWidth="1"/>
    <col min="15618" max="15618" width="13.28515625" style="321" customWidth="1"/>
    <col min="15619" max="15619" width="12.140625" style="321" customWidth="1"/>
    <col min="15620" max="15620" width="12" style="321" customWidth="1"/>
    <col min="15621" max="15626" width="9.140625" style="321" customWidth="1"/>
    <col min="15627" max="15627" width="13" style="321" customWidth="1"/>
    <col min="15628" max="15628" width="11.85546875" style="321" customWidth="1"/>
    <col min="15629" max="15629" width="13.28515625" style="321" customWidth="1"/>
    <col min="15630" max="15635" width="9.140625" style="321" customWidth="1"/>
    <col min="15636" max="15643" width="9.140625" style="321" hidden="1" customWidth="1"/>
    <col min="15644" max="15871" width="9.140625" style="321" hidden="1"/>
    <col min="15872" max="15872" width="8.28515625" style="321" customWidth="1"/>
    <col min="15873" max="15873" width="12.7109375" style="321" customWidth="1"/>
    <col min="15874" max="15874" width="13.28515625" style="321" customWidth="1"/>
    <col min="15875" max="15875" width="12.140625" style="321" customWidth="1"/>
    <col min="15876" max="15876" width="12" style="321" customWidth="1"/>
    <col min="15877" max="15882" width="9.140625" style="321" customWidth="1"/>
    <col min="15883" max="15883" width="13" style="321" customWidth="1"/>
    <col min="15884" max="15884" width="11.85546875" style="321" customWidth="1"/>
    <col min="15885" max="15885" width="13.28515625" style="321" customWidth="1"/>
    <col min="15886" max="15891" width="9.140625" style="321" customWidth="1"/>
    <col min="15892" max="15899" width="9.140625" style="321" hidden="1" customWidth="1"/>
    <col min="15900" max="16127" width="9.140625" style="321" hidden="1"/>
    <col min="16128" max="16128" width="8.28515625" style="321" customWidth="1"/>
    <col min="16129" max="16129" width="12.7109375" style="321" customWidth="1"/>
    <col min="16130" max="16130" width="13.28515625" style="321" customWidth="1"/>
    <col min="16131" max="16131" width="12.140625" style="321" customWidth="1"/>
    <col min="16132" max="16132" width="12" style="321" customWidth="1"/>
    <col min="16133" max="16138" width="9.140625" style="321" customWidth="1"/>
    <col min="16139" max="16139" width="13" style="321" customWidth="1"/>
    <col min="16140" max="16140" width="11.85546875" style="321" customWidth="1"/>
    <col min="16141" max="16141" width="13.28515625" style="321" customWidth="1"/>
    <col min="16142" max="16147" width="9.140625" style="321" customWidth="1"/>
    <col min="16148" max="16149" width="0" style="321" hidden="1" customWidth="1"/>
    <col min="16150" max="16155" width="9.140625" style="321" hidden="1" customWidth="1"/>
    <col min="16156" max="16384" width="9.140625" style="321" hidden="1"/>
  </cols>
  <sheetData>
    <row r="1" spans="2:27"/>
    <row r="2" spans="2:27" s="310" customFormat="1" ht="15">
      <c r="B2" s="307" t="s">
        <v>858</v>
      </c>
      <c r="C2" s="308"/>
      <c r="D2" s="308"/>
      <c r="E2" s="308"/>
      <c r="F2" s="308"/>
      <c r="G2" s="308"/>
      <c r="H2" s="308"/>
      <c r="I2" s="308"/>
      <c r="J2" s="308"/>
      <c r="K2" s="308"/>
      <c r="L2" s="308"/>
      <c r="M2" s="308"/>
      <c r="N2" s="308"/>
      <c r="O2" s="308"/>
      <c r="P2" s="308"/>
      <c r="Q2" s="308"/>
      <c r="R2" s="309"/>
      <c r="S2" s="309"/>
    </row>
    <row r="3" spans="2:27" s="315" customFormat="1" ht="36">
      <c r="B3" s="311" t="s">
        <v>9</v>
      </c>
      <c r="C3" s="312" t="s">
        <v>859</v>
      </c>
      <c r="D3" s="313" t="s">
        <v>682</v>
      </c>
      <c r="E3" s="313" t="s">
        <v>860</v>
      </c>
      <c r="F3" s="313" t="s">
        <v>861</v>
      </c>
      <c r="G3" s="314" t="s">
        <v>862</v>
      </c>
      <c r="H3" s="314" t="s">
        <v>863</v>
      </c>
      <c r="I3" s="1020" t="s">
        <v>864</v>
      </c>
      <c r="J3" s="1020"/>
      <c r="K3" s="1020" t="s">
        <v>865</v>
      </c>
      <c r="L3" s="1020"/>
      <c r="M3" s="314" t="s">
        <v>866</v>
      </c>
      <c r="N3" s="314" t="s">
        <v>867</v>
      </c>
      <c r="O3" s="314" t="s">
        <v>868</v>
      </c>
      <c r="P3" s="314" t="s">
        <v>869</v>
      </c>
      <c r="Q3" s="314" t="s">
        <v>870</v>
      </c>
      <c r="R3" s="1020" t="s">
        <v>1064</v>
      </c>
      <c r="S3" s="1020"/>
    </row>
    <row r="4" spans="2:27">
      <c r="B4" s="316">
        <v>1</v>
      </c>
      <c r="C4" s="457">
        <f>G11</f>
        <v>0</v>
      </c>
      <c r="D4" s="457">
        <f>C12</f>
        <v>0</v>
      </c>
      <c r="E4" s="317">
        <f>F12</f>
        <v>0</v>
      </c>
      <c r="F4" s="457">
        <f>J12</f>
        <v>0</v>
      </c>
      <c r="G4" s="457" t="str">
        <f>IF(F4="CC/OD Account",N12,"")</f>
        <v/>
      </c>
      <c r="H4" s="318" t="str">
        <f>IF(F4="CC/OD Account",MAX(F14:F25),"")</f>
        <v/>
      </c>
      <c r="I4" s="1034" t="str">
        <f>IF(SUM(C14:C25)=0,"",AVERAGE(C14:C25))</f>
        <v/>
      </c>
      <c r="J4" s="1035"/>
      <c r="K4" s="1036" t="str">
        <f>IF(SUM(G14:G25)=0,"",ROUND(AVERAGE(G14:G25),))</f>
        <v/>
      </c>
      <c r="L4" s="1037"/>
      <c r="M4" s="319" t="str">
        <f>IF(H26&lt;=0,"",I26/H26)</f>
        <v/>
      </c>
      <c r="N4" s="319" t="str">
        <f>IF(G26&lt;=0,"",J26/G26)</f>
        <v/>
      </c>
      <c r="O4" s="456">
        <f>MIN(N14:N25)</f>
        <v>0</v>
      </c>
      <c r="P4" s="456">
        <f>MAX(N14:N25)</f>
        <v>0</v>
      </c>
      <c r="Q4" s="457">
        <f>N11</f>
        <v>0</v>
      </c>
      <c r="R4" s="1021">
        <f>IF(I4="",0,I4*12)</f>
        <v>0</v>
      </c>
      <c r="S4" s="1022"/>
    </row>
    <row r="5" spans="2:27">
      <c r="B5" s="316">
        <v>2</v>
      </c>
      <c r="C5" s="457">
        <f>G29</f>
        <v>0</v>
      </c>
      <c r="D5" s="457">
        <f>C30</f>
        <v>0</v>
      </c>
      <c r="E5" s="317">
        <f>F30</f>
        <v>0</v>
      </c>
      <c r="F5" s="457">
        <f>J30</f>
        <v>0</v>
      </c>
      <c r="G5" s="457" t="str">
        <f>IF(F5="CC/OD Account",N30,"")</f>
        <v/>
      </c>
      <c r="H5" s="318" t="str">
        <f>IF(F5="CC/OD Account",MAX(F32:F43),"")</f>
        <v/>
      </c>
      <c r="I5" s="1034" t="str">
        <f>IF(SUM(C32:C43)=0,"",AVERAGE(C32:C43))</f>
        <v/>
      </c>
      <c r="J5" s="1035"/>
      <c r="K5" s="1036" t="str">
        <f>IF(SUM(G32:G43)=0,"",ROUND(AVERAGE(G32:G43),))</f>
        <v/>
      </c>
      <c r="L5" s="1037"/>
      <c r="M5" s="319" t="str">
        <f>IF(H44&lt;=0,"",I44/H44)</f>
        <v/>
      </c>
      <c r="N5" s="319" t="str">
        <f>IF(G44&lt;=0,"",J44/G44)</f>
        <v/>
      </c>
      <c r="O5" s="456">
        <f>MIN(N32:N43)</f>
        <v>0</v>
      </c>
      <c r="P5" s="456">
        <f>MAX(N32:N43)</f>
        <v>0</v>
      </c>
      <c r="Q5" s="457">
        <f>N29</f>
        <v>0</v>
      </c>
      <c r="R5" s="1023">
        <f>IF(I5="",0,I5*12)</f>
        <v>0</v>
      </c>
      <c r="S5" s="1024"/>
    </row>
    <row r="6" spans="2:27">
      <c r="B6" s="458">
        <v>3</v>
      </c>
      <c r="C6" s="457">
        <f>G47</f>
        <v>0</v>
      </c>
      <c r="D6" s="457">
        <f>C48</f>
        <v>0</v>
      </c>
      <c r="E6" s="459">
        <f>F48</f>
        <v>0</v>
      </c>
      <c r="F6" s="452">
        <f>J48</f>
        <v>0</v>
      </c>
      <c r="G6" s="457" t="str">
        <f>IF(F6="CC/OD Account",N48,"")</f>
        <v/>
      </c>
      <c r="H6" s="318" t="str">
        <f>IF(F6="CC/OD Account",MAX(F50:F55),"")</f>
        <v/>
      </c>
      <c r="I6" s="1034" t="str">
        <f>IF(SUM(C50:C55)=0,"",AVERAGE(C50:C55))</f>
        <v/>
      </c>
      <c r="J6" s="1035"/>
      <c r="K6" s="1036" t="str">
        <f>IF(SUM(G50:G55)=0,"",ROUND(AVERAGE(G50:G55),))</f>
        <v/>
      </c>
      <c r="L6" s="1037"/>
      <c r="M6" s="461" t="str">
        <f>IF(H56&lt;=0,"",I56/H56)</f>
        <v/>
      </c>
      <c r="N6" s="319" t="str">
        <f>IF(G56&lt;=0,"",J56/G56)</f>
        <v/>
      </c>
      <c r="O6" s="460">
        <f>MIN(N50:N55)</f>
        <v>0</v>
      </c>
      <c r="P6" s="460">
        <f>MAX(N50:N55)</f>
        <v>0</v>
      </c>
      <c r="Q6" s="452">
        <f>N47</f>
        <v>0</v>
      </c>
      <c r="R6" s="1021">
        <f>IF(I6="",0,I6*6)</f>
        <v>0</v>
      </c>
      <c r="S6" s="1022"/>
    </row>
    <row r="7" spans="2:27" s="309" customFormat="1">
      <c r="B7" s="322"/>
      <c r="C7" s="322"/>
      <c r="D7" s="322"/>
      <c r="E7" s="322"/>
      <c r="F7" s="322"/>
      <c r="G7" s="322"/>
      <c r="H7" s="322"/>
      <c r="I7" s="322"/>
      <c r="J7" s="322"/>
      <c r="K7" s="322"/>
      <c r="L7" s="322"/>
      <c r="M7" s="322"/>
      <c r="N7" s="322"/>
      <c r="O7" s="322"/>
      <c r="P7" s="322"/>
      <c r="Q7" s="322"/>
    </row>
    <row r="8" spans="2:27" s="309" customFormat="1">
      <c r="B8" s="322"/>
      <c r="C8" s="322"/>
      <c r="D8" s="322"/>
      <c r="E8" s="322"/>
      <c r="F8" s="322"/>
      <c r="G8" s="322"/>
      <c r="H8" s="322"/>
      <c r="I8" s="322"/>
      <c r="J8" s="322"/>
      <c r="K8" s="322"/>
      <c r="L8" s="322"/>
      <c r="M8" s="322"/>
      <c r="N8" s="322"/>
      <c r="O8" s="322"/>
      <c r="P8" s="322"/>
      <c r="Q8" s="322"/>
    </row>
    <row r="9" spans="2:27" s="320" customFormat="1" ht="15">
      <c r="B9" s="323" t="s">
        <v>871</v>
      </c>
      <c r="C9" s="324"/>
      <c r="D9" s="324"/>
      <c r="E9" s="325"/>
      <c r="F9" s="325"/>
      <c r="G9" s="325"/>
      <c r="H9" s="325"/>
      <c r="I9" s="325"/>
      <c r="J9" s="325"/>
      <c r="K9" s="325"/>
      <c r="L9" s="325"/>
      <c r="M9" s="325"/>
      <c r="N9" s="325"/>
      <c r="O9" s="325"/>
      <c r="P9" s="325"/>
      <c r="Q9" s="325"/>
    </row>
    <row r="10" spans="2:27" s="320" customFormat="1" ht="12.75" thickBot="1">
      <c r="B10" s="325"/>
      <c r="C10" s="325"/>
      <c r="D10" s="325"/>
      <c r="E10" s="325"/>
      <c r="F10" s="325"/>
      <c r="G10" s="325"/>
      <c r="H10" s="325"/>
      <c r="I10" s="325"/>
      <c r="J10" s="325"/>
      <c r="K10" s="325"/>
      <c r="L10" s="325"/>
      <c r="M10" s="325"/>
      <c r="N10" s="325"/>
      <c r="O10" s="325"/>
      <c r="P10" s="325"/>
      <c r="Q10" s="325"/>
    </row>
    <row r="11" spans="2:27" ht="12.75" thickBot="1">
      <c r="B11" s="326" t="s">
        <v>872</v>
      </c>
      <c r="C11" s="321"/>
      <c r="D11" s="1031" t="s">
        <v>873</v>
      </c>
      <c r="E11" s="1031"/>
      <c r="F11" s="1031"/>
      <c r="G11" s="1029"/>
      <c r="H11" s="1032"/>
      <c r="I11" s="1030"/>
      <c r="K11" s="1033"/>
      <c r="L11" s="1033"/>
      <c r="M11" s="1033"/>
      <c r="N11" s="322"/>
      <c r="O11" s="320"/>
    </row>
    <row r="12" spans="2:27" ht="15" customHeight="1" thickBot="1">
      <c r="B12" s="328" t="s">
        <v>682</v>
      </c>
      <c r="C12" s="1025"/>
      <c r="D12" s="1026"/>
      <c r="E12" s="329" t="s">
        <v>860</v>
      </c>
      <c r="F12" s="1027"/>
      <c r="G12" s="1026"/>
      <c r="H12" s="1028" t="s">
        <v>875</v>
      </c>
      <c r="I12" s="1028"/>
      <c r="J12" s="1029"/>
      <c r="K12" s="1030"/>
      <c r="L12" s="1028" t="s">
        <v>877</v>
      </c>
      <c r="M12" s="1028"/>
      <c r="N12" s="330"/>
      <c r="O12" s="331"/>
      <c r="P12" s="331"/>
    </row>
    <row r="13" spans="2:27" s="334" customFormat="1" ht="24">
      <c r="B13" s="347" t="s">
        <v>878</v>
      </c>
      <c r="C13" s="348" t="s">
        <v>879</v>
      </c>
      <c r="D13" s="348" t="s">
        <v>880</v>
      </c>
      <c r="E13" s="348" t="s">
        <v>862</v>
      </c>
      <c r="F13" s="348" t="s">
        <v>881</v>
      </c>
      <c r="G13" s="348" t="s">
        <v>882</v>
      </c>
      <c r="H13" s="348" t="s">
        <v>883</v>
      </c>
      <c r="I13" s="348" t="s">
        <v>866</v>
      </c>
      <c r="J13" s="348" t="s">
        <v>867</v>
      </c>
      <c r="K13" s="348" t="s">
        <v>884</v>
      </c>
      <c r="L13" s="348" t="s">
        <v>885</v>
      </c>
      <c r="M13" s="348" t="s">
        <v>886</v>
      </c>
      <c r="N13" s="349" t="s">
        <v>887</v>
      </c>
      <c r="O13" s="332"/>
      <c r="P13" s="332"/>
      <c r="Q13" s="332"/>
      <c r="R13" s="333"/>
      <c r="S13" s="333"/>
      <c r="Y13" s="310" t="s">
        <v>888</v>
      </c>
    </row>
    <row r="14" spans="2:27">
      <c r="B14" s="335">
        <v>43617</v>
      </c>
      <c r="C14" s="446"/>
      <c r="D14" s="431"/>
      <c r="E14" s="337"/>
      <c r="F14" s="318" t="str">
        <f t="shared" ref="F14:F24" si="0">IF($J$12="CC/OD Account",IF(D14="","",D14/E14),"")</f>
        <v/>
      </c>
      <c r="G14" s="447"/>
      <c r="H14" s="447"/>
      <c r="I14" s="447"/>
      <c r="J14" s="447"/>
      <c r="K14" s="446"/>
      <c r="L14" s="446"/>
      <c r="M14" s="446"/>
      <c r="N14" s="338" t="str">
        <f t="shared" ref="N14:N24" si="1">IF(SUM(K14:M14)=0,"",IF($J$12="CC/OD Account",(E14-AVERAGE(K14:M14)),AVERAGE(K14:M14)))</f>
        <v/>
      </c>
      <c r="Y14" s="339" t="s">
        <v>876</v>
      </c>
      <c r="AA14" s="321" t="s">
        <v>874</v>
      </c>
    </row>
    <row r="15" spans="2:27">
      <c r="B15" s="340">
        <f>EDATE(B14,-1)</f>
        <v>43586</v>
      </c>
      <c r="C15" s="446"/>
      <c r="D15" s="431"/>
      <c r="E15" s="337"/>
      <c r="F15" s="318" t="str">
        <f t="shared" si="0"/>
        <v/>
      </c>
      <c r="G15" s="447"/>
      <c r="H15" s="447"/>
      <c r="I15" s="447"/>
      <c r="J15" s="447"/>
      <c r="K15" s="446"/>
      <c r="L15" s="446"/>
      <c r="M15" s="446"/>
      <c r="N15" s="338" t="str">
        <f t="shared" si="1"/>
        <v/>
      </c>
      <c r="Y15" s="321" t="s">
        <v>889</v>
      </c>
      <c r="AA15" s="321" t="s">
        <v>890</v>
      </c>
    </row>
    <row r="16" spans="2:27">
      <c r="B16" s="340">
        <f>EDATE(B15,-1)</f>
        <v>43556</v>
      </c>
      <c r="C16" s="446"/>
      <c r="D16" s="431"/>
      <c r="E16" s="337"/>
      <c r="F16" s="318" t="str">
        <f t="shared" si="0"/>
        <v/>
      </c>
      <c r="G16" s="447"/>
      <c r="H16" s="447"/>
      <c r="I16" s="447"/>
      <c r="J16" s="447"/>
      <c r="K16" s="446"/>
      <c r="L16" s="446"/>
      <c r="M16" s="446"/>
      <c r="N16" s="338" t="str">
        <f t="shared" si="1"/>
        <v/>
      </c>
    </row>
    <row r="17" spans="2:19">
      <c r="B17" s="340">
        <f>EDATE(B16,-1)</f>
        <v>43525</v>
      </c>
      <c r="C17" s="446"/>
      <c r="D17" s="431"/>
      <c r="E17" s="337"/>
      <c r="F17" s="318" t="str">
        <f t="shared" si="0"/>
        <v/>
      </c>
      <c r="G17" s="447"/>
      <c r="H17" s="447"/>
      <c r="I17" s="447"/>
      <c r="J17" s="447"/>
      <c r="K17" s="446"/>
      <c r="L17" s="446"/>
      <c r="M17" s="446"/>
      <c r="N17" s="338" t="str">
        <f t="shared" si="1"/>
        <v/>
      </c>
    </row>
    <row r="18" spans="2:19">
      <c r="B18" s="340">
        <f>EDATE(B17,-1)</f>
        <v>43497</v>
      </c>
      <c r="C18" s="446"/>
      <c r="D18" s="431"/>
      <c r="E18" s="337"/>
      <c r="F18" s="318" t="str">
        <f t="shared" si="0"/>
        <v/>
      </c>
      <c r="G18" s="447"/>
      <c r="H18" s="447"/>
      <c r="I18" s="447"/>
      <c r="J18" s="447"/>
      <c r="K18" s="446"/>
      <c r="L18" s="446"/>
      <c r="M18" s="446"/>
      <c r="N18" s="338" t="str">
        <f t="shared" si="1"/>
        <v/>
      </c>
    </row>
    <row r="19" spans="2:19">
      <c r="B19" s="340">
        <f>EDATE(B18,-1)</f>
        <v>43466</v>
      </c>
      <c r="C19" s="446"/>
      <c r="D19" s="431"/>
      <c r="E19" s="337"/>
      <c r="F19" s="318" t="str">
        <f t="shared" si="0"/>
        <v/>
      </c>
      <c r="G19" s="447"/>
      <c r="H19" s="447"/>
      <c r="I19" s="447"/>
      <c r="J19" s="447"/>
      <c r="K19" s="446"/>
      <c r="L19" s="446"/>
      <c r="M19" s="446"/>
      <c r="N19" s="338" t="str">
        <f t="shared" si="1"/>
        <v/>
      </c>
    </row>
    <row r="20" spans="2:19">
      <c r="B20" s="340">
        <f t="shared" ref="B20:B25" si="2">EDATE(B19,-1)</f>
        <v>43435</v>
      </c>
      <c r="C20" s="432"/>
      <c r="D20" s="431"/>
      <c r="E20" s="337"/>
      <c r="F20" s="318" t="str">
        <f t="shared" si="0"/>
        <v/>
      </c>
      <c r="G20" s="337"/>
      <c r="H20" s="337"/>
      <c r="I20" s="337"/>
      <c r="J20" s="337"/>
      <c r="K20" s="336"/>
      <c r="L20" s="336"/>
      <c r="M20" s="336"/>
      <c r="N20" s="338" t="str">
        <f t="shared" si="1"/>
        <v/>
      </c>
    </row>
    <row r="21" spans="2:19">
      <c r="B21" s="340">
        <f t="shared" si="2"/>
        <v>43405</v>
      </c>
      <c r="C21" s="432"/>
      <c r="D21" s="431"/>
      <c r="E21" s="337"/>
      <c r="F21" s="318" t="str">
        <f t="shared" si="0"/>
        <v/>
      </c>
      <c r="G21" s="337"/>
      <c r="H21" s="337"/>
      <c r="I21" s="337"/>
      <c r="J21" s="337"/>
      <c r="K21" s="336"/>
      <c r="L21" s="336"/>
      <c r="M21" s="336"/>
      <c r="N21" s="338" t="str">
        <f t="shared" si="1"/>
        <v/>
      </c>
    </row>
    <row r="22" spans="2:19">
      <c r="B22" s="340">
        <f t="shared" si="2"/>
        <v>43374</v>
      </c>
      <c r="C22" s="432"/>
      <c r="D22" s="431"/>
      <c r="E22" s="337"/>
      <c r="F22" s="318" t="str">
        <f t="shared" si="0"/>
        <v/>
      </c>
      <c r="G22" s="337"/>
      <c r="H22" s="337"/>
      <c r="I22" s="337"/>
      <c r="J22" s="337"/>
      <c r="K22" s="336"/>
      <c r="L22" s="336"/>
      <c r="M22" s="336"/>
      <c r="N22" s="338" t="str">
        <f t="shared" si="1"/>
        <v/>
      </c>
    </row>
    <row r="23" spans="2:19">
      <c r="B23" s="340">
        <f t="shared" si="2"/>
        <v>43344</v>
      </c>
      <c r="C23" s="432"/>
      <c r="D23" s="431"/>
      <c r="E23" s="337"/>
      <c r="F23" s="318" t="str">
        <f t="shared" si="0"/>
        <v/>
      </c>
      <c r="G23" s="337"/>
      <c r="H23" s="337"/>
      <c r="I23" s="337"/>
      <c r="J23" s="337"/>
      <c r="K23" s="336"/>
      <c r="L23" s="336"/>
      <c r="M23" s="336"/>
      <c r="N23" s="338" t="str">
        <f t="shared" si="1"/>
        <v/>
      </c>
    </row>
    <row r="24" spans="2:19">
      <c r="B24" s="340">
        <f t="shared" si="2"/>
        <v>43313</v>
      </c>
      <c r="C24" s="432"/>
      <c r="D24" s="431"/>
      <c r="E24" s="337"/>
      <c r="F24" s="318" t="str">
        <f t="shared" si="0"/>
        <v/>
      </c>
      <c r="G24" s="337"/>
      <c r="H24" s="337"/>
      <c r="I24" s="337"/>
      <c r="J24" s="337"/>
      <c r="K24" s="336"/>
      <c r="L24" s="336"/>
      <c r="M24" s="336"/>
      <c r="N24" s="338" t="str">
        <f t="shared" si="1"/>
        <v/>
      </c>
    </row>
    <row r="25" spans="2:19">
      <c r="B25" s="340">
        <f t="shared" si="2"/>
        <v>43282</v>
      </c>
      <c r="C25" s="432"/>
      <c r="D25" s="431"/>
      <c r="E25" s="337"/>
      <c r="F25" s="318" t="str">
        <f t="shared" ref="F25" si="3">IF($J$12="CC/OD Account",IF(D25="","",D25/E25),"")</f>
        <v/>
      </c>
      <c r="G25" s="337"/>
      <c r="H25" s="337"/>
      <c r="I25" s="337"/>
      <c r="J25" s="337"/>
      <c r="K25" s="336"/>
      <c r="L25" s="336"/>
      <c r="M25" s="336"/>
      <c r="N25" s="338" t="str">
        <f t="shared" ref="N25" si="4">IF(SUM(K25:M25)=0,"",IF($J$12="CC/OD Account",(E25-AVERAGE(K25:M25)),AVERAGE(K25:M25)))</f>
        <v/>
      </c>
    </row>
    <row r="26" spans="2:19" ht="12.75" thickBot="1">
      <c r="B26" s="341" t="s">
        <v>3</v>
      </c>
      <c r="C26" s="879">
        <f>SUM(C14:C25)</f>
        <v>0</v>
      </c>
      <c r="D26" s="342"/>
      <c r="E26" s="342"/>
      <c r="F26" s="342"/>
      <c r="G26" s="343">
        <f>SUM(G14:G24)</f>
        <v>0</v>
      </c>
      <c r="H26" s="343">
        <f>SUM(H14:H25)</f>
        <v>0</v>
      </c>
      <c r="I26" s="343">
        <f>SUM(I14:I25)</f>
        <v>0</v>
      </c>
      <c r="J26" s="343">
        <f>SUM(J14:J25)</f>
        <v>0</v>
      </c>
      <c r="K26" s="342"/>
      <c r="L26" s="342"/>
      <c r="M26" s="342"/>
      <c r="N26" s="350"/>
    </row>
    <row r="27" spans="2:19" s="310" customFormat="1">
      <c r="B27" s="344"/>
      <c r="C27" s="345"/>
      <c r="D27" s="344"/>
      <c r="E27" s="344"/>
      <c r="F27" s="344"/>
      <c r="G27" s="344"/>
      <c r="H27" s="344"/>
      <c r="I27" s="344"/>
      <c r="J27" s="344"/>
      <c r="K27" s="344"/>
      <c r="L27" s="344"/>
      <c r="M27" s="344"/>
      <c r="N27" s="344"/>
      <c r="O27" s="322"/>
      <c r="P27" s="322"/>
      <c r="Q27" s="322"/>
      <c r="R27" s="309"/>
      <c r="S27" s="309"/>
    </row>
    <row r="28" spans="2:19" s="310" customFormat="1" ht="12.75" thickBot="1">
      <c r="B28" s="322"/>
      <c r="C28" s="322"/>
      <c r="D28" s="322"/>
      <c r="E28" s="322"/>
      <c r="F28" s="322"/>
      <c r="G28" s="322"/>
      <c r="H28" s="322"/>
      <c r="I28" s="322"/>
      <c r="J28" s="322"/>
      <c r="K28" s="322"/>
      <c r="L28" s="322"/>
      <c r="M28" s="322"/>
      <c r="N28" s="322"/>
      <c r="O28" s="322"/>
      <c r="P28" s="322"/>
      <c r="Q28" s="322"/>
      <c r="R28" s="309"/>
      <c r="S28" s="309"/>
    </row>
    <row r="29" spans="2:19" ht="12.75" thickBot="1">
      <c r="B29" s="326" t="s">
        <v>891</v>
      </c>
      <c r="D29" s="1031" t="s">
        <v>873</v>
      </c>
      <c r="E29" s="1031"/>
      <c r="F29" s="1031"/>
      <c r="G29" s="1029"/>
      <c r="H29" s="1032"/>
      <c r="I29" s="1030"/>
      <c r="K29" s="1033"/>
      <c r="L29" s="1033"/>
      <c r="M29" s="1033"/>
      <c r="N29" s="325"/>
      <c r="O29" s="320"/>
    </row>
    <row r="30" spans="2:19" ht="12.75" thickBot="1">
      <c r="B30" s="328" t="s">
        <v>682</v>
      </c>
      <c r="C30" s="1042"/>
      <c r="D30" s="1043"/>
      <c r="E30" s="329" t="s">
        <v>860</v>
      </c>
      <c r="F30" s="1027"/>
      <c r="G30" s="1026"/>
      <c r="H30" s="1028" t="s">
        <v>875</v>
      </c>
      <c r="I30" s="1028"/>
      <c r="J30" s="1029"/>
      <c r="K30" s="1030"/>
      <c r="L30" s="1028" t="s">
        <v>877</v>
      </c>
      <c r="M30" s="1028"/>
      <c r="N30" s="330"/>
      <c r="O30" s="320"/>
    </row>
    <row r="31" spans="2:19" s="310" customFormat="1" ht="24">
      <c r="B31" s="347" t="s">
        <v>878</v>
      </c>
      <c r="C31" s="348" t="s">
        <v>879</v>
      </c>
      <c r="D31" s="348" t="s">
        <v>880</v>
      </c>
      <c r="E31" s="348" t="s">
        <v>862</v>
      </c>
      <c r="F31" s="348" t="s">
        <v>881</v>
      </c>
      <c r="G31" s="348" t="s">
        <v>882</v>
      </c>
      <c r="H31" s="348" t="s">
        <v>883</v>
      </c>
      <c r="I31" s="348" t="s">
        <v>866</v>
      </c>
      <c r="J31" s="348" t="s">
        <v>867</v>
      </c>
      <c r="K31" s="348" t="s">
        <v>884</v>
      </c>
      <c r="L31" s="348" t="s">
        <v>885</v>
      </c>
      <c r="M31" s="348" t="s">
        <v>886</v>
      </c>
      <c r="N31" s="349" t="s">
        <v>887</v>
      </c>
      <c r="O31" s="320"/>
      <c r="P31" s="325"/>
      <c r="Q31" s="322"/>
      <c r="R31" s="309"/>
      <c r="S31" s="309"/>
    </row>
    <row r="32" spans="2:19">
      <c r="B32" s="340">
        <f>B14</f>
        <v>43617</v>
      </c>
      <c r="C32" s="446"/>
      <c r="D32" s="337"/>
      <c r="E32" s="337"/>
      <c r="F32" s="318" t="str">
        <f t="shared" ref="F32:F42" si="5">IF($J$30="CC/OD Account",IF(D32="","",D32/E32),"")</f>
        <v/>
      </c>
      <c r="G32" s="447"/>
      <c r="H32" s="447"/>
      <c r="I32" s="447"/>
      <c r="J32" s="447"/>
      <c r="K32" s="444"/>
      <c r="L32" s="444"/>
      <c r="M32" s="444"/>
      <c r="N32" s="338" t="str">
        <f t="shared" ref="N32:N42" si="6">IF(SUM(K32:M32)=0,"",IF($J$12="CC/OD Account",(E32-AVERAGE(K32:M32)),AVERAGE(K32:M32)))</f>
        <v/>
      </c>
    </row>
    <row r="33" spans="2:19">
      <c r="B33" s="340">
        <f>EDATE(B32,-1)</f>
        <v>43586</v>
      </c>
      <c r="C33" s="446"/>
      <c r="D33" s="337"/>
      <c r="E33" s="337"/>
      <c r="F33" s="318" t="str">
        <f t="shared" si="5"/>
        <v/>
      </c>
      <c r="G33" s="447"/>
      <c r="H33" s="447"/>
      <c r="I33" s="447"/>
      <c r="J33" s="447"/>
      <c r="K33" s="446"/>
      <c r="L33" s="446"/>
      <c r="M33" s="446"/>
      <c r="N33" s="338" t="str">
        <f t="shared" si="6"/>
        <v/>
      </c>
    </row>
    <row r="34" spans="2:19">
      <c r="B34" s="340">
        <f>EDATE(B33,-1)</f>
        <v>43556</v>
      </c>
      <c r="C34" s="446"/>
      <c r="D34" s="337"/>
      <c r="E34" s="337"/>
      <c r="F34" s="318" t="str">
        <f t="shared" si="5"/>
        <v/>
      </c>
      <c r="G34" s="447"/>
      <c r="H34" s="447"/>
      <c r="I34" s="447"/>
      <c r="J34" s="447"/>
      <c r="K34" s="446"/>
      <c r="L34" s="446"/>
      <c r="M34" s="446"/>
      <c r="N34" s="338" t="str">
        <f t="shared" si="6"/>
        <v/>
      </c>
    </row>
    <row r="35" spans="2:19">
      <c r="B35" s="340">
        <f>EDATE(B34,-1)</f>
        <v>43525</v>
      </c>
      <c r="C35" s="446"/>
      <c r="D35" s="337"/>
      <c r="E35" s="337"/>
      <c r="F35" s="318" t="str">
        <f t="shared" si="5"/>
        <v/>
      </c>
      <c r="G35" s="447"/>
      <c r="H35" s="447"/>
      <c r="I35" s="447"/>
      <c r="J35" s="447"/>
      <c r="K35" s="446"/>
      <c r="L35" s="446"/>
      <c r="M35" s="446"/>
      <c r="N35" s="338" t="str">
        <f t="shared" si="6"/>
        <v/>
      </c>
    </row>
    <row r="36" spans="2:19">
      <c r="B36" s="340">
        <f>EDATE(B35,-1)</f>
        <v>43497</v>
      </c>
      <c r="C36" s="446"/>
      <c r="D36" s="337"/>
      <c r="E36" s="337"/>
      <c r="F36" s="318" t="str">
        <f t="shared" si="5"/>
        <v/>
      </c>
      <c r="G36" s="447"/>
      <c r="H36" s="447"/>
      <c r="I36" s="447"/>
      <c r="J36" s="447"/>
      <c r="K36" s="446"/>
      <c r="L36" s="446"/>
      <c r="M36" s="446"/>
      <c r="N36" s="338" t="str">
        <f t="shared" si="6"/>
        <v/>
      </c>
    </row>
    <row r="37" spans="2:19">
      <c r="B37" s="340">
        <f>EDATE(B36,-1)</f>
        <v>43466</v>
      </c>
      <c r="C37" s="446"/>
      <c r="D37" s="435"/>
      <c r="E37" s="435"/>
      <c r="F37" s="318" t="str">
        <f t="shared" si="5"/>
        <v/>
      </c>
      <c r="G37" s="447"/>
      <c r="H37" s="447"/>
      <c r="I37" s="447"/>
      <c r="J37" s="447"/>
      <c r="K37" s="446"/>
      <c r="L37" s="446"/>
      <c r="M37" s="446"/>
      <c r="N37" s="338" t="str">
        <f t="shared" si="6"/>
        <v/>
      </c>
    </row>
    <row r="38" spans="2:19">
      <c r="B38" s="340">
        <f t="shared" ref="B38:B43" si="7">EDATE(B37,-1)</f>
        <v>43435</v>
      </c>
      <c r="C38" s="437"/>
      <c r="D38" s="435"/>
      <c r="E38" s="435"/>
      <c r="F38" s="318" t="str">
        <f t="shared" si="5"/>
        <v/>
      </c>
      <c r="G38" s="436"/>
      <c r="H38" s="436"/>
      <c r="I38" s="436"/>
      <c r="J38" s="436"/>
      <c r="K38" s="434"/>
      <c r="L38" s="434"/>
      <c r="M38" s="434"/>
      <c r="N38" s="338" t="str">
        <f t="shared" si="6"/>
        <v/>
      </c>
    </row>
    <row r="39" spans="2:19">
      <c r="B39" s="340">
        <f t="shared" si="7"/>
        <v>43405</v>
      </c>
      <c r="C39" s="437"/>
      <c r="D39" s="435"/>
      <c r="E39" s="435"/>
      <c r="F39" s="318" t="str">
        <f t="shared" si="5"/>
        <v/>
      </c>
      <c r="G39" s="436"/>
      <c r="H39" s="436"/>
      <c r="I39" s="436"/>
      <c r="J39" s="436"/>
      <c r="K39" s="434"/>
      <c r="L39" s="434"/>
      <c r="M39" s="434"/>
      <c r="N39" s="338" t="str">
        <f t="shared" si="6"/>
        <v/>
      </c>
    </row>
    <row r="40" spans="2:19">
      <c r="B40" s="340">
        <f t="shared" si="7"/>
        <v>43374</v>
      </c>
      <c r="C40" s="437"/>
      <c r="D40" s="435"/>
      <c r="E40" s="435"/>
      <c r="F40" s="318" t="str">
        <f t="shared" si="5"/>
        <v/>
      </c>
      <c r="G40" s="436"/>
      <c r="H40" s="436"/>
      <c r="I40" s="436"/>
      <c r="J40" s="436"/>
      <c r="K40" s="434"/>
      <c r="L40" s="434"/>
      <c r="M40" s="434"/>
      <c r="N40" s="338" t="str">
        <f t="shared" si="6"/>
        <v/>
      </c>
    </row>
    <row r="41" spans="2:19">
      <c r="B41" s="340">
        <f t="shared" si="7"/>
        <v>43344</v>
      </c>
      <c r="C41" s="437"/>
      <c r="D41" s="435"/>
      <c r="E41" s="435"/>
      <c r="F41" s="318" t="str">
        <f t="shared" si="5"/>
        <v/>
      </c>
      <c r="G41" s="436"/>
      <c r="H41" s="436"/>
      <c r="I41" s="436"/>
      <c r="J41" s="436"/>
      <c r="K41" s="434"/>
      <c r="L41" s="434"/>
      <c r="M41" s="434"/>
      <c r="N41" s="338" t="str">
        <f t="shared" si="6"/>
        <v/>
      </c>
    </row>
    <row r="42" spans="2:19">
      <c r="B42" s="340">
        <f t="shared" si="7"/>
        <v>43313</v>
      </c>
      <c r="C42" s="437"/>
      <c r="D42" s="435"/>
      <c r="E42" s="435"/>
      <c r="F42" s="318" t="str">
        <f t="shared" si="5"/>
        <v/>
      </c>
      <c r="G42" s="436"/>
      <c r="H42" s="436"/>
      <c r="I42" s="436"/>
      <c r="J42" s="436"/>
      <c r="K42" s="434"/>
      <c r="L42" s="434"/>
      <c r="M42" s="434"/>
      <c r="N42" s="338" t="str">
        <f t="shared" si="6"/>
        <v/>
      </c>
    </row>
    <row r="43" spans="2:19">
      <c r="B43" s="340">
        <f t="shared" si="7"/>
        <v>43282</v>
      </c>
      <c r="C43" s="437"/>
      <c r="D43" s="435"/>
      <c r="E43" s="435"/>
      <c r="F43" s="318" t="str">
        <f t="shared" ref="F43" si="8">IF($J$30="CC/OD Account",IF(D43="","",D43/E43),"")</f>
        <v/>
      </c>
      <c r="G43" s="436"/>
      <c r="H43" s="436"/>
      <c r="I43" s="436"/>
      <c r="J43" s="436"/>
      <c r="K43" s="434"/>
      <c r="L43" s="434"/>
      <c r="M43" s="434"/>
      <c r="N43" s="338" t="str">
        <f t="shared" ref="N43" si="9">IF(SUM(K43:M43)=0,"",IF($J$12="CC/OD Account",(E43-AVERAGE(K43:M43)),AVERAGE(K43:M43)))</f>
        <v/>
      </c>
    </row>
    <row r="44" spans="2:19" s="310" customFormat="1" ht="12.75" thickBot="1">
      <c r="B44" s="341" t="s">
        <v>3</v>
      </c>
      <c r="C44" s="433">
        <f>SUM(C32:C42)</f>
        <v>0</v>
      </c>
      <c r="D44" s="346"/>
      <c r="E44" s="346"/>
      <c r="F44" s="346"/>
      <c r="G44" s="343">
        <f>SUM(G32:G42)</f>
        <v>0</v>
      </c>
      <c r="H44" s="343">
        <f>SUM(H32:H42)</f>
        <v>0</v>
      </c>
      <c r="I44" s="343">
        <f>SUM(I32:I42)</f>
        <v>0</v>
      </c>
      <c r="J44" s="343">
        <f>SUM(J32:J42)</f>
        <v>0</v>
      </c>
      <c r="K44" s="346"/>
      <c r="L44" s="346"/>
      <c r="M44" s="346"/>
      <c r="N44" s="350"/>
      <c r="O44" s="322"/>
      <c r="P44" s="322"/>
      <c r="Q44" s="322"/>
      <c r="R44" s="309"/>
      <c r="S44" s="309"/>
    </row>
    <row r="45" spans="2:19" s="310" customFormat="1">
      <c r="B45" s="322"/>
      <c r="C45" s="322"/>
      <c r="D45" s="322"/>
      <c r="E45" s="322"/>
      <c r="F45" s="322"/>
      <c r="G45" s="322"/>
      <c r="H45" s="322"/>
      <c r="I45" s="322"/>
      <c r="J45" s="322"/>
      <c r="K45" s="322"/>
      <c r="L45" s="322"/>
      <c r="M45" s="322"/>
      <c r="N45" s="322"/>
      <c r="O45" s="322"/>
      <c r="P45" s="322"/>
      <c r="Q45" s="322"/>
      <c r="R45" s="309"/>
      <c r="S45" s="309"/>
    </row>
    <row r="46" spans="2:19" s="310" customFormat="1">
      <c r="B46" s="322"/>
      <c r="C46" s="322"/>
      <c r="D46" s="322"/>
      <c r="E46" s="322"/>
      <c r="F46" s="322"/>
      <c r="G46" s="322"/>
      <c r="H46" s="322"/>
      <c r="I46" s="322"/>
      <c r="J46" s="322"/>
      <c r="K46" s="322"/>
      <c r="L46" s="322"/>
      <c r="M46" s="322"/>
      <c r="N46" s="322"/>
      <c r="O46" s="322"/>
      <c r="P46" s="322"/>
      <c r="Q46" s="322"/>
      <c r="R46" s="309"/>
      <c r="S46" s="309"/>
    </row>
    <row r="47" spans="2:19" ht="12.75" thickBot="1">
      <c r="B47" s="326" t="s">
        <v>892</v>
      </c>
      <c r="C47" s="321"/>
      <c r="D47" s="1031" t="s">
        <v>873</v>
      </c>
      <c r="E47" s="1031"/>
      <c r="F47" s="1031"/>
      <c r="G47" s="1041"/>
      <c r="H47" s="1041"/>
      <c r="I47" s="1041"/>
      <c r="K47" s="1033"/>
      <c r="L47" s="1033"/>
      <c r="M47" s="1033"/>
      <c r="N47" s="325"/>
      <c r="O47" s="320"/>
    </row>
    <row r="48" spans="2:19" ht="12.75" thickBot="1">
      <c r="B48" s="328" t="s">
        <v>682</v>
      </c>
      <c r="C48" s="1038"/>
      <c r="D48" s="1038"/>
      <c r="E48" s="455" t="s">
        <v>860</v>
      </c>
      <c r="F48" s="1039"/>
      <c r="G48" s="1040"/>
      <c r="H48" s="1028" t="s">
        <v>875</v>
      </c>
      <c r="I48" s="1028"/>
      <c r="J48" s="1032"/>
      <c r="K48" s="1032"/>
      <c r="L48" s="1028" t="s">
        <v>877</v>
      </c>
      <c r="M48" s="1028"/>
      <c r="N48" s="330"/>
    </row>
    <row r="49" spans="2:19" s="310" customFormat="1" ht="24">
      <c r="B49" s="347" t="s">
        <v>878</v>
      </c>
      <c r="C49" s="348" t="s">
        <v>879</v>
      </c>
      <c r="D49" s="348" t="s">
        <v>880</v>
      </c>
      <c r="E49" s="348" t="s">
        <v>862</v>
      </c>
      <c r="F49" s="348" t="s">
        <v>881</v>
      </c>
      <c r="G49" s="348" t="s">
        <v>882</v>
      </c>
      <c r="H49" s="348" t="s">
        <v>883</v>
      </c>
      <c r="I49" s="348" t="s">
        <v>866</v>
      </c>
      <c r="J49" s="348" t="s">
        <v>867</v>
      </c>
      <c r="K49" s="348" t="s">
        <v>884</v>
      </c>
      <c r="L49" s="348" t="s">
        <v>885</v>
      </c>
      <c r="M49" s="348" t="s">
        <v>886</v>
      </c>
      <c r="N49" s="349" t="s">
        <v>887</v>
      </c>
      <c r="O49" s="322"/>
      <c r="P49" s="322"/>
      <c r="Q49" s="322"/>
      <c r="R49" s="309"/>
      <c r="S49" s="309"/>
    </row>
    <row r="50" spans="2:19">
      <c r="B50" s="340">
        <f>B32</f>
        <v>43617</v>
      </c>
      <c r="C50" s="446"/>
      <c r="D50" s="337"/>
      <c r="E50" s="337"/>
      <c r="F50" s="318" t="str">
        <f t="shared" ref="F50:F55" si="10">IF($J$30="CC/OD Account",IF(D50="","",D50/E50),"")</f>
        <v/>
      </c>
      <c r="G50" s="447"/>
      <c r="H50" s="447"/>
      <c r="I50" s="447"/>
      <c r="J50" s="447"/>
      <c r="K50" s="444"/>
      <c r="L50" s="444"/>
      <c r="M50" s="444"/>
      <c r="N50" s="338" t="str">
        <f t="shared" ref="N50:N55" si="11">IF(SUM(K50:M50)=0,"",IF($J$12="CC/OD Account",(E50-AVERAGE(K50:M50)),AVERAGE(K50:M50)))</f>
        <v/>
      </c>
    </row>
    <row r="51" spans="2:19">
      <c r="B51" s="340">
        <f>EDATE(B50,-1)</f>
        <v>43586</v>
      </c>
      <c r="C51" s="446"/>
      <c r="D51" s="337"/>
      <c r="E51" s="337"/>
      <c r="F51" s="318" t="str">
        <f t="shared" si="10"/>
        <v/>
      </c>
      <c r="G51" s="447"/>
      <c r="H51" s="447"/>
      <c r="I51" s="447"/>
      <c r="J51" s="447"/>
      <c r="K51" s="446"/>
      <c r="L51" s="446"/>
      <c r="M51" s="446"/>
      <c r="N51" s="338" t="str">
        <f t="shared" si="11"/>
        <v/>
      </c>
    </row>
    <row r="52" spans="2:19">
      <c r="B52" s="340">
        <f>EDATE(B51,-1)</f>
        <v>43556</v>
      </c>
      <c r="C52" s="446"/>
      <c r="D52" s="337"/>
      <c r="E52" s="337"/>
      <c r="F52" s="318" t="str">
        <f t="shared" si="10"/>
        <v/>
      </c>
      <c r="G52" s="447"/>
      <c r="H52" s="447"/>
      <c r="I52" s="447"/>
      <c r="J52" s="447"/>
      <c r="K52" s="446"/>
      <c r="L52" s="446"/>
      <c r="M52" s="446"/>
      <c r="N52" s="338" t="str">
        <f t="shared" si="11"/>
        <v/>
      </c>
    </row>
    <row r="53" spans="2:19">
      <c r="B53" s="340">
        <f>EDATE(B52,-1)</f>
        <v>43525</v>
      </c>
      <c r="C53" s="446"/>
      <c r="D53" s="337"/>
      <c r="E53" s="337"/>
      <c r="F53" s="318" t="str">
        <f t="shared" si="10"/>
        <v/>
      </c>
      <c r="G53" s="447"/>
      <c r="H53" s="447"/>
      <c r="I53" s="447"/>
      <c r="J53" s="447"/>
      <c r="K53" s="446"/>
      <c r="L53" s="446"/>
      <c r="M53" s="446"/>
      <c r="N53" s="338" t="str">
        <f t="shared" si="11"/>
        <v/>
      </c>
    </row>
    <row r="54" spans="2:19">
      <c r="B54" s="340">
        <f>EDATE(B53,-1)</f>
        <v>43497</v>
      </c>
      <c r="C54" s="446"/>
      <c r="D54" s="337"/>
      <c r="E54" s="337"/>
      <c r="F54" s="318" t="str">
        <f t="shared" si="10"/>
        <v/>
      </c>
      <c r="G54" s="447"/>
      <c r="H54" s="447"/>
      <c r="I54" s="447"/>
      <c r="J54" s="447"/>
      <c r="K54" s="446"/>
      <c r="L54" s="446"/>
      <c r="M54" s="446"/>
      <c r="N54" s="338" t="str">
        <f t="shared" si="11"/>
        <v/>
      </c>
    </row>
    <row r="55" spans="2:19">
      <c r="B55" s="340">
        <f>EDATE(B54,-1)</f>
        <v>43466</v>
      </c>
      <c r="C55" s="446"/>
      <c r="D55" s="435"/>
      <c r="E55" s="435"/>
      <c r="F55" s="318" t="str">
        <f t="shared" si="10"/>
        <v/>
      </c>
      <c r="G55" s="447"/>
      <c r="H55" s="447"/>
      <c r="I55" s="447"/>
      <c r="J55" s="447"/>
      <c r="K55" s="446"/>
      <c r="L55" s="446"/>
      <c r="M55" s="446"/>
      <c r="N55" s="338" t="str">
        <f t="shared" si="11"/>
        <v/>
      </c>
    </row>
    <row r="56" spans="2:19" s="325" customFormat="1" ht="12.75" thickBot="1">
      <c r="B56" s="341" t="s">
        <v>3</v>
      </c>
      <c r="C56" s="433">
        <f>SUM(C50:C55)</f>
        <v>0</v>
      </c>
      <c r="D56" s="346"/>
      <c r="E56" s="346"/>
      <c r="F56" s="346"/>
      <c r="G56" s="343">
        <f>SUM(G50:G55)</f>
        <v>0</v>
      </c>
      <c r="H56" s="343">
        <f>SUM(H50:H55)</f>
        <v>0</v>
      </c>
      <c r="I56" s="343">
        <f>SUM(I50:I55)</f>
        <v>0</v>
      </c>
      <c r="J56" s="343">
        <f>SUM(J50:J55)</f>
        <v>0</v>
      </c>
      <c r="K56" s="346"/>
      <c r="L56" s="346"/>
      <c r="M56" s="346"/>
      <c r="N56" s="350"/>
      <c r="R56" s="320"/>
      <c r="S56" s="320"/>
    </row>
    <row r="57" spans="2:19"/>
    <row r="58" spans="2:19"/>
    <row r="59" spans="2:19"/>
    <row r="60" spans="2:19"/>
    <row r="61" spans="2:19"/>
    <row r="62" spans="2:19"/>
    <row r="63" spans="2:19"/>
    <row r="64" spans="2:19"/>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sheetData>
  <sheetProtection password="E03D" sheet="1" objects="1" scenarios="1" formatCells="0" formatColumns="0" formatRows="0"/>
  <mergeCells count="36">
    <mergeCell ref="I5:J5"/>
    <mergeCell ref="K5:L5"/>
    <mergeCell ref="I6:J6"/>
    <mergeCell ref="K6:L6"/>
    <mergeCell ref="D29:F29"/>
    <mergeCell ref="G29:I29"/>
    <mergeCell ref="K29:M29"/>
    <mergeCell ref="C30:D30"/>
    <mergeCell ref="F30:G30"/>
    <mergeCell ref="H30:I30"/>
    <mergeCell ref="J30:K30"/>
    <mergeCell ref="L30:M30"/>
    <mergeCell ref="C48:D48"/>
    <mergeCell ref="F48:G48"/>
    <mergeCell ref="H48:I48"/>
    <mergeCell ref="J48:K48"/>
    <mergeCell ref="D47:F47"/>
    <mergeCell ref="G47:I47"/>
    <mergeCell ref="K47:M47"/>
    <mergeCell ref="L48:M48"/>
    <mergeCell ref="R3:S3"/>
    <mergeCell ref="R4:S4"/>
    <mergeCell ref="R5:S5"/>
    <mergeCell ref="R6:S6"/>
    <mergeCell ref="C12:D12"/>
    <mergeCell ref="F12:G12"/>
    <mergeCell ref="H12:I12"/>
    <mergeCell ref="J12:K12"/>
    <mergeCell ref="L12:M12"/>
    <mergeCell ref="D11:F11"/>
    <mergeCell ref="G11:I11"/>
    <mergeCell ref="K11:M11"/>
    <mergeCell ref="I3:J3"/>
    <mergeCell ref="K3:L3"/>
    <mergeCell ref="I4:J4"/>
    <mergeCell ref="K4:L4"/>
  </mergeCells>
  <dataValidations count="4">
    <dataValidation type="list" allowBlank="1" showInputMessage="1" showErrorMessage="1" sqref="WVT983045 JH11 TD11 ACZ11 AMV11 AWR11 BGN11 BQJ11 CAF11 CKB11 CTX11 DDT11 DNP11 DXL11 EHH11 ERD11 FAZ11 FKV11 FUR11 GEN11 GOJ11 GYF11 HIB11 HRX11 IBT11 ILP11 IVL11 JFH11 JPD11 JYZ11 KIV11 KSR11 LCN11 LMJ11 LWF11 MGB11 MPX11 MZT11 NJP11 NTL11 ODH11 OND11 OWZ11 PGV11 PQR11 QAN11 QKJ11 QUF11 REB11 RNX11 RXT11 SHP11 SRL11 TBH11 TLD11 TUZ11 UEV11 UOR11 UYN11 VIJ11 VSF11 WCB11 WLX11 WVT11 N65489 JH65489 TD65489 ACZ65489 AMV65489 AWR65489 BGN65489 BQJ65489 CAF65489 CKB65489 CTX65489 DDT65489 DNP65489 DXL65489 EHH65489 ERD65489 FAZ65489 FKV65489 FUR65489 GEN65489 GOJ65489 GYF65489 HIB65489 HRX65489 IBT65489 ILP65489 IVL65489 JFH65489 JPD65489 JYZ65489 KIV65489 KSR65489 LCN65489 LMJ65489 LWF65489 MGB65489 MPX65489 MZT65489 NJP65489 NTL65489 ODH65489 OND65489 OWZ65489 PGV65489 PQR65489 QAN65489 QKJ65489 QUF65489 REB65489 RNX65489 RXT65489 SHP65489 SRL65489 TBH65489 TLD65489 TUZ65489 UEV65489 UOR65489 UYN65489 VIJ65489 VSF65489 WCB65489 WLX65489 WVT65489 N131025 JH131025 TD131025 ACZ131025 AMV131025 AWR131025 BGN131025 BQJ131025 CAF131025 CKB131025 CTX131025 DDT131025 DNP131025 DXL131025 EHH131025 ERD131025 FAZ131025 FKV131025 FUR131025 GEN131025 GOJ131025 GYF131025 HIB131025 HRX131025 IBT131025 ILP131025 IVL131025 JFH131025 JPD131025 JYZ131025 KIV131025 KSR131025 LCN131025 LMJ131025 LWF131025 MGB131025 MPX131025 MZT131025 NJP131025 NTL131025 ODH131025 OND131025 OWZ131025 PGV131025 PQR131025 QAN131025 QKJ131025 QUF131025 REB131025 RNX131025 RXT131025 SHP131025 SRL131025 TBH131025 TLD131025 TUZ131025 UEV131025 UOR131025 UYN131025 VIJ131025 VSF131025 WCB131025 WLX131025 WVT131025 N196561 JH196561 TD196561 ACZ196561 AMV196561 AWR196561 BGN196561 BQJ196561 CAF196561 CKB196561 CTX196561 DDT196561 DNP196561 DXL196561 EHH196561 ERD196561 FAZ196561 FKV196561 FUR196561 GEN196561 GOJ196561 GYF196561 HIB196561 HRX196561 IBT196561 ILP196561 IVL196561 JFH196561 JPD196561 JYZ196561 KIV196561 KSR196561 LCN196561 LMJ196561 LWF196561 MGB196561 MPX196561 MZT196561 NJP196561 NTL196561 ODH196561 OND196561 OWZ196561 PGV196561 PQR196561 QAN196561 QKJ196561 QUF196561 REB196561 RNX196561 RXT196561 SHP196561 SRL196561 TBH196561 TLD196561 TUZ196561 UEV196561 UOR196561 UYN196561 VIJ196561 VSF196561 WCB196561 WLX196561 WVT196561 N262097 JH262097 TD262097 ACZ262097 AMV262097 AWR262097 BGN262097 BQJ262097 CAF262097 CKB262097 CTX262097 DDT262097 DNP262097 DXL262097 EHH262097 ERD262097 FAZ262097 FKV262097 FUR262097 GEN262097 GOJ262097 GYF262097 HIB262097 HRX262097 IBT262097 ILP262097 IVL262097 JFH262097 JPD262097 JYZ262097 KIV262097 KSR262097 LCN262097 LMJ262097 LWF262097 MGB262097 MPX262097 MZT262097 NJP262097 NTL262097 ODH262097 OND262097 OWZ262097 PGV262097 PQR262097 QAN262097 QKJ262097 QUF262097 REB262097 RNX262097 RXT262097 SHP262097 SRL262097 TBH262097 TLD262097 TUZ262097 UEV262097 UOR262097 UYN262097 VIJ262097 VSF262097 WCB262097 WLX262097 WVT262097 N327633 JH327633 TD327633 ACZ327633 AMV327633 AWR327633 BGN327633 BQJ327633 CAF327633 CKB327633 CTX327633 DDT327633 DNP327633 DXL327633 EHH327633 ERD327633 FAZ327633 FKV327633 FUR327633 GEN327633 GOJ327633 GYF327633 HIB327633 HRX327633 IBT327633 ILP327633 IVL327633 JFH327633 JPD327633 JYZ327633 KIV327633 KSR327633 LCN327633 LMJ327633 LWF327633 MGB327633 MPX327633 MZT327633 NJP327633 NTL327633 ODH327633 OND327633 OWZ327633 PGV327633 PQR327633 QAN327633 QKJ327633 QUF327633 REB327633 RNX327633 RXT327633 SHP327633 SRL327633 TBH327633 TLD327633 TUZ327633 UEV327633 UOR327633 UYN327633 VIJ327633 VSF327633 WCB327633 WLX327633 WVT327633 N393169 JH393169 TD393169 ACZ393169 AMV393169 AWR393169 BGN393169 BQJ393169 CAF393169 CKB393169 CTX393169 DDT393169 DNP393169 DXL393169 EHH393169 ERD393169 FAZ393169 FKV393169 FUR393169 GEN393169 GOJ393169 GYF393169 HIB393169 HRX393169 IBT393169 ILP393169 IVL393169 JFH393169 JPD393169 JYZ393169 KIV393169 KSR393169 LCN393169 LMJ393169 LWF393169 MGB393169 MPX393169 MZT393169 NJP393169 NTL393169 ODH393169 OND393169 OWZ393169 PGV393169 PQR393169 QAN393169 QKJ393169 QUF393169 REB393169 RNX393169 RXT393169 SHP393169 SRL393169 TBH393169 TLD393169 TUZ393169 UEV393169 UOR393169 UYN393169 VIJ393169 VSF393169 WCB393169 WLX393169 WVT393169 N458705 JH458705 TD458705 ACZ458705 AMV458705 AWR458705 BGN458705 BQJ458705 CAF458705 CKB458705 CTX458705 DDT458705 DNP458705 DXL458705 EHH458705 ERD458705 FAZ458705 FKV458705 FUR458705 GEN458705 GOJ458705 GYF458705 HIB458705 HRX458705 IBT458705 ILP458705 IVL458705 JFH458705 JPD458705 JYZ458705 KIV458705 KSR458705 LCN458705 LMJ458705 LWF458705 MGB458705 MPX458705 MZT458705 NJP458705 NTL458705 ODH458705 OND458705 OWZ458705 PGV458705 PQR458705 QAN458705 QKJ458705 QUF458705 REB458705 RNX458705 RXT458705 SHP458705 SRL458705 TBH458705 TLD458705 TUZ458705 UEV458705 UOR458705 UYN458705 VIJ458705 VSF458705 WCB458705 WLX458705 WVT458705 N524241 JH524241 TD524241 ACZ524241 AMV524241 AWR524241 BGN524241 BQJ524241 CAF524241 CKB524241 CTX524241 DDT524241 DNP524241 DXL524241 EHH524241 ERD524241 FAZ524241 FKV524241 FUR524241 GEN524241 GOJ524241 GYF524241 HIB524241 HRX524241 IBT524241 ILP524241 IVL524241 JFH524241 JPD524241 JYZ524241 KIV524241 KSR524241 LCN524241 LMJ524241 LWF524241 MGB524241 MPX524241 MZT524241 NJP524241 NTL524241 ODH524241 OND524241 OWZ524241 PGV524241 PQR524241 QAN524241 QKJ524241 QUF524241 REB524241 RNX524241 RXT524241 SHP524241 SRL524241 TBH524241 TLD524241 TUZ524241 UEV524241 UOR524241 UYN524241 VIJ524241 VSF524241 WCB524241 WLX524241 WVT524241 N589777 JH589777 TD589777 ACZ589777 AMV589777 AWR589777 BGN589777 BQJ589777 CAF589777 CKB589777 CTX589777 DDT589777 DNP589777 DXL589777 EHH589777 ERD589777 FAZ589777 FKV589777 FUR589777 GEN589777 GOJ589777 GYF589777 HIB589777 HRX589777 IBT589777 ILP589777 IVL589777 JFH589777 JPD589777 JYZ589777 KIV589777 KSR589777 LCN589777 LMJ589777 LWF589777 MGB589777 MPX589777 MZT589777 NJP589777 NTL589777 ODH589777 OND589777 OWZ589777 PGV589777 PQR589777 QAN589777 QKJ589777 QUF589777 REB589777 RNX589777 RXT589777 SHP589777 SRL589777 TBH589777 TLD589777 TUZ589777 UEV589777 UOR589777 UYN589777 VIJ589777 VSF589777 WCB589777 WLX589777 WVT589777 N655313 JH655313 TD655313 ACZ655313 AMV655313 AWR655313 BGN655313 BQJ655313 CAF655313 CKB655313 CTX655313 DDT655313 DNP655313 DXL655313 EHH655313 ERD655313 FAZ655313 FKV655313 FUR655313 GEN655313 GOJ655313 GYF655313 HIB655313 HRX655313 IBT655313 ILP655313 IVL655313 JFH655313 JPD655313 JYZ655313 KIV655313 KSR655313 LCN655313 LMJ655313 LWF655313 MGB655313 MPX655313 MZT655313 NJP655313 NTL655313 ODH655313 OND655313 OWZ655313 PGV655313 PQR655313 QAN655313 QKJ655313 QUF655313 REB655313 RNX655313 RXT655313 SHP655313 SRL655313 TBH655313 TLD655313 TUZ655313 UEV655313 UOR655313 UYN655313 VIJ655313 VSF655313 WCB655313 WLX655313 WVT655313 N720849 JH720849 TD720849 ACZ720849 AMV720849 AWR720849 BGN720849 BQJ720849 CAF720849 CKB720849 CTX720849 DDT720849 DNP720849 DXL720849 EHH720849 ERD720849 FAZ720849 FKV720849 FUR720849 GEN720849 GOJ720849 GYF720849 HIB720849 HRX720849 IBT720849 ILP720849 IVL720849 JFH720849 JPD720849 JYZ720849 KIV720849 KSR720849 LCN720849 LMJ720849 LWF720849 MGB720849 MPX720849 MZT720849 NJP720849 NTL720849 ODH720849 OND720849 OWZ720849 PGV720849 PQR720849 QAN720849 QKJ720849 QUF720849 REB720849 RNX720849 RXT720849 SHP720849 SRL720849 TBH720849 TLD720849 TUZ720849 UEV720849 UOR720849 UYN720849 VIJ720849 VSF720849 WCB720849 WLX720849 WVT720849 N786385 JH786385 TD786385 ACZ786385 AMV786385 AWR786385 BGN786385 BQJ786385 CAF786385 CKB786385 CTX786385 DDT786385 DNP786385 DXL786385 EHH786385 ERD786385 FAZ786385 FKV786385 FUR786385 GEN786385 GOJ786385 GYF786385 HIB786385 HRX786385 IBT786385 ILP786385 IVL786385 JFH786385 JPD786385 JYZ786385 KIV786385 KSR786385 LCN786385 LMJ786385 LWF786385 MGB786385 MPX786385 MZT786385 NJP786385 NTL786385 ODH786385 OND786385 OWZ786385 PGV786385 PQR786385 QAN786385 QKJ786385 QUF786385 REB786385 RNX786385 RXT786385 SHP786385 SRL786385 TBH786385 TLD786385 TUZ786385 UEV786385 UOR786385 UYN786385 VIJ786385 VSF786385 WCB786385 WLX786385 WVT786385 N851921 JH851921 TD851921 ACZ851921 AMV851921 AWR851921 BGN851921 BQJ851921 CAF851921 CKB851921 CTX851921 DDT851921 DNP851921 DXL851921 EHH851921 ERD851921 FAZ851921 FKV851921 FUR851921 GEN851921 GOJ851921 GYF851921 HIB851921 HRX851921 IBT851921 ILP851921 IVL851921 JFH851921 JPD851921 JYZ851921 KIV851921 KSR851921 LCN851921 LMJ851921 LWF851921 MGB851921 MPX851921 MZT851921 NJP851921 NTL851921 ODH851921 OND851921 OWZ851921 PGV851921 PQR851921 QAN851921 QKJ851921 QUF851921 REB851921 RNX851921 RXT851921 SHP851921 SRL851921 TBH851921 TLD851921 TUZ851921 UEV851921 UOR851921 UYN851921 VIJ851921 VSF851921 WCB851921 WLX851921 WVT851921 N917457 JH917457 TD917457 ACZ917457 AMV917457 AWR917457 BGN917457 BQJ917457 CAF917457 CKB917457 CTX917457 DDT917457 DNP917457 DXL917457 EHH917457 ERD917457 FAZ917457 FKV917457 FUR917457 GEN917457 GOJ917457 GYF917457 HIB917457 HRX917457 IBT917457 ILP917457 IVL917457 JFH917457 JPD917457 JYZ917457 KIV917457 KSR917457 LCN917457 LMJ917457 LWF917457 MGB917457 MPX917457 MZT917457 NJP917457 NTL917457 ODH917457 OND917457 OWZ917457 PGV917457 PQR917457 QAN917457 QKJ917457 QUF917457 REB917457 RNX917457 RXT917457 SHP917457 SRL917457 TBH917457 TLD917457 TUZ917457 UEV917457 UOR917457 UYN917457 VIJ917457 VSF917457 WCB917457 WLX917457 WVT917457 N982993 JH982993 TD982993 ACZ982993 AMV982993 AWR982993 BGN982993 BQJ982993 CAF982993 CKB982993 CTX982993 DDT982993 DNP982993 DXL982993 EHH982993 ERD982993 FAZ982993 FKV982993 FUR982993 GEN982993 GOJ982993 GYF982993 HIB982993 HRX982993 IBT982993 ILP982993 IVL982993 JFH982993 JPD982993 JYZ982993 KIV982993 KSR982993 LCN982993 LMJ982993 LWF982993 MGB982993 MPX982993 MZT982993 NJP982993 NTL982993 ODH982993 OND982993 OWZ982993 PGV982993 PQR982993 QAN982993 QKJ982993 QUF982993 REB982993 RNX982993 RXT982993 SHP982993 SRL982993 TBH982993 TLD982993 TUZ982993 UEV982993 UOR982993 UYN982993 VIJ982993 VSF982993 WCB982993 WLX982993 WVT982993 WLX983045 JH29 TD29 ACZ29 AMV29 AWR29 BGN29 BQJ29 CAF29 CKB29 CTX29 DDT29 DNP29 DXL29 EHH29 ERD29 FAZ29 FKV29 FUR29 GEN29 GOJ29 GYF29 HIB29 HRX29 IBT29 ILP29 IVL29 JFH29 JPD29 JYZ29 KIV29 KSR29 LCN29 LMJ29 LWF29 MGB29 MPX29 MZT29 NJP29 NTL29 ODH29 OND29 OWZ29 PGV29 PQR29 QAN29 QKJ29 QUF29 REB29 RNX29 RXT29 SHP29 SRL29 TBH29 TLD29 TUZ29 UEV29 UOR29 UYN29 VIJ29 VSF29 WCB29 WLX29 WVT29 N65502 JH65502 TD65502 ACZ65502 AMV65502 AWR65502 BGN65502 BQJ65502 CAF65502 CKB65502 CTX65502 DDT65502 DNP65502 DXL65502 EHH65502 ERD65502 FAZ65502 FKV65502 FUR65502 GEN65502 GOJ65502 GYF65502 HIB65502 HRX65502 IBT65502 ILP65502 IVL65502 JFH65502 JPD65502 JYZ65502 KIV65502 KSR65502 LCN65502 LMJ65502 LWF65502 MGB65502 MPX65502 MZT65502 NJP65502 NTL65502 ODH65502 OND65502 OWZ65502 PGV65502 PQR65502 QAN65502 QKJ65502 QUF65502 REB65502 RNX65502 RXT65502 SHP65502 SRL65502 TBH65502 TLD65502 TUZ65502 UEV65502 UOR65502 UYN65502 VIJ65502 VSF65502 WCB65502 WLX65502 WVT65502 N131038 JH131038 TD131038 ACZ131038 AMV131038 AWR131038 BGN131038 BQJ131038 CAF131038 CKB131038 CTX131038 DDT131038 DNP131038 DXL131038 EHH131038 ERD131038 FAZ131038 FKV131038 FUR131038 GEN131038 GOJ131038 GYF131038 HIB131038 HRX131038 IBT131038 ILP131038 IVL131038 JFH131038 JPD131038 JYZ131038 KIV131038 KSR131038 LCN131038 LMJ131038 LWF131038 MGB131038 MPX131038 MZT131038 NJP131038 NTL131038 ODH131038 OND131038 OWZ131038 PGV131038 PQR131038 QAN131038 QKJ131038 QUF131038 REB131038 RNX131038 RXT131038 SHP131038 SRL131038 TBH131038 TLD131038 TUZ131038 UEV131038 UOR131038 UYN131038 VIJ131038 VSF131038 WCB131038 WLX131038 WVT131038 N196574 JH196574 TD196574 ACZ196574 AMV196574 AWR196574 BGN196574 BQJ196574 CAF196574 CKB196574 CTX196574 DDT196574 DNP196574 DXL196574 EHH196574 ERD196574 FAZ196574 FKV196574 FUR196574 GEN196574 GOJ196574 GYF196574 HIB196574 HRX196574 IBT196574 ILP196574 IVL196574 JFH196574 JPD196574 JYZ196574 KIV196574 KSR196574 LCN196574 LMJ196574 LWF196574 MGB196574 MPX196574 MZT196574 NJP196574 NTL196574 ODH196574 OND196574 OWZ196574 PGV196574 PQR196574 QAN196574 QKJ196574 QUF196574 REB196574 RNX196574 RXT196574 SHP196574 SRL196574 TBH196574 TLD196574 TUZ196574 UEV196574 UOR196574 UYN196574 VIJ196574 VSF196574 WCB196574 WLX196574 WVT196574 N262110 JH262110 TD262110 ACZ262110 AMV262110 AWR262110 BGN262110 BQJ262110 CAF262110 CKB262110 CTX262110 DDT262110 DNP262110 DXL262110 EHH262110 ERD262110 FAZ262110 FKV262110 FUR262110 GEN262110 GOJ262110 GYF262110 HIB262110 HRX262110 IBT262110 ILP262110 IVL262110 JFH262110 JPD262110 JYZ262110 KIV262110 KSR262110 LCN262110 LMJ262110 LWF262110 MGB262110 MPX262110 MZT262110 NJP262110 NTL262110 ODH262110 OND262110 OWZ262110 PGV262110 PQR262110 QAN262110 QKJ262110 QUF262110 REB262110 RNX262110 RXT262110 SHP262110 SRL262110 TBH262110 TLD262110 TUZ262110 UEV262110 UOR262110 UYN262110 VIJ262110 VSF262110 WCB262110 WLX262110 WVT262110 N327646 JH327646 TD327646 ACZ327646 AMV327646 AWR327646 BGN327646 BQJ327646 CAF327646 CKB327646 CTX327646 DDT327646 DNP327646 DXL327646 EHH327646 ERD327646 FAZ327646 FKV327646 FUR327646 GEN327646 GOJ327646 GYF327646 HIB327646 HRX327646 IBT327646 ILP327646 IVL327646 JFH327646 JPD327646 JYZ327646 KIV327646 KSR327646 LCN327646 LMJ327646 LWF327646 MGB327646 MPX327646 MZT327646 NJP327646 NTL327646 ODH327646 OND327646 OWZ327646 PGV327646 PQR327646 QAN327646 QKJ327646 QUF327646 REB327646 RNX327646 RXT327646 SHP327646 SRL327646 TBH327646 TLD327646 TUZ327646 UEV327646 UOR327646 UYN327646 VIJ327646 VSF327646 WCB327646 WLX327646 WVT327646 N393182 JH393182 TD393182 ACZ393182 AMV393182 AWR393182 BGN393182 BQJ393182 CAF393182 CKB393182 CTX393182 DDT393182 DNP393182 DXL393182 EHH393182 ERD393182 FAZ393182 FKV393182 FUR393182 GEN393182 GOJ393182 GYF393182 HIB393182 HRX393182 IBT393182 ILP393182 IVL393182 JFH393182 JPD393182 JYZ393182 KIV393182 KSR393182 LCN393182 LMJ393182 LWF393182 MGB393182 MPX393182 MZT393182 NJP393182 NTL393182 ODH393182 OND393182 OWZ393182 PGV393182 PQR393182 QAN393182 QKJ393182 QUF393182 REB393182 RNX393182 RXT393182 SHP393182 SRL393182 TBH393182 TLD393182 TUZ393182 UEV393182 UOR393182 UYN393182 VIJ393182 VSF393182 WCB393182 WLX393182 WVT393182 N458718 JH458718 TD458718 ACZ458718 AMV458718 AWR458718 BGN458718 BQJ458718 CAF458718 CKB458718 CTX458718 DDT458718 DNP458718 DXL458718 EHH458718 ERD458718 FAZ458718 FKV458718 FUR458718 GEN458718 GOJ458718 GYF458718 HIB458718 HRX458718 IBT458718 ILP458718 IVL458718 JFH458718 JPD458718 JYZ458718 KIV458718 KSR458718 LCN458718 LMJ458718 LWF458718 MGB458718 MPX458718 MZT458718 NJP458718 NTL458718 ODH458718 OND458718 OWZ458718 PGV458718 PQR458718 QAN458718 QKJ458718 QUF458718 REB458718 RNX458718 RXT458718 SHP458718 SRL458718 TBH458718 TLD458718 TUZ458718 UEV458718 UOR458718 UYN458718 VIJ458718 VSF458718 WCB458718 WLX458718 WVT458718 N524254 JH524254 TD524254 ACZ524254 AMV524254 AWR524254 BGN524254 BQJ524254 CAF524254 CKB524254 CTX524254 DDT524254 DNP524254 DXL524254 EHH524254 ERD524254 FAZ524254 FKV524254 FUR524254 GEN524254 GOJ524254 GYF524254 HIB524254 HRX524254 IBT524254 ILP524254 IVL524254 JFH524254 JPD524254 JYZ524254 KIV524254 KSR524254 LCN524254 LMJ524254 LWF524254 MGB524254 MPX524254 MZT524254 NJP524254 NTL524254 ODH524254 OND524254 OWZ524254 PGV524254 PQR524254 QAN524254 QKJ524254 QUF524254 REB524254 RNX524254 RXT524254 SHP524254 SRL524254 TBH524254 TLD524254 TUZ524254 UEV524254 UOR524254 UYN524254 VIJ524254 VSF524254 WCB524254 WLX524254 WVT524254 N589790 JH589790 TD589790 ACZ589790 AMV589790 AWR589790 BGN589790 BQJ589790 CAF589790 CKB589790 CTX589790 DDT589790 DNP589790 DXL589790 EHH589790 ERD589790 FAZ589790 FKV589790 FUR589790 GEN589790 GOJ589790 GYF589790 HIB589790 HRX589790 IBT589790 ILP589790 IVL589790 JFH589790 JPD589790 JYZ589790 KIV589790 KSR589790 LCN589790 LMJ589790 LWF589790 MGB589790 MPX589790 MZT589790 NJP589790 NTL589790 ODH589790 OND589790 OWZ589790 PGV589790 PQR589790 QAN589790 QKJ589790 QUF589790 REB589790 RNX589790 RXT589790 SHP589790 SRL589790 TBH589790 TLD589790 TUZ589790 UEV589790 UOR589790 UYN589790 VIJ589790 VSF589790 WCB589790 WLX589790 WVT589790 N655326 JH655326 TD655326 ACZ655326 AMV655326 AWR655326 BGN655326 BQJ655326 CAF655326 CKB655326 CTX655326 DDT655326 DNP655326 DXL655326 EHH655326 ERD655326 FAZ655326 FKV655326 FUR655326 GEN655326 GOJ655326 GYF655326 HIB655326 HRX655326 IBT655326 ILP655326 IVL655326 JFH655326 JPD655326 JYZ655326 KIV655326 KSR655326 LCN655326 LMJ655326 LWF655326 MGB655326 MPX655326 MZT655326 NJP655326 NTL655326 ODH655326 OND655326 OWZ655326 PGV655326 PQR655326 QAN655326 QKJ655326 QUF655326 REB655326 RNX655326 RXT655326 SHP655326 SRL655326 TBH655326 TLD655326 TUZ655326 UEV655326 UOR655326 UYN655326 VIJ655326 VSF655326 WCB655326 WLX655326 WVT655326 N720862 JH720862 TD720862 ACZ720862 AMV720862 AWR720862 BGN720862 BQJ720862 CAF720862 CKB720862 CTX720862 DDT720862 DNP720862 DXL720862 EHH720862 ERD720862 FAZ720862 FKV720862 FUR720862 GEN720862 GOJ720862 GYF720862 HIB720862 HRX720862 IBT720862 ILP720862 IVL720862 JFH720862 JPD720862 JYZ720862 KIV720862 KSR720862 LCN720862 LMJ720862 LWF720862 MGB720862 MPX720862 MZT720862 NJP720862 NTL720862 ODH720862 OND720862 OWZ720862 PGV720862 PQR720862 QAN720862 QKJ720862 QUF720862 REB720862 RNX720862 RXT720862 SHP720862 SRL720862 TBH720862 TLD720862 TUZ720862 UEV720862 UOR720862 UYN720862 VIJ720862 VSF720862 WCB720862 WLX720862 WVT720862 N786398 JH786398 TD786398 ACZ786398 AMV786398 AWR786398 BGN786398 BQJ786398 CAF786398 CKB786398 CTX786398 DDT786398 DNP786398 DXL786398 EHH786398 ERD786398 FAZ786398 FKV786398 FUR786398 GEN786398 GOJ786398 GYF786398 HIB786398 HRX786398 IBT786398 ILP786398 IVL786398 JFH786398 JPD786398 JYZ786398 KIV786398 KSR786398 LCN786398 LMJ786398 LWF786398 MGB786398 MPX786398 MZT786398 NJP786398 NTL786398 ODH786398 OND786398 OWZ786398 PGV786398 PQR786398 QAN786398 QKJ786398 QUF786398 REB786398 RNX786398 RXT786398 SHP786398 SRL786398 TBH786398 TLD786398 TUZ786398 UEV786398 UOR786398 UYN786398 VIJ786398 VSF786398 WCB786398 WLX786398 WVT786398 N851934 JH851934 TD851934 ACZ851934 AMV851934 AWR851934 BGN851934 BQJ851934 CAF851934 CKB851934 CTX851934 DDT851934 DNP851934 DXL851934 EHH851934 ERD851934 FAZ851934 FKV851934 FUR851934 GEN851934 GOJ851934 GYF851934 HIB851934 HRX851934 IBT851934 ILP851934 IVL851934 JFH851934 JPD851934 JYZ851934 KIV851934 KSR851934 LCN851934 LMJ851934 LWF851934 MGB851934 MPX851934 MZT851934 NJP851934 NTL851934 ODH851934 OND851934 OWZ851934 PGV851934 PQR851934 QAN851934 QKJ851934 QUF851934 REB851934 RNX851934 RXT851934 SHP851934 SRL851934 TBH851934 TLD851934 TUZ851934 UEV851934 UOR851934 UYN851934 VIJ851934 VSF851934 WCB851934 WLX851934 WVT851934 N917470 JH917470 TD917470 ACZ917470 AMV917470 AWR917470 BGN917470 BQJ917470 CAF917470 CKB917470 CTX917470 DDT917470 DNP917470 DXL917470 EHH917470 ERD917470 FAZ917470 FKV917470 FUR917470 GEN917470 GOJ917470 GYF917470 HIB917470 HRX917470 IBT917470 ILP917470 IVL917470 JFH917470 JPD917470 JYZ917470 KIV917470 KSR917470 LCN917470 LMJ917470 LWF917470 MGB917470 MPX917470 MZT917470 NJP917470 NTL917470 ODH917470 OND917470 OWZ917470 PGV917470 PQR917470 QAN917470 QKJ917470 QUF917470 REB917470 RNX917470 RXT917470 SHP917470 SRL917470 TBH917470 TLD917470 TUZ917470 UEV917470 UOR917470 UYN917470 VIJ917470 VSF917470 WCB917470 WLX917470 WVT917470 N983006 JH983006 TD983006 ACZ983006 AMV983006 AWR983006 BGN983006 BQJ983006 CAF983006 CKB983006 CTX983006 DDT983006 DNP983006 DXL983006 EHH983006 ERD983006 FAZ983006 FKV983006 FUR983006 GEN983006 GOJ983006 GYF983006 HIB983006 HRX983006 IBT983006 ILP983006 IVL983006 JFH983006 JPD983006 JYZ983006 KIV983006 KSR983006 LCN983006 LMJ983006 LWF983006 MGB983006 MPX983006 MZT983006 NJP983006 NTL983006 ODH983006 OND983006 OWZ983006 PGV983006 PQR983006 QAN983006 QKJ983006 QUF983006 REB983006 RNX983006 RXT983006 SHP983006 SRL983006 TBH983006 TLD983006 TUZ983006 UEV983006 UOR983006 UYN983006 VIJ983006 VSF983006 WCB983006 WLX983006 WVT983006 WCB983045 JH47 TD47 ACZ47 AMV47 AWR47 BGN47 BQJ47 CAF47 CKB47 CTX47 DDT47 DNP47 DXL47 EHH47 ERD47 FAZ47 FKV47 FUR47 GEN47 GOJ47 GYF47 HIB47 HRX47 IBT47 ILP47 IVL47 JFH47 JPD47 JYZ47 KIV47 KSR47 LCN47 LMJ47 LWF47 MGB47 MPX47 MZT47 NJP47 NTL47 ODH47 OND47 OWZ47 PGV47 PQR47 QAN47 QKJ47 QUF47 REB47 RNX47 RXT47 SHP47 SRL47 TBH47 TLD47 TUZ47 UEV47 UOR47 UYN47 VIJ47 VSF47 WCB47 WLX47 WVT47 N65515 JH65515 TD65515 ACZ65515 AMV65515 AWR65515 BGN65515 BQJ65515 CAF65515 CKB65515 CTX65515 DDT65515 DNP65515 DXL65515 EHH65515 ERD65515 FAZ65515 FKV65515 FUR65515 GEN65515 GOJ65515 GYF65515 HIB65515 HRX65515 IBT65515 ILP65515 IVL65515 JFH65515 JPD65515 JYZ65515 KIV65515 KSR65515 LCN65515 LMJ65515 LWF65515 MGB65515 MPX65515 MZT65515 NJP65515 NTL65515 ODH65515 OND65515 OWZ65515 PGV65515 PQR65515 QAN65515 QKJ65515 QUF65515 REB65515 RNX65515 RXT65515 SHP65515 SRL65515 TBH65515 TLD65515 TUZ65515 UEV65515 UOR65515 UYN65515 VIJ65515 VSF65515 WCB65515 WLX65515 WVT65515 N131051 JH131051 TD131051 ACZ131051 AMV131051 AWR131051 BGN131051 BQJ131051 CAF131051 CKB131051 CTX131051 DDT131051 DNP131051 DXL131051 EHH131051 ERD131051 FAZ131051 FKV131051 FUR131051 GEN131051 GOJ131051 GYF131051 HIB131051 HRX131051 IBT131051 ILP131051 IVL131051 JFH131051 JPD131051 JYZ131051 KIV131051 KSR131051 LCN131051 LMJ131051 LWF131051 MGB131051 MPX131051 MZT131051 NJP131051 NTL131051 ODH131051 OND131051 OWZ131051 PGV131051 PQR131051 QAN131051 QKJ131051 QUF131051 REB131051 RNX131051 RXT131051 SHP131051 SRL131051 TBH131051 TLD131051 TUZ131051 UEV131051 UOR131051 UYN131051 VIJ131051 VSF131051 WCB131051 WLX131051 WVT131051 N196587 JH196587 TD196587 ACZ196587 AMV196587 AWR196587 BGN196587 BQJ196587 CAF196587 CKB196587 CTX196587 DDT196587 DNP196587 DXL196587 EHH196587 ERD196587 FAZ196587 FKV196587 FUR196587 GEN196587 GOJ196587 GYF196587 HIB196587 HRX196587 IBT196587 ILP196587 IVL196587 JFH196587 JPD196587 JYZ196587 KIV196587 KSR196587 LCN196587 LMJ196587 LWF196587 MGB196587 MPX196587 MZT196587 NJP196587 NTL196587 ODH196587 OND196587 OWZ196587 PGV196587 PQR196587 QAN196587 QKJ196587 QUF196587 REB196587 RNX196587 RXT196587 SHP196587 SRL196587 TBH196587 TLD196587 TUZ196587 UEV196587 UOR196587 UYN196587 VIJ196587 VSF196587 WCB196587 WLX196587 WVT196587 N262123 JH262123 TD262123 ACZ262123 AMV262123 AWR262123 BGN262123 BQJ262123 CAF262123 CKB262123 CTX262123 DDT262123 DNP262123 DXL262123 EHH262123 ERD262123 FAZ262123 FKV262123 FUR262123 GEN262123 GOJ262123 GYF262123 HIB262123 HRX262123 IBT262123 ILP262123 IVL262123 JFH262123 JPD262123 JYZ262123 KIV262123 KSR262123 LCN262123 LMJ262123 LWF262123 MGB262123 MPX262123 MZT262123 NJP262123 NTL262123 ODH262123 OND262123 OWZ262123 PGV262123 PQR262123 QAN262123 QKJ262123 QUF262123 REB262123 RNX262123 RXT262123 SHP262123 SRL262123 TBH262123 TLD262123 TUZ262123 UEV262123 UOR262123 UYN262123 VIJ262123 VSF262123 WCB262123 WLX262123 WVT262123 N327659 JH327659 TD327659 ACZ327659 AMV327659 AWR327659 BGN327659 BQJ327659 CAF327659 CKB327659 CTX327659 DDT327659 DNP327659 DXL327659 EHH327659 ERD327659 FAZ327659 FKV327659 FUR327659 GEN327659 GOJ327659 GYF327659 HIB327659 HRX327659 IBT327659 ILP327659 IVL327659 JFH327659 JPD327659 JYZ327659 KIV327659 KSR327659 LCN327659 LMJ327659 LWF327659 MGB327659 MPX327659 MZT327659 NJP327659 NTL327659 ODH327659 OND327659 OWZ327659 PGV327659 PQR327659 QAN327659 QKJ327659 QUF327659 REB327659 RNX327659 RXT327659 SHP327659 SRL327659 TBH327659 TLD327659 TUZ327659 UEV327659 UOR327659 UYN327659 VIJ327659 VSF327659 WCB327659 WLX327659 WVT327659 N393195 JH393195 TD393195 ACZ393195 AMV393195 AWR393195 BGN393195 BQJ393195 CAF393195 CKB393195 CTX393195 DDT393195 DNP393195 DXL393195 EHH393195 ERD393195 FAZ393195 FKV393195 FUR393195 GEN393195 GOJ393195 GYF393195 HIB393195 HRX393195 IBT393195 ILP393195 IVL393195 JFH393195 JPD393195 JYZ393195 KIV393195 KSR393195 LCN393195 LMJ393195 LWF393195 MGB393195 MPX393195 MZT393195 NJP393195 NTL393195 ODH393195 OND393195 OWZ393195 PGV393195 PQR393195 QAN393195 QKJ393195 QUF393195 REB393195 RNX393195 RXT393195 SHP393195 SRL393195 TBH393195 TLD393195 TUZ393195 UEV393195 UOR393195 UYN393195 VIJ393195 VSF393195 WCB393195 WLX393195 WVT393195 N458731 JH458731 TD458731 ACZ458731 AMV458731 AWR458731 BGN458731 BQJ458731 CAF458731 CKB458731 CTX458731 DDT458731 DNP458731 DXL458731 EHH458731 ERD458731 FAZ458731 FKV458731 FUR458731 GEN458731 GOJ458731 GYF458731 HIB458731 HRX458731 IBT458731 ILP458731 IVL458731 JFH458731 JPD458731 JYZ458731 KIV458731 KSR458731 LCN458731 LMJ458731 LWF458731 MGB458731 MPX458731 MZT458731 NJP458731 NTL458731 ODH458731 OND458731 OWZ458731 PGV458731 PQR458731 QAN458731 QKJ458731 QUF458731 REB458731 RNX458731 RXT458731 SHP458731 SRL458731 TBH458731 TLD458731 TUZ458731 UEV458731 UOR458731 UYN458731 VIJ458731 VSF458731 WCB458731 WLX458731 WVT458731 N524267 JH524267 TD524267 ACZ524267 AMV524267 AWR524267 BGN524267 BQJ524267 CAF524267 CKB524267 CTX524267 DDT524267 DNP524267 DXL524267 EHH524267 ERD524267 FAZ524267 FKV524267 FUR524267 GEN524267 GOJ524267 GYF524267 HIB524267 HRX524267 IBT524267 ILP524267 IVL524267 JFH524267 JPD524267 JYZ524267 KIV524267 KSR524267 LCN524267 LMJ524267 LWF524267 MGB524267 MPX524267 MZT524267 NJP524267 NTL524267 ODH524267 OND524267 OWZ524267 PGV524267 PQR524267 QAN524267 QKJ524267 QUF524267 REB524267 RNX524267 RXT524267 SHP524267 SRL524267 TBH524267 TLD524267 TUZ524267 UEV524267 UOR524267 UYN524267 VIJ524267 VSF524267 WCB524267 WLX524267 WVT524267 N589803 JH589803 TD589803 ACZ589803 AMV589803 AWR589803 BGN589803 BQJ589803 CAF589803 CKB589803 CTX589803 DDT589803 DNP589803 DXL589803 EHH589803 ERD589803 FAZ589803 FKV589803 FUR589803 GEN589803 GOJ589803 GYF589803 HIB589803 HRX589803 IBT589803 ILP589803 IVL589803 JFH589803 JPD589803 JYZ589803 KIV589803 KSR589803 LCN589803 LMJ589803 LWF589803 MGB589803 MPX589803 MZT589803 NJP589803 NTL589803 ODH589803 OND589803 OWZ589803 PGV589803 PQR589803 QAN589803 QKJ589803 QUF589803 REB589803 RNX589803 RXT589803 SHP589803 SRL589803 TBH589803 TLD589803 TUZ589803 UEV589803 UOR589803 UYN589803 VIJ589803 VSF589803 WCB589803 WLX589803 WVT589803 N655339 JH655339 TD655339 ACZ655339 AMV655339 AWR655339 BGN655339 BQJ655339 CAF655339 CKB655339 CTX655339 DDT655339 DNP655339 DXL655339 EHH655339 ERD655339 FAZ655339 FKV655339 FUR655339 GEN655339 GOJ655339 GYF655339 HIB655339 HRX655339 IBT655339 ILP655339 IVL655339 JFH655339 JPD655339 JYZ655339 KIV655339 KSR655339 LCN655339 LMJ655339 LWF655339 MGB655339 MPX655339 MZT655339 NJP655339 NTL655339 ODH655339 OND655339 OWZ655339 PGV655339 PQR655339 QAN655339 QKJ655339 QUF655339 REB655339 RNX655339 RXT655339 SHP655339 SRL655339 TBH655339 TLD655339 TUZ655339 UEV655339 UOR655339 UYN655339 VIJ655339 VSF655339 WCB655339 WLX655339 WVT655339 N720875 JH720875 TD720875 ACZ720875 AMV720875 AWR720875 BGN720875 BQJ720875 CAF720875 CKB720875 CTX720875 DDT720875 DNP720875 DXL720875 EHH720875 ERD720875 FAZ720875 FKV720875 FUR720875 GEN720875 GOJ720875 GYF720875 HIB720875 HRX720875 IBT720875 ILP720875 IVL720875 JFH720875 JPD720875 JYZ720875 KIV720875 KSR720875 LCN720875 LMJ720875 LWF720875 MGB720875 MPX720875 MZT720875 NJP720875 NTL720875 ODH720875 OND720875 OWZ720875 PGV720875 PQR720875 QAN720875 QKJ720875 QUF720875 REB720875 RNX720875 RXT720875 SHP720875 SRL720875 TBH720875 TLD720875 TUZ720875 UEV720875 UOR720875 UYN720875 VIJ720875 VSF720875 WCB720875 WLX720875 WVT720875 N786411 JH786411 TD786411 ACZ786411 AMV786411 AWR786411 BGN786411 BQJ786411 CAF786411 CKB786411 CTX786411 DDT786411 DNP786411 DXL786411 EHH786411 ERD786411 FAZ786411 FKV786411 FUR786411 GEN786411 GOJ786411 GYF786411 HIB786411 HRX786411 IBT786411 ILP786411 IVL786411 JFH786411 JPD786411 JYZ786411 KIV786411 KSR786411 LCN786411 LMJ786411 LWF786411 MGB786411 MPX786411 MZT786411 NJP786411 NTL786411 ODH786411 OND786411 OWZ786411 PGV786411 PQR786411 QAN786411 QKJ786411 QUF786411 REB786411 RNX786411 RXT786411 SHP786411 SRL786411 TBH786411 TLD786411 TUZ786411 UEV786411 UOR786411 UYN786411 VIJ786411 VSF786411 WCB786411 WLX786411 WVT786411 N851947 JH851947 TD851947 ACZ851947 AMV851947 AWR851947 BGN851947 BQJ851947 CAF851947 CKB851947 CTX851947 DDT851947 DNP851947 DXL851947 EHH851947 ERD851947 FAZ851947 FKV851947 FUR851947 GEN851947 GOJ851947 GYF851947 HIB851947 HRX851947 IBT851947 ILP851947 IVL851947 JFH851947 JPD851947 JYZ851947 KIV851947 KSR851947 LCN851947 LMJ851947 LWF851947 MGB851947 MPX851947 MZT851947 NJP851947 NTL851947 ODH851947 OND851947 OWZ851947 PGV851947 PQR851947 QAN851947 QKJ851947 QUF851947 REB851947 RNX851947 RXT851947 SHP851947 SRL851947 TBH851947 TLD851947 TUZ851947 UEV851947 UOR851947 UYN851947 VIJ851947 VSF851947 WCB851947 WLX851947 WVT851947 N917483 JH917483 TD917483 ACZ917483 AMV917483 AWR917483 BGN917483 BQJ917483 CAF917483 CKB917483 CTX917483 DDT917483 DNP917483 DXL917483 EHH917483 ERD917483 FAZ917483 FKV917483 FUR917483 GEN917483 GOJ917483 GYF917483 HIB917483 HRX917483 IBT917483 ILP917483 IVL917483 JFH917483 JPD917483 JYZ917483 KIV917483 KSR917483 LCN917483 LMJ917483 LWF917483 MGB917483 MPX917483 MZT917483 NJP917483 NTL917483 ODH917483 OND917483 OWZ917483 PGV917483 PQR917483 QAN917483 QKJ917483 QUF917483 REB917483 RNX917483 RXT917483 SHP917483 SRL917483 TBH917483 TLD917483 TUZ917483 UEV917483 UOR917483 UYN917483 VIJ917483 VSF917483 WCB917483 WLX917483 WVT917483 N983019 JH983019 TD983019 ACZ983019 AMV983019 AWR983019 BGN983019 BQJ983019 CAF983019 CKB983019 CTX983019 DDT983019 DNP983019 DXL983019 EHH983019 ERD983019 FAZ983019 FKV983019 FUR983019 GEN983019 GOJ983019 GYF983019 HIB983019 HRX983019 IBT983019 ILP983019 IVL983019 JFH983019 JPD983019 JYZ983019 KIV983019 KSR983019 LCN983019 LMJ983019 LWF983019 MGB983019 MPX983019 MZT983019 NJP983019 NTL983019 ODH983019 OND983019 OWZ983019 PGV983019 PQR983019 QAN983019 QKJ983019 QUF983019 REB983019 RNX983019 RXT983019 SHP983019 SRL983019 TBH983019 TLD983019 TUZ983019 UEV983019 UOR983019 UYN983019 VIJ983019 VSF983019 WCB983019 WLX983019 WVT983019 N65528 JH65528 TD65528 ACZ65528 AMV65528 AWR65528 BGN65528 BQJ65528 CAF65528 CKB65528 CTX65528 DDT65528 DNP65528 DXL65528 EHH65528 ERD65528 FAZ65528 FKV65528 FUR65528 GEN65528 GOJ65528 GYF65528 HIB65528 HRX65528 IBT65528 ILP65528 IVL65528 JFH65528 JPD65528 JYZ65528 KIV65528 KSR65528 LCN65528 LMJ65528 LWF65528 MGB65528 MPX65528 MZT65528 NJP65528 NTL65528 ODH65528 OND65528 OWZ65528 PGV65528 PQR65528 QAN65528 QKJ65528 QUF65528 REB65528 RNX65528 RXT65528 SHP65528 SRL65528 TBH65528 TLD65528 TUZ65528 UEV65528 UOR65528 UYN65528 VIJ65528 VSF65528 WCB65528 WLX65528 WVT65528 N131064 JH131064 TD131064 ACZ131064 AMV131064 AWR131064 BGN131064 BQJ131064 CAF131064 CKB131064 CTX131064 DDT131064 DNP131064 DXL131064 EHH131064 ERD131064 FAZ131064 FKV131064 FUR131064 GEN131064 GOJ131064 GYF131064 HIB131064 HRX131064 IBT131064 ILP131064 IVL131064 JFH131064 JPD131064 JYZ131064 KIV131064 KSR131064 LCN131064 LMJ131064 LWF131064 MGB131064 MPX131064 MZT131064 NJP131064 NTL131064 ODH131064 OND131064 OWZ131064 PGV131064 PQR131064 QAN131064 QKJ131064 QUF131064 REB131064 RNX131064 RXT131064 SHP131064 SRL131064 TBH131064 TLD131064 TUZ131064 UEV131064 UOR131064 UYN131064 VIJ131064 VSF131064 WCB131064 WLX131064 WVT131064 N196600 JH196600 TD196600 ACZ196600 AMV196600 AWR196600 BGN196600 BQJ196600 CAF196600 CKB196600 CTX196600 DDT196600 DNP196600 DXL196600 EHH196600 ERD196600 FAZ196600 FKV196600 FUR196600 GEN196600 GOJ196600 GYF196600 HIB196600 HRX196600 IBT196600 ILP196600 IVL196600 JFH196600 JPD196600 JYZ196600 KIV196600 KSR196600 LCN196600 LMJ196600 LWF196600 MGB196600 MPX196600 MZT196600 NJP196600 NTL196600 ODH196600 OND196600 OWZ196600 PGV196600 PQR196600 QAN196600 QKJ196600 QUF196600 REB196600 RNX196600 RXT196600 SHP196600 SRL196600 TBH196600 TLD196600 TUZ196600 UEV196600 UOR196600 UYN196600 VIJ196600 VSF196600 WCB196600 WLX196600 WVT196600 N262136 JH262136 TD262136 ACZ262136 AMV262136 AWR262136 BGN262136 BQJ262136 CAF262136 CKB262136 CTX262136 DDT262136 DNP262136 DXL262136 EHH262136 ERD262136 FAZ262136 FKV262136 FUR262136 GEN262136 GOJ262136 GYF262136 HIB262136 HRX262136 IBT262136 ILP262136 IVL262136 JFH262136 JPD262136 JYZ262136 KIV262136 KSR262136 LCN262136 LMJ262136 LWF262136 MGB262136 MPX262136 MZT262136 NJP262136 NTL262136 ODH262136 OND262136 OWZ262136 PGV262136 PQR262136 QAN262136 QKJ262136 QUF262136 REB262136 RNX262136 RXT262136 SHP262136 SRL262136 TBH262136 TLD262136 TUZ262136 UEV262136 UOR262136 UYN262136 VIJ262136 VSF262136 WCB262136 WLX262136 WVT262136 N327672 JH327672 TD327672 ACZ327672 AMV327672 AWR327672 BGN327672 BQJ327672 CAF327672 CKB327672 CTX327672 DDT327672 DNP327672 DXL327672 EHH327672 ERD327672 FAZ327672 FKV327672 FUR327672 GEN327672 GOJ327672 GYF327672 HIB327672 HRX327672 IBT327672 ILP327672 IVL327672 JFH327672 JPD327672 JYZ327672 KIV327672 KSR327672 LCN327672 LMJ327672 LWF327672 MGB327672 MPX327672 MZT327672 NJP327672 NTL327672 ODH327672 OND327672 OWZ327672 PGV327672 PQR327672 QAN327672 QKJ327672 QUF327672 REB327672 RNX327672 RXT327672 SHP327672 SRL327672 TBH327672 TLD327672 TUZ327672 UEV327672 UOR327672 UYN327672 VIJ327672 VSF327672 WCB327672 WLX327672 WVT327672 N393208 JH393208 TD393208 ACZ393208 AMV393208 AWR393208 BGN393208 BQJ393208 CAF393208 CKB393208 CTX393208 DDT393208 DNP393208 DXL393208 EHH393208 ERD393208 FAZ393208 FKV393208 FUR393208 GEN393208 GOJ393208 GYF393208 HIB393208 HRX393208 IBT393208 ILP393208 IVL393208 JFH393208 JPD393208 JYZ393208 KIV393208 KSR393208 LCN393208 LMJ393208 LWF393208 MGB393208 MPX393208 MZT393208 NJP393208 NTL393208 ODH393208 OND393208 OWZ393208 PGV393208 PQR393208 QAN393208 QKJ393208 QUF393208 REB393208 RNX393208 RXT393208 SHP393208 SRL393208 TBH393208 TLD393208 TUZ393208 UEV393208 UOR393208 UYN393208 VIJ393208 VSF393208 WCB393208 WLX393208 WVT393208 N458744 JH458744 TD458744 ACZ458744 AMV458744 AWR458744 BGN458744 BQJ458744 CAF458744 CKB458744 CTX458744 DDT458744 DNP458744 DXL458744 EHH458744 ERD458744 FAZ458744 FKV458744 FUR458744 GEN458744 GOJ458744 GYF458744 HIB458744 HRX458744 IBT458744 ILP458744 IVL458744 JFH458744 JPD458744 JYZ458744 KIV458744 KSR458744 LCN458744 LMJ458744 LWF458744 MGB458744 MPX458744 MZT458744 NJP458744 NTL458744 ODH458744 OND458744 OWZ458744 PGV458744 PQR458744 QAN458744 QKJ458744 QUF458744 REB458744 RNX458744 RXT458744 SHP458744 SRL458744 TBH458744 TLD458744 TUZ458744 UEV458744 UOR458744 UYN458744 VIJ458744 VSF458744 WCB458744 WLX458744 WVT458744 N524280 JH524280 TD524280 ACZ524280 AMV524280 AWR524280 BGN524280 BQJ524280 CAF524280 CKB524280 CTX524280 DDT524280 DNP524280 DXL524280 EHH524280 ERD524280 FAZ524280 FKV524280 FUR524280 GEN524280 GOJ524280 GYF524280 HIB524280 HRX524280 IBT524280 ILP524280 IVL524280 JFH524280 JPD524280 JYZ524280 KIV524280 KSR524280 LCN524280 LMJ524280 LWF524280 MGB524280 MPX524280 MZT524280 NJP524280 NTL524280 ODH524280 OND524280 OWZ524280 PGV524280 PQR524280 QAN524280 QKJ524280 QUF524280 REB524280 RNX524280 RXT524280 SHP524280 SRL524280 TBH524280 TLD524280 TUZ524280 UEV524280 UOR524280 UYN524280 VIJ524280 VSF524280 WCB524280 WLX524280 WVT524280 N589816 JH589816 TD589816 ACZ589816 AMV589816 AWR589816 BGN589816 BQJ589816 CAF589816 CKB589816 CTX589816 DDT589816 DNP589816 DXL589816 EHH589816 ERD589816 FAZ589816 FKV589816 FUR589816 GEN589816 GOJ589816 GYF589816 HIB589816 HRX589816 IBT589816 ILP589816 IVL589816 JFH589816 JPD589816 JYZ589816 KIV589816 KSR589816 LCN589816 LMJ589816 LWF589816 MGB589816 MPX589816 MZT589816 NJP589816 NTL589816 ODH589816 OND589816 OWZ589816 PGV589816 PQR589816 QAN589816 QKJ589816 QUF589816 REB589816 RNX589816 RXT589816 SHP589816 SRL589816 TBH589816 TLD589816 TUZ589816 UEV589816 UOR589816 UYN589816 VIJ589816 VSF589816 WCB589816 WLX589816 WVT589816 N655352 JH655352 TD655352 ACZ655352 AMV655352 AWR655352 BGN655352 BQJ655352 CAF655352 CKB655352 CTX655352 DDT655352 DNP655352 DXL655352 EHH655352 ERD655352 FAZ655352 FKV655352 FUR655352 GEN655352 GOJ655352 GYF655352 HIB655352 HRX655352 IBT655352 ILP655352 IVL655352 JFH655352 JPD655352 JYZ655352 KIV655352 KSR655352 LCN655352 LMJ655352 LWF655352 MGB655352 MPX655352 MZT655352 NJP655352 NTL655352 ODH655352 OND655352 OWZ655352 PGV655352 PQR655352 QAN655352 QKJ655352 QUF655352 REB655352 RNX655352 RXT655352 SHP655352 SRL655352 TBH655352 TLD655352 TUZ655352 UEV655352 UOR655352 UYN655352 VIJ655352 VSF655352 WCB655352 WLX655352 WVT655352 N720888 JH720888 TD720888 ACZ720888 AMV720888 AWR720888 BGN720888 BQJ720888 CAF720888 CKB720888 CTX720888 DDT720888 DNP720888 DXL720888 EHH720888 ERD720888 FAZ720888 FKV720888 FUR720888 GEN720888 GOJ720888 GYF720888 HIB720888 HRX720888 IBT720888 ILP720888 IVL720888 JFH720888 JPD720888 JYZ720888 KIV720888 KSR720888 LCN720888 LMJ720888 LWF720888 MGB720888 MPX720888 MZT720888 NJP720888 NTL720888 ODH720888 OND720888 OWZ720888 PGV720888 PQR720888 QAN720888 QKJ720888 QUF720888 REB720888 RNX720888 RXT720888 SHP720888 SRL720888 TBH720888 TLD720888 TUZ720888 UEV720888 UOR720888 UYN720888 VIJ720888 VSF720888 WCB720888 WLX720888 WVT720888 N786424 JH786424 TD786424 ACZ786424 AMV786424 AWR786424 BGN786424 BQJ786424 CAF786424 CKB786424 CTX786424 DDT786424 DNP786424 DXL786424 EHH786424 ERD786424 FAZ786424 FKV786424 FUR786424 GEN786424 GOJ786424 GYF786424 HIB786424 HRX786424 IBT786424 ILP786424 IVL786424 JFH786424 JPD786424 JYZ786424 KIV786424 KSR786424 LCN786424 LMJ786424 LWF786424 MGB786424 MPX786424 MZT786424 NJP786424 NTL786424 ODH786424 OND786424 OWZ786424 PGV786424 PQR786424 QAN786424 QKJ786424 QUF786424 REB786424 RNX786424 RXT786424 SHP786424 SRL786424 TBH786424 TLD786424 TUZ786424 UEV786424 UOR786424 UYN786424 VIJ786424 VSF786424 WCB786424 WLX786424 WVT786424 N851960 JH851960 TD851960 ACZ851960 AMV851960 AWR851960 BGN851960 BQJ851960 CAF851960 CKB851960 CTX851960 DDT851960 DNP851960 DXL851960 EHH851960 ERD851960 FAZ851960 FKV851960 FUR851960 GEN851960 GOJ851960 GYF851960 HIB851960 HRX851960 IBT851960 ILP851960 IVL851960 JFH851960 JPD851960 JYZ851960 KIV851960 KSR851960 LCN851960 LMJ851960 LWF851960 MGB851960 MPX851960 MZT851960 NJP851960 NTL851960 ODH851960 OND851960 OWZ851960 PGV851960 PQR851960 QAN851960 QKJ851960 QUF851960 REB851960 RNX851960 RXT851960 SHP851960 SRL851960 TBH851960 TLD851960 TUZ851960 UEV851960 UOR851960 UYN851960 VIJ851960 VSF851960 WCB851960 WLX851960 WVT851960 N917496 JH917496 TD917496 ACZ917496 AMV917496 AWR917496 BGN917496 BQJ917496 CAF917496 CKB917496 CTX917496 DDT917496 DNP917496 DXL917496 EHH917496 ERD917496 FAZ917496 FKV917496 FUR917496 GEN917496 GOJ917496 GYF917496 HIB917496 HRX917496 IBT917496 ILP917496 IVL917496 JFH917496 JPD917496 JYZ917496 KIV917496 KSR917496 LCN917496 LMJ917496 LWF917496 MGB917496 MPX917496 MZT917496 NJP917496 NTL917496 ODH917496 OND917496 OWZ917496 PGV917496 PQR917496 QAN917496 QKJ917496 QUF917496 REB917496 RNX917496 RXT917496 SHP917496 SRL917496 TBH917496 TLD917496 TUZ917496 UEV917496 UOR917496 UYN917496 VIJ917496 VSF917496 WCB917496 WLX917496 WVT917496 N983032 JH983032 TD983032 ACZ983032 AMV983032 AWR983032 BGN983032 BQJ983032 CAF983032 CKB983032 CTX983032 DDT983032 DNP983032 DXL983032 EHH983032 ERD983032 FAZ983032 FKV983032 FUR983032 GEN983032 GOJ983032 GYF983032 HIB983032 HRX983032 IBT983032 ILP983032 IVL983032 JFH983032 JPD983032 JYZ983032 KIV983032 KSR983032 LCN983032 LMJ983032 LWF983032 MGB983032 MPX983032 MZT983032 NJP983032 NTL983032 ODH983032 OND983032 OWZ983032 PGV983032 PQR983032 QAN983032 QKJ983032 QUF983032 REB983032 RNX983032 RXT983032 SHP983032 SRL983032 TBH983032 TLD983032 TUZ983032 UEV983032 UOR983032 UYN983032 VIJ983032 VSF983032 WCB983032 WLX983032 WVT983032 N65541 JH65541 TD65541 ACZ65541 AMV65541 AWR65541 BGN65541 BQJ65541 CAF65541 CKB65541 CTX65541 DDT65541 DNP65541 DXL65541 EHH65541 ERD65541 FAZ65541 FKV65541 FUR65541 GEN65541 GOJ65541 GYF65541 HIB65541 HRX65541 IBT65541 ILP65541 IVL65541 JFH65541 JPD65541 JYZ65541 KIV65541 KSR65541 LCN65541 LMJ65541 LWF65541 MGB65541 MPX65541 MZT65541 NJP65541 NTL65541 ODH65541 OND65541 OWZ65541 PGV65541 PQR65541 QAN65541 QKJ65541 QUF65541 REB65541 RNX65541 RXT65541 SHP65541 SRL65541 TBH65541 TLD65541 TUZ65541 UEV65541 UOR65541 UYN65541 VIJ65541 VSF65541 WCB65541 WLX65541 WVT65541 N131077 JH131077 TD131077 ACZ131077 AMV131077 AWR131077 BGN131077 BQJ131077 CAF131077 CKB131077 CTX131077 DDT131077 DNP131077 DXL131077 EHH131077 ERD131077 FAZ131077 FKV131077 FUR131077 GEN131077 GOJ131077 GYF131077 HIB131077 HRX131077 IBT131077 ILP131077 IVL131077 JFH131077 JPD131077 JYZ131077 KIV131077 KSR131077 LCN131077 LMJ131077 LWF131077 MGB131077 MPX131077 MZT131077 NJP131077 NTL131077 ODH131077 OND131077 OWZ131077 PGV131077 PQR131077 QAN131077 QKJ131077 QUF131077 REB131077 RNX131077 RXT131077 SHP131077 SRL131077 TBH131077 TLD131077 TUZ131077 UEV131077 UOR131077 UYN131077 VIJ131077 VSF131077 WCB131077 WLX131077 WVT131077 N196613 JH196613 TD196613 ACZ196613 AMV196613 AWR196613 BGN196613 BQJ196613 CAF196613 CKB196613 CTX196613 DDT196613 DNP196613 DXL196613 EHH196613 ERD196613 FAZ196613 FKV196613 FUR196613 GEN196613 GOJ196613 GYF196613 HIB196613 HRX196613 IBT196613 ILP196613 IVL196613 JFH196613 JPD196613 JYZ196613 KIV196613 KSR196613 LCN196613 LMJ196613 LWF196613 MGB196613 MPX196613 MZT196613 NJP196613 NTL196613 ODH196613 OND196613 OWZ196613 PGV196613 PQR196613 QAN196613 QKJ196613 QUF196613 REB196613 RNX196613 RXT196613 SHP196613 SRL196613 TBH196613 TLD196613 TUZ196613 UEV196613 UOR196613 UYN196613 VIJ196613 VSF196613 WCB196613 WLX196613 WVT196613 N262149 JH262149 TD262149 ACZ262149 AMV262149 AWR262149 BGN262149 BQJ262149 CAF262149 CKB262149 CTX262149 DDT262149 DNP262149 DXL262149 EHH262149 ERD262149 FAZ262149 FKV262149 FUR262149 GEN262149 GOJ262149 GYF262149 HIB262149 HRX262149 IBT262149 ILP262149 IVL262149 JFH262149 JPD262149 JYZ262149 KIV262149 KSR262149 LCN262149 LMJ262149 LWF262149 MGB262149 MPX262149 MZT262149 NJP262149 NTL262149 ODH262149 OND262149 OWZ262149 PGV262149 PQR262149 QAN262149 QKJ262149 QUF262149 REB262149 RNX262149 RXT262149 SHP262149 SRL262149 TBH262149 TLD262149 TUZ262149 UEV262149 UOR262149 UYN262149 VIJ262149 VSF262149 WCB262149 WLX262149 WVT262149 N327685 JH327685 TD327685 ACZ327685 AMV327685 AWR327685 BGN327685 BQJ327685 CAF327685 CKB327685 CTX327685 DDT327685 DNP327685 DXL327685 EHH327685 ERD327685 FAZ327685 FKV327685 FUR327685 GEN327685 GOJ327685 GYF327685 HIB327685 HRX327685 IBT327685 ILP327685 IVL327685 JFH327685 JPD327685 JYZ327685 KIV327685 KSR327685 LCN327685 LMJ327685 LWF327685 MGB327685 MPX327685 MZT327685 NJP327685 NTL327685 ODH327685 OND327685 OWZ327685 PGV327685 PQR327685 QAN327685 QKJ327685 QUF327685 REB327685 RNX327685 RXT327685 SHP327685 SRL327685 TBH327685 TLD327685 TUZ327685 UEV327685 UOR327685 UYN327685 VIJ327685 VSF327685 WCB327685 WLX327685 WVT327685 N393221 JH393221 TD393221 ACZ393221 AMV393221 AWR393221 BGN393221 BQJ393221 CAF393221 CKB393221 CTX393221 DDT393221 DNP393221 DXL393221 EHH393221 ERD393221 FAZ393221 FKV393221 FUR393221 GEN393221 GOJ393221 GYF393221 HIB393221 HRX393221 IBT393221 ILP393221 IVL393221 JFH393221 JPD393221 JYZ393221 KIV393221 KSR393221 LCN393221 LMJ393221 LWF393221 MGB393221 MPX393221 MZT393221 NJP393221 NTL393221 ODH393221 OND393221 OWZ393221 PGV393221 PQR393221 QAN393221 QKJ393221 QUF393221 REB393221 RNX393221 RXT393221 SHP393221 SRL393221 TBH393221 TLD393221 TUZ393221 UEV393221 UOR393221 UYN393221 VIJ393221 VSF393221 WCB393221 WLX393221 WVT393221 N458757 JH458757 TD458757 ACZ458757 AMV458757 AWR458757 BGN458757 BQJ458757 CAF458757 CKB458757 CTX458757 DDT458757 DNP458757 DXL458757 EHH458757 ERD458757 FAZ458757 FKV458757 FUR458757 GEN458757 GOJ458757 GYF458757 HIB458757 HRX458757 IBT458757 ILP458757 IVL458757 JFH458757 JPD458757 JYZ458757 KIV458757 KSR458757 LCN458757 LMJ458757 LWF458757 MGB458757 MPX458757 MZT458757 NJP458757 NTL458757 ODH458757 OND458757 OWZ458757 PGV458757 PQR458757 QAN458757 QKJ458757 QUF458757 REB458757 RNX458757 RXT458757 SHP458757 SRL458757 TBH458757 TLD458757 TUZ458757 UEV458757 UOR458757 UYN458757 VIJ458757 VSF458757 WCB458757 WLX458757 WVT458757 N524293 JH524293 TD524293 ACZ524293 AMV524293 AWR524293 BGN524293 BQJ524293 CAF524293 CKB524293 CTX524293 DDT524293 DNP524293 DXL524293 EHH524293 ERD524293 FAZ524293 FKV524293 FUR524293 GEN524293 GOJ524293 GYF524293 HIB524293 HRX524293 IBT524293 ILP524293 IVL524293 JFH524293 JPD524293 JYZ524293 KIV524293 KSR524293 LCN524293 LMJ524293 LWF524293 MGB524293 MPX524293 MZT524293 NJP524293 NTL524293 ODH524293 OND524293 OWZ524293 PGV524293 PQR524293 QAN524293 QKJ524293 QUF524293 REB524293 RNX524293 RXT524293 SHP524293 SRL524293 TBH524293 TLD524293 TUZ524293 UEV524293 UOR524293 UYN524293 VIJ524293 VSF524293 WCB524293 WLX524293 WVT524293 N589829 JH589829 TD589829 ACZ589829 AMV589829 AWR589829 BGN589829 BQJ589829 CAF589829 CKB589829 CTX589829 DDT589829 DNP589829 DXL589829 EHH589829 ERD589829 FAZ589829 FKV589829 FUR589829 GEN589829 GOJ589829 GYF589829 HIB589829 HRX589829 IBT589829 ILP589829 IVL589829 JFH589829 JPD589829 JYZ589829 KIV589829 KSR589829 LCN589829 LMJ589829 LWF589829 MGB589829 MPX589829 MZT589829 NJP589829 NTL589829 ODH589829 OND589829 OWZ589829 PGV589829 PQR589829 QAN589829 QKJ589829 QUF589829 REB589829 RNX589829 RXT589829 SHP589829 SRL589829 TBH589829 TLD589829 TUZ589829 UEV589829 UOR589829 UYN589829 VIJ589829 VSF589829 WCB589829 WLX589829 WVT589829 N655365 JH655365 TD655365 ACZ655365 AMV655365 AWR655365 BGN655365 BQJ655365 CAF655365 CKB655365 CTX655365 DDT655365 DNP655365 DXL655365 EHH655365 ERD655365 FAZ655365 FKV655365 FUR655365 GEN655365 GOJ655365 GYF655365 HIB655365 HRX655365 IBT655365 ILP655365 IVL655365 JFH655365 JPD655365 JYZ655365 KIV655365 KSR655365 LCN655365 LMJ655365 LWF655365 MGB655365 MPX655365 MZT655365 NJP655365 NTL655365 ODH655365 OND655365 OWZ655365 PGV655365 PQR655365 QAN655365 QKJ655365 QUF655365 REB655365 RNX655365 RXT655365 SHP655365 SRL655365 TBH655365 TLD655365 TUZ655365 UEV655365 UOR655365 UYN655365 VIJ655365 VSF655365 WCB655365 WLX655365 WVT655365 N720901 JH720901 TD720901 ACZ720901 AMV720901 AWR720901 BGN720901 BQJ720901 CAF720901 CKB720901 CTX720901 DDT720901 DNP720901 DXL720901 EHH720901 ERD720901 FAZ720901 FKV720901 FUR720901 GEN720901 GOJ720901 GYF720901 HIB720901 HRX720901 IBT720901 ILP720901 IVL720901 JFH720901 JPD720901 JYZ720901 KIV720901 KSR720901 LCN720901 LMJ720901 LWF720901 MGB720901 MPX720901 MZT720901 NJP720901 NTL720901 ODH720901 OND720901 OWZ720901 PGV720901 PQR720901 QAN720901 QKJ720901 QUF720901 REB720901 RNX720901 RXT720901 SHP720901 SRL720901 TBH720901 TLD720901 TUZ720901 UEV720901 UOR720901 UYN720901 VIJ720901 VSF720901 WCB720901 WLX720901 WVT720901 N786437 JH786437 TD786437 ACZ786437 AMV786437 AWR786437 BGN786437 BQJ786437 CAF786437 CKB786437 CTX786437 DDT786437 DNP786437 DXL786437 EHH786437 ERD786437 FAZ786437 FKV786437 FUR786437 GEN786437 GOJ786437 GYF786437 HIB786437 HRX786437 IBT786437 ILP786437 IVL786437 JFH786437 JPD786437 JYZ786437 KIV786437 KSR786437 LCN786437 LMJ786437 LWF786437 MGB786437 MPX786437 MZT786437 NJP786437 NTL786437 ODH786437 OND786437 OWZ786437 PGV786437 PQR786437 QAN786437 QKJ786437 QUF786437 REB786437 RNX786437 RXT786437 SHP786437 SRL786437 TBH786437 TLD786437 TUZ786437 UEV786437 UOR786437 UYN786437 VIJ786437 VSF786437 WCB786437 WLX786437 WVT786437 N851973 JH851973 TD851973 ACZ851973 AMV851973 AWR851973 BGN851973 BQJ851973 CAF851973 CKB851973 CTX851973 DDT851973 DNP851973 DXL851973 EHH851973 ERD851973 FAZ851973 FKV851973 FUR851973 GEN851973 GOJ851973 GYF851973 HIB851973 HRX851973 IBT851973 ILP851973 IVL851973 JFH851973 JPD851973 JYZ851973 KIV851973 KSR851973 LCN851973 LMJ851973 LWF851973 MGB851973 MPX851973 MZT851973 NJP851973 NTL851973 ODH851973 OND851973 OWZ851973 PGV851973 PQR851973 QAN851973 QKJ851973 QUF851973 REB851973 RNX851973 RXT851973 SHP851973 SRL851973 TBH851973 TLD851973 TUZ851973 UEV851973 UOR851973 UYN851973 VIJ851973 VSF851973 WCB851973 WLX851973 WVT851973 N917509 JH917509 TD917509 ACZ917509 AMV917509 AWR917509 BGN917509 BQJ917509 CAF917509 CKB917509 CTX917509 DDT917509 DNP917509 DXL917509 EHH917509 ERD917509 FAZ917509 FKV917509 FUR917509 GEN917509 GOJ917509 GYF917509 HIB917509 HRX917509 IBT917509 ILP917509 IVL917509 JFH917509 JPD917509 JYZ917509 KIV917509 KSR917509 LCN917509 LMJ917509 LWF917509 MGB917509 MPX917509 MZT917509 NJP917509 NTL917509 ODH917509 OND917509 OWZ917509 PGV917509 PQR917509 QAN917509 QKJ917509 QUF917509 REB917509 RNX917509 RXT917509 SHP917509 SRL917509 TBH917509 TLD917509 TUZ917509 UEV917509 UOR917509 UYN917509 VIJ917509 VSF917509 WCB917509 WLX917509 WVT917509 N983045 JH983045 TD983045 ACZ983045 AMV983045 AWR983045 BGN983045 BQJ983045 CAF983045 CKB983045 CTX983045 DDT983045 DNP983045 DXL983045 EHH983045 ERD983045 FAZ983045 FKV983045 FUR983045 GEN983045 GOJ983045 GYF983045 HIB983045 HRX983045 IBT983045 ILP983045 IVL983045 JFH983045 JPD983045 JYZ983045 KIV983045 KSR983045 LCN983045 LMJ983045 LWF983045 MGB983045 MPX983045 MZT983045 NJP983045 NTL983045 ODH983045 OND983045 OWZ983045 PGV983045 PQR983045 QAN983045 QKJ983045 QUF983045 REB983045 RNX983045 RXT983045 SHP983045 SRL983045 TBH983045 TLD983045 TUZ983045 UEV983045 UOR983045 UYN983045 VIJ983045 VSF983045" xr:uid="{00000000-0002-0000-0F00-000000000000}">
      <formula1>N</formula1>
    </dataValidation>
    <dataValidation type="list" allowBlank="1" showInputMessage="1" showErrorMessage="1" sqref="WVP983046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J65490 JD65490 SZ65490 ACV65490 AMR65490 AWN65490 BGJ65490 BQF65490 CAB65490 CJX65490 CTT65490 DDP65490 DNL65490 DXH65490 EHD65490 EQZ65490 FAV65490 FKR65490 FUN65490 GEJ65490 GOF65490 GYB65490 HHX65490 HRT65490 IBP65490 ILL65490 IVH65490 JFD65490 JOZ65490 JYV65490 KIR65490 KSN65490 LCJ65490 LMF65490 LWB65490 MFX65490 MPT65490 MZP65490 NJL65490 NTH65490 ODD65490 OMZ65490 OWV65490 PGR65490 PQN65490 QAJ65490 QKF65490 QUB65490 RDX65490 RNT65490 RXP65490 SHL65490 SRH65490 TBD65490 TKZ65490 TUV65490 UER65490 UON65490 UYJ65490 VIF65490 VSB65490 WBX65490 WLT65490 WVP65490 J131026 JD131026 SZ131026 ACV131026 AMR131026 AWN131026 BGJ131026 BQF131026 CAB131026 CJX131026 CTT131026 DDP131026 DNL131026 DXH131026 EHD131026 EQZ131026 FAV131026 FKR131026 FUN131026 GEJ131026 GOF131026 GYB131026 HHX131026 HRT131026 IBP131026 ILL131026 IVH131026 JFD131026 JOZ131026 JYV131026 KIR131026 KSN131026 LCJ131026 LMF131026 LWB131026 MFX131026 MPT131026 MZP131026 NJL131026 NTH131026 ODD131026 OMZ131026 OWV131026 PGR131026 PQN131026 QAJ131026 QKF131026 QUB131026 RDX131026 RNT131026 RXP131026 SHL131026 SRH131026 TBD131026 TKZ131026 TUV131026 UER131026 UON131026 UYJ131026 VIF131026 VSB131026 WBX131026 WLT131026 WVP131026 J196562 JD196562 SZ196562 ACV196562 AMR196562 AWN196562 BGJ196562 BQF196562 CAB196562 CJX196562 CTT196562 DDP196562 DNL196562 DXH196562 EHD196562 EQZ196562 FAV196562 FKR196562 FUN196562 GEJ196562 GOF196562 GYB196562 HHX196562 HRT196562 IBP196562 ILL196562 IVH196562 JFD196562 JOZ196562 JYV196562 KIR196562 KSN196562 LCJ196562 LMF196562 LWB196562 MFX196562 MPT196562 MZP196562 NJL196562 NTH196562 ODD196562 OMZ196562 OWV196562 PGR196562 PQN196562 QAJ196562 QKF196562 QUB196562 RDX196562 RNT196562 RXP196562 SHL196562 SRH196562 TBD196562 TKZ196562 TUV196562 UER196562 UON196562 UYJ196562 VIF196562 VSB196562 WBX196562 WLT196562 WVP196562 J262098 JD262098 SZ262098 ACV262098 AMR262098 AWN262098 BGJ262098 BQF262098 CAB262098 CJX262098 CTT262098 DDP262098 DNL262098 DXH262098 EHD262098 EQZ262098 FAV262098 FKR262098 FUN262098 GEJ262098 GOF262098 GYB262098 HHX262098 HRT262098 IBP262098 ILL262098 IVH262098 JFD262098 JOZ262098 JYV262098 KIR262098 KSN262098 LCJ262098 LMF262098 LWB262098 MFX262098 MPT262098 MZP262098 NJL262098 NTH262098 ODD262098 OMZ262098 OWV262098 PGR262098 PQN262098 QAJ262098 QKF262098 QUB262098 RDX262098 RNT262098 RXP262098 SHL262098 SRH262098 TBD262098 TKZ262098 TUV262098 UER262098 UON262098 UYJ262098 VIF262098 VSB262098 WBX262098 WLT262098 WVP262098 J327634 JD327634 SZ327634 ACV327634 AMR327634 AWN327634 BGJ327634 BQF327634 CAB327634 CJX327634 CTT327634 DDP327634 DNL327634 DXH327634 EHD327634 EQZ327634 FAV327634 FKR327634 FUN327634 GEJ327634 GOF327634 GYB327634 HHX327634 HRT327634 IBP327634 ILL327634 IVH327634 JFD327634 JOZ327634 JYV327634 KIR327634 KSN327634 LCJ327634 LMF327634 LWB327634 MFX327634 MPT327634 MZP327634 NJL327634 NTH327634 ODD327634 OMZ327634 OWV327634 PGR327634 PQN327634 QAJ327634 QKF327634 QUB327634 RDX327634 RNT327634 RXP327634 SHL327634 SRH327634 TBD327634 TKZ327634 TUV327634 UER327634 UON327634 UYJ327634 VIF327634 VSB327634 WBX327634 WLT327634 WVP327634 J393170 JD393170 SZ393170 ACV393170 AMR393170 AWN393170 BGJ393170 BQF393170 CAB393170 CJX393170 CTT393170 DDP393170 DNL393170 DXH393170 EHD393170 EQZ393170 FAV393170 FKR393170 FUN393170 GEJ393170 GOF393170 GYB393170 HHX393170 HRT393170 IBP393170 ILL393170 IVH393170 JFD393170 JOZ393170 JYV393170 KIR393170 KSN393170 LCJ393170 LMF393170 LWB393170 MFX393170 MPT393170 MZP393170 NJL393170 NTH393170 ODD393170 OMZ393170 OWV393170 PGR393170 PQN393170 QAJ393170 QKF393170 QUB393170 RDX393170 RNT393170 RXP393170 SHL393170 SRH393170 TBD393170 TKZ393170 TUV393170 UER393170 UON393170 UYJ393170 VIF393170 VSB393170 WBX393170 WLT393170 WVP393170 J458706 JD458706 SZ458706 ACV458706 AMR458706 AWN458706 BGJ458706 BQF458706 CAB458706 CJX458706 CTT458706 DDP458706 DNL458706 DXH458706 EHD458706 EQZ458706 FAV458706 FKR458706 FUN458706 GEJ458706 GOF458706 GYB458706 HHX458706 HRT458706 IBP458706 ILL458706 IVH458706 JFD458706 JOZ458706 JYV458706 KIR458706 KSN458706 LCJ458706 LMF458706 LWB458706 MFX458706 MPT458706 MZP458706 NJL458706 NTH458706 ODD458706 OMZ458706 OWV458706 PGR458706 PQN458706 QAJ458706 QKF458706 QUB458706 RDX458706 RNT458706 RXP458706 SHL458706 SRH458706 TBD458706 TKZ458706 TUV458706 UER458706 UON458706 UYJ458706 VIF458706 VSB458706 WBX458706 WLT458706 WVP458706 J524242 JD524242 SZ524242 ACV524242 AMR524242 AWN524242 BGJ524242 BQF524242 CAB524242 CJX524242 CTT524242 DDP524242 DNL524242 DXH524242 EHD524242 EQZ524242 FAV524242 FKR524242 FUN524242 GEJ524242 GOF524242 GYB524242 HHX524242 HRT524242 IBP524242 ILL524242 IVH524242 JFD524242 JOZ524242 JYV524242 KIR524242 KSN524242 LCJ524242 LMF524242 LWB524242 MFX524242 MPT524242 MZP524242 NJL524242 NTH524242 ODD524242 OMZ524242 OWV524242 PGR524242 PQN524242 QAJ524242 QKF524242 QUB524242 RDX524242 RNT524242 RXP524242 SHL524242 SRH524242 TBD524242 TKZ524242 TUV524242 UER524242 UON524242 UYJ524242 VIF524242 VSB524242 WBX524242 WLT524242 WVP524242 J589778 JD589778 SZ589778 ACV589778 AMR589778 AWN589778 BGJ589778 BQF589778 CAB589778 CJX589778 CTT589778 DDP589778 DNL589778 DXH589778 EHD589778 EQZ589778 FAV589778 FKR589778 FUN589778 GEJ589778 GOF589778 GYB589778 HHX589778 HRT589778 IBP589778 ILL589778 IVH589778 JFD589778 JOZ589778 JYV589778 KIR589778 KSN589778 LCJ589778 LMF589778 LWB589778 MFX589778 MPT589778 MZP589778 NJL589778 NTH589778 ODD589778 OMZ589778 OWV589778 PGR589778 PQN589778 QAJ589778 QKF589778 QUB589778 RDX589778 RNT589778 RXP589778 SHL589778 SRH589778 TBD589778 TKZ589778 TUV589778 UER589778 UON589778 UYJ589778 VIF589778 VSB589778 WBX589778 WLT589778 WVP589778 J655314 JD655314 SZ655314 ACV655314 AMR655314 AWN655314 BGJ655314 BQF655314 CAB655314 CJX655314 CTT655314 DDP655314 DNL655314 DXH655314 EHD655314 EQZ655314 FAV655314 FKR655314 FUN655314 GEJ655314 GOF655314 GYB655314 HHX655314 HRT655314 IBP655314 ILL655314 IVH655314 JFD655314 JOZ655314 JYV655314 KIR655314 KSN655314 LCJ655314 LMF655314 LWB655314 MFX655314 MPT655314 MZP655314 NJL655314 NTH655314 ODD655314 OMZ655314 OWV655314 PGR655314 PQN655314 QAJ655314 QKF655314 QUB655314 RDX655314 RNT655314 RXP655314 SHL655314 SRH655314 TBD655314 TKZ655314 TUV655314 UER655314 UON655314 UYJ655314 VIF655314 VSB655314 WBX655314 WLT655314 WVP655314 J720850 JD720850 SZ720850 ACV720850 AMR720850 AWN720850 BGJ720850 BQF720850 CAB720850 CJX720850 CTT720850 DDP720850 DNL720850 DXH720850 EHD720850 EQZ720850 FAV720850 FKR720850 FUN720850 GEJ720850 GOF720850 GYB720850 HHX720850 HRT720850 IBP720850 ILL720850 IVH720850 JFD720850 JOZ720850 JYV720850 KIR720850 KSN720850 LCJ720850 LMF720850 LWB720850 MFX720850 MPT720850 MZP720850 NJL720850 NTH720850 ODD720850 OMZ720850 OWV720850 PGR720850 PQN720850 QAJ720850 QKF720850 QUB720850 RDX720850 RNT720850 RXP720850 SHL720850 SRH720850 TBD720850 TKZ720850 TUV720850 UER720850 UON720850 UYJ720850 VIF720850 VSB720850 WBX720850 WLT720850 WVP720850 J786386 JD786386 SZ786386 ACV786386 AMR786386 AWN786386 BGJ786386 BQF786386 CAB786386 CJX786386 CTT786386 DDP786386 DNL786386 DXH786386 EHD786386 EQZ786386 FAV786386 FKR786386 FUN786386 GEJ786386 GOF786386 GYB786386 HHX786386 HRT786386 IBP786386 ILL786386 IVH786386 JFD786386 JOZ786386 JYV786386 KIR786386 KSN786386 LCJ786386 LMF786386 LWB786386 MFX786386 MPT786386 MZP786386 NJL786386 NTH786386 ODD786386 OMZ786386 OWV786386 PGR786386 PQN786386 QAJ786386 QKF786386 QUB786386 RDX786386 RNT786386 RXP786386 SHL786386 SRH786386 TBD786386 TKZ786386 TUV786386 UER786386 UON786386 UYJ786386 VIF786386 VSB786386 WBX786386 WLT786386 WVP786386 J851922 JD851922 SZ851922 ACV851922 AMR851922 AWN851922 BGJ851922 BQF851922 CAB851922 CJX851922 CTT851922 DDP851922 DNL851922 DXH851922 EHD851922 EQZ851922 FAV851922 FKR851922 FUN851922 GEJ851922 GOF851922 GYB851922 HHX851922 HRT851922 IBP851922 ILL851922 IVH851922 JFD851922 JOZ851922 JYV851922 KIR851922 KSN851922 LCJ851922 LMF851922 LWB851922 MFX851922 MPT851922 MZP851922 NJL851922 NTH851922 ODD851922 OMZ851922 OWV851922 PGR851922 PQN851922 QAJ851922 QKF851922 QUB851922 RDX851922 RNT851922 RXP851922 SHL851922 SRH851922 TBD851922 TKZ851922 TUV851922 UER851922 UON851922 UYJ851922 VIF851922 VSB851922 WBX851922 WLT851922 WVP851922 J917458 JD917458 SZ917458 ACV917458 AMR917458 AWN917458 BGJ917458 BQF917458 CAB917458 CJX917458 CTT917458 DDP917458 DNL917458 DXH917458 EHD917458 EQZ917458 FAV917458 FKR917458 FUN917458 GEJ917458 GOF917458 GYB917458 HHX917458 HRT917458 IBP917458 ILL917458 IVH917458 JFD917458 JOZ917458 JYV917458 KIR917458 KSN917458 LCJ917458 LMF917458 LWB917458 MFX917458 MPT917458 MZP917458 NJL917458 NTH917458 ODD917458 OMZ917458 OWV917458 PGR917458 PQN917458 QAJ917458 QKF917458 QUB917458 RDX917458 RNT917458 RXP917458 SHL917458 SRH917458 TBD917458 TKZ917458 TUV917458 UER917458 UON917458 UYJ917458 VIF917458 VSB917458 WBX917458 WLT917458 WVP917458 J982994 JD982994 SZ982994 ACV982994 AMR982994 AWN982994 BGJ982994 BQF982994 CAB982994 CJX982994 CTT982994 DDP982994 DNL982994 DXH982994 EHD982994 EQZ982994 FAV982994 FKR982994 FUN982994 GEJ982994 GOF982994 GYB982994 HHX982994 HRT982994 IBP982994 ILL982994 IVH982994 JFD982994 JOZ982994 JYV982994 KIR982994 KSN982994 LCJ982994 LMF982994 LWB982994 MFX982994 MPT982994 MZP982994 NJL982994 NTH982994 ODD982994 OMZ982994 OWV982994 PGR982994 PQN982994 QAJ982994 QKF982994 QUB982994 RDX982994 RNT982994 RXP982994 SHL982994 SRH982994 TBD982994 TKZ982994 TUV982994 UER982994 UON982994 UYJ982994 VIF982994 VSB982994 WBX982994 WLT982994 WVP982994 WLT983046 JD30 SZ30 ACV30 AMR30 AWN30 BGJ30 BQF30 CAB30 CJX30 CTT30 DDP30 DNL30 DXH30 EHD30 EQZ30 FAV30 FKR30 FUN30 GEJ30 GOF30 GYB30 HHX30 HRT30 IBP30 ILL30 IVH30 JFD30 JOZ30 JYV30 KIR30 KSN30 LCJ30 LMF30 LWB30 MFX30 MPT30 MZP30 NJL30 NTH30 ODD30 OMZ30 OWV30 PGR30 PQN30 QAJ30 QKF30 QUB30 RDX30 RNT30 RXP30 SHL30 SRH30 TBD30 TKZ30 TUV30 UER30 UON30 UYJ30 VIF30 VSB30 WBX30 WLT30 WVP30 J65503 JD65503 SZ65503 ACV65503 AMR65503 AWN65503 BGJ65503 BQF65503 CAB65503 CJX65503 CTT65503 DDP65503 DNL65503 DXH65503 EHD65503 EQZ65503 FAV65503 FKR65503 FUN65503 GEJ65503 GOF65503 GYB65503 HHX65503 HRT65503 IBP65503 ILL65503 IVH65503 JFD65503 JOZ65503 JYV65503 KIR65503 KSN65503 LCJ65503 LMF65503 LWB65503 MFX65503 MPT65503 MZP65503 NJL65503 NTH65503 ODD65503 OMZ65503 OWV65503 PGR65503 PQN65503 QAJ65503 QKF65503 QUB65503 RDX65503 RNT65503 RXP65503 SHL65503 SRH65503 TBD65503 TKZ65503 TUV65503 UER65503 UON65503 UYJ65503 VIF65503 VSB65503 WBX65503 WLT65503 WVP65503 J131039 JD131039 SZ131039 ACV131039 AMR131039 AWN131039 BGJ131039 BQF131039 CAB131039 CJX131039 CTT131039 DDP131039 DNL131039 DXH131039 EHD131039 EQZ131039 FAV131039 FKR131039 FUN131039 GEJ131039 GOF131039 GYB131039 HHX131039 HRT131039 IBP131039 ILL131039 IVH131039 JFD131039 JOZ131039 JYV131039 KIR131039 KSN131039 LCJ131039 LMF131039 LWB131039 MFX131039 MPT131039 MZP131039 NJL131039 NTH131039 ODD131039 OMZ131039 OWV131039 PGR131039 PQN131039 QAJ131039 QKF131039 QUB131039 RDX131039 RNT131039 RXP131039 SHL131039 SRH131039 TBD131039 TKZ131039 TUV131039 UER131039 UON131039 UYJ131039 VIF131039 VSB131039 WBX131039 WLT131039 WVP131039 J196575 JD196575 SZ196575 ACV196575 AMR196575 AWN196575 BGJ196575 BQF196575 CAB196575 CJX196575 CTT196575 DDP196575 DNL196575 DXH196575 EHD196575 EQZ196575 FAV196575 FKR196575 FUN196575 GEJ196575 GOF196575 GYB196575 HHX196575 HRT196575 IBP196575 ILL196575 IVH196575 JFD196575 JOZ196575 JYV196575 KIR196575 KSN196575 LCJ196575 LMF196575 LWB196575 MFX196575 MPT196575 MZP196575 NJL196575 NTH196575 ODD196575 OMZ196575 OWV196575 PGR196575 PQN196575 QAJ196575 QKF196575 QUB196575 RDX196575 RNT196575 RXP196575 SHL196575 SRH196575 TBD196575 TKZ196575 TUV196575 UER196575 UON196575 UYJ196575 VIF196575 VSB196575 WBX196575 WLT196575 WVP196575 J262111 JD262111 SZ262111 ACV262111 AMR262111 AWN262111 BGJ262111 BQF262111 CAB262111 CJX262111 CTT262111 DDP262111 DNL262111 DXH262111 EHD262111 EQZ262111 FAV262111 FKR262111 FUN262111 GEJ262111 GOF262111 GYB262111 HHX262111 HRT262111 IBP262111 ILL262111 IVH262111 JFD262111 JOZ262111 JYV262111 KIR262111 KSN262111 LCJ262111 LMF262111 LWB262111 MFX262111 MPT262111 MZP262111 NJL262111 NTH262111 ODD262111 OMZ262111 OWV262111 PGR262111 PQN262111 QAJ262111 QKF262111 QUB262111 RDX262111 RNT262111 RXP262111 SHL262111 SRH262111 TBD262111 TKZ262111 TUV262111 UER262111 UON262111 UYJ262111 VIF262111 VSB262111 WBX262111 WLT262111 WVP262111 J327647 JD327647 SZ327647 ACV327647 AMR327647 AWN327647 BGJ327647 BQF327647 CAB327647 CJX327647 CTT327647 DDP327647 DNL327647 DXH327647 EHD327647 EQZ327647 FAV327647 FKR327647 FUN327647 GEJ327647 GOF327647 GYB327647 HHX327647 HRT327647 IBP327647 ILL327647 IVH327647 JFD327647 JOZ327647 JYV327647 KIR327647 KSN327647 LCJ327647 LMF327647 LWB327647 MFX327647 MPT327647 MZP327647 NJL327647 NTH327647 ODD327647 OMZ327647 OWV327647 PGR327647 PQN327647 QAJ327647 QKF327647 QUB327647 RDX327647 RNT327647 RXP327647 SHL327647 SRH327647 TBD327647 TKZ327647 TUV327647 UER327647 UON327647 UYJ327647 VIF327647 VSB327647 WBX327647 WLT327647 WVP327647 J393183 JD393183 SZ393183 ACV393183 AMR393183 AWN393183 BGJ393183 BQF393183 CAB393183 CJX393183 CTT393183 DDP393183 DNL393183 DXH393183 EHD393183 EQZ393183 FAV393183 FKR393183 FUN393183 GEJ393183 GOF393183 GYB393183 HHX393183 HRT393183 IBP393183 ILL393183 IVH393183 JFD393183 JOZ393183 JYV393183 KIR393183 KSN393183 LCJ393183 LMF393183 LWB393183 MFX393183 MPT393183 MZP393183 NJL393183 NTH393183 ODD393183 OMZ393183 OWV393183 PGR393183 PQN393183 QAJ393183 QKF393183 QUB393183 RDX393183 RNT393183 RXP393183 SHL393183 SRH393183 TBD393183 TKZ393183 TUV393183 UER393183 UON393183 UYJ393183 VIF393183 VSB393183 WBX393183 WLT393183 WVP393183 J458719 JD458719 SZ458719 ACV458719 AMR458719 AWN458719 BGJ458719 BQF458719 CAB458719 CJX458719 CTT458719 DDP458719 DNL458719 DXH458719 EHD458719 EQZ458719 FAV458719 FKR458719 FUN458719 GEJ458719 GOF458719 GYB458719 HHX458719 HRT458719 IBP458719 ILL458719 IVH458719 JFD458719 JOZ458719 JYV458719 KIR458719 KSN458719 LCJ458719 LMF458719 LWB458719 MFX458719 MPT458719 MZP458719 NJL458719 NTH458719 ODD458719 OMZ458719 OWV458719 PGR458719 PQN458719 QAJ458719 QKF458719 QUB458719 RDX458719 RNT458719 RXP458719 SHL458719 SRH458719 TBD458719 TKZ458719 TUV458719 UER458719 UON458719 UYJ458719 VIF458719 VSB458719 WBX458719 WLT458719 WVP458719 J524255 JD524255 SZ524255 ACV524255 AMR524255 AWN524255 BGJ524255 BQF524255 CAB524255 CJX524255 CTT524255 DDP524255 DNL524255 DXH524255 EHD524255 EQZ524255 FAV524255 FKR524255 FUN524255 GEJ524255 GOF524255 GYB524255 HHX524255 HRT524255 IBP524255 ILL524255 IVH524255 JFD524255 JOZ524255 JYV524255 KIR524255 KSN524255 LCJ524255 LMF524255 LWB524255 MFX524255 MPT524255 MZP524255 NJL524255 NTH524255 ODD524255 OMZ524255 OWV524255 PGR524255 PQN524255 QAJ524255 QKF524255 QUB524255 RDX524255 RNT524255 RXP524255 SHL524255 SRH524255 TBD524255 TKZ524255 TUV524255 UER524255 UON524255 UYJ524255 VIF524255 VSB524255 WBX524255 WLT524255 WVP524255 J589791 JD589791 SZ589791 ACV589791 AMR589791 AWN589791 BGJ589791 BQF589791 CAB589791 CJX589791 CTT589791 DDP589791 DNL589791 DXH589791 EHD589791 EQZ589791 FAV589791 FKR589791 FUN589791 GEJ589791 GOF589791 GYB589791 HHX589791 HRT589791 IBP589791 ILL589791 IVH589791 JFD589791 JOZ589791 JYV589791 KIR589791 KSN589791 LCJ589791 LMF589791 LWB589791 MFX589791 MPT589791 MZP589791 NJL589791 NTH589791 ODD589791 OMZ589791 OWV589791 PGR589791 PQN589791 QAJ589791 QKF589791 QUB589791 RDX589791 RNT589791 RXP589791 SHL589791 SRH589791 TBD589791 TKZ589791 TUV589791 UER589791 UON589791 UYJ589791 VIF589791 VSB589791 WBX589791 WLT589791 WVP589791 J655327 JD655327 SZ655327 ACV655327 AMR655327 AWN655327 BGJ655327 BQF655327 CAB655327 CJX655327 CTT655327 DDP655327 DNL655327 DXH655327 EHD655327 EQZ655327 FAV655327 FKR655327 FUN655327 GEJ655327 GOF655327 GYB655327 HHX655327 HRT655327 IBP655327 ILL655327 IVH655327 JFD655327 JOZ655327 JYV655327 KIR655327 KSN655327 LCJ655327 LMF655327 LWB655327 MFX655327 MPT655327 MZP655327 NJL655327 NTH655327 ODD655327 OMZ655327 OWV655327 PGR655327 PQN655327 QAJ655327 QKF655327 QUB655327 RDX655327 RNT655327 RXP655327 SHL655327 SRH655327 TBD655327 TKZ655327 TUV655327 UER655327 UON655327 UYJ655327 VIF655327 VSB655327 WBX655327 WLT655327 WVP655327 J720863 JD720863 SZ720863 ACV720863 AMR720863 AWN720863 BGJ720863 BQF720863 CAB720863 CJX720863 CTT720863 DDP720863 DNL720863 DXH720863 EHD720863 EQZ720863 FAV720863 FKR720863 FUN720863 GEJ720863 GOF720863 GYB720863 HHX720863 HRT720863 IBP720863 ILL720863 IVH720863 JFD720863 JOZ720863 JYV720863 KIR720863 KSN720863 LCJ720863 LMF720863 LWB720863 MFX720863 MPT720863 MZP720863 NJL720863 NTH720863 ODD720863 OMZ720863 OWV720863 PGR720863 PQN720863 QAJ720863 QKF720863 QUB720863 RDX720863 RNT720863 RXP720863 SHL720863 SRH720863 TBD720863 TKZ720863 TUV720863 UER720863 UON720863 UYJ720863 VIF720863 VSB720863 WBX720863 WLT720863 WVP720863 J786399 JD786399 SZ786399 ACV786399 AMR786399 AWN786399 BGJ786399 BQF786399 CAB786399 CJX786399 CTT786399 DDP786399 DNL786399 DXH786399 EHD786399 EQZ786399 FAV786399 FKR786399 FUN786399 GEJ786399 GOF786399 GYB786399 HHX786399 HRT786399 IBP786399 ILL786399 IVH786399 JFD786399 JOZ786399 JYV786399 KIR786399 KSN786399 LCJ786399 LMF786399 LWB786399 MFX786399 MPT786399 MZP786399 NJL786399 NTH786399 ODD786399 OMZ786399 OWV786399 PGR786399 PQN786399 QAJ786399 QKF786399 QUB786399 RDX786399 RNT786399 RXP786399 SHL786399 SRH786399 TBD786399 TKZ786399 TUV786399 UER786399 UON786399 UYJ786399 VIF786399 VSB786399 WBX786399 WLT786399 WVP786399 J851935 JD851935 SZ851935 ACV851935 AMR851935 AWN851935 BGJ851935 BQF851935 CAB851935 CJX851935 CTT851935 DDP851935 DNL851935 DXH851935 EHD851935 EQZ851935 FAV851935 FKR851935 FUN851935 GEJ851935 GOF851935 GYB851935 HHX851935 HRT851935 IBP851935 ILL851935 IVH851935 JFD851935 JOZ851935 JYV851935 KIR851935 KSN851935 LCJ851935 LMF851935 LWB851935 MFX851935 MPT851935 MZP851935 NJL851935 NTH851935 ODD851935 OMZ851935 OWV851935 PGR851935 PQN851935 QAJ851935 QKF851935 QUB851935 RDX851935 RNT851935 RXP851935 SHL851935 SRH851935 TBD851935 TKZ851935 TUV851935 UER851935 UON851935 UYJ851935 VIF851935 VSB851935 WBX851935 WLT851935 WVP851935 J917471 JD917471 SZ917471 ACV917471 AMR917471 AWN917471 BGJ917471 BQF917471 CAB917471 CJX917471 CTT917471 DDP917471 DNL917471 DXH917471 EHD917471 EQZ917471 FAV917471 FKR917471 FUN917471 GEJ917471 GOF917471 GYB917471 HHX917471 HRT917471 IBP917471 ILL917471 IVH917471 JFD917471 JOZ917471 JYV917471 KIR917471 KSN917471 LCJ917471 LMF917471 LWB917471 MFX917471 MPT917471 MZP917471 NJL917471 NTH917471 ODD917471 OMZ917471 OWV917471 PGR917471 PQN917471 QAJ917471 QKF917471 QUB917471 RDX917471 RNT917471 RXP917471 SHL917471 SRH917471 TBD917471 TKZ917471 TUV917471 UER917471 UON917471 UYJ917471 VIF917471 VSB917471 WBX917471 WLT917471 WVP917471 J983007 JD983007 SZ983007 ACV983007 AMR983007 AWN983007 BGJ983007 BQF983007 CAB983007 CJX983007 CTT983007 DDP983007 DNL983007 DXH983007 EHD983007 EQZ983007 FAV983007 FKR983007 FUN983007 GEJ983007 GOF983007 GYB983007 HHX983007 HRT983007 IBP983007 ILL983007 IVH983007 JFD983007 JOZ983007 JYV983007 KIR983007 KSN983007 LCJ983007 LMF983007 LWB983007 MFX983007 MPT983007 MZP983007 NJL983007 NTH983007 ODD983007 OMZ983007 OWV983007 PGR983007 PQN983007 QAJ983007 QKF983007 QUB983007 RDX983007 RNT983007 RXP983007 SHL983007 SRH983007 TBD983007 TKZ983007 TUV983007 UER983007 UON983007 UYJ983007 VIF983007 VSB983007 WBX983007 WLT983007 WVP983007 WBX983046 JD48 SZ48 ACV48 AMR48 AWN48 BGJ48 BQF48 CAB48 CJX48 CTT48 DDP48 DNL48 DXH48 EHD48 EQZ48 FAV48 FKR48 FUN48 GEJ48 GOF48 GYB48 HHX48 HRT48 IBP48 ILL48 IVH48 JFD48 JOZ48 JYV48 KIR48 KSN48 LCJ48 LMF48 LWB48 MFX48 MPT48 MZP48 NJL48 NTH48 ODD48 OMZ48 OWV48 PGR48 PQN48 QAJ48 QKF48 QUB48 RDX48 RNT48 RXP48 SHL48 SRH48 TBD48 TKZ48 TUV48 UER48 UON48 UYJ48 VIF48 VSB48 WBX48 WLT48 WVP48 J65516 JD65516 SZ65516 ACV65516 AMR65516 AWN65516 BGJ65516 BQF65516 CAB65516 CJX65516 CTT65516 DDP65516 DNL65516 DXH65516 EHD65516 EQZ65516 FAV65516 FKR65516 FUN65516 GEJ65516 GOF65516 GYB65516 HHX65516 HRT65516 IBP65516 ILL65516 IVH65516 JFD65516 JOZ65516 JYV65516 KIR65516 KSN65516 LCJ65516 LMF65516 LWB65516 MFX65516 MPT65516 MZP65516 NJL65516 NTH65516 ODD65516 OMZ65516 OWV65516 PGR65516 PQN65516 QAJ65516 QKF65516 QUB65516 RDX65516 RNT65516 RXP65516 SHL65516 SRH65516 TBD65516 TKZ65516 TUV65516 UER65516 UON65516 UYJ65516 VIF65516 VSB65516 WBX65516 WLT65516 WVP65516 J131052 JD131052 SZ131052 ACV131052 AMR131052 AWN131052 BGJ131052 BQF131052 CAB131052 CJX131052 CTT131052 DDP131052 DNL131052 DXH131052 EHD131052 EQZ131052 FAV131052 FKR131052 FUN131052 GEJ131052 GOF131052 GYB131052 HHX131052 HRT131052 IBP131052 ILL131052 IVH131052 JFD131052 JOZ131052 JYV131052 KIR131052 KSN131052 LCJ131052 LMF131052 LWB131052 MFX131052 MPT131052 MZP131052 NJL131052 NTH131052 ODD131052 OMZ131052 OWV131052 PGR131052 PQN131052 QAJ131052 QKF131052 QUB131052 RDX131052 RNT131052 RXP131052 SHL131052 SRH131052 TBD131052 TKZ131052 TUV131052 UER131052 UON131052 UYJ131052 VIF131052 VSB131052 WBX131052 WLT131052 WVP131052 J196588 JD196588 SZ196588 ACV196588 AMR196588 AWN196588 BGJ196588 BQF196588 CAB196588 CJX196588 CTT196588 DDP196588 DNL196588 DXH196588 EHD196588 EQZ196588 FAV196588 FKR196588 FUN196588 GEJ196588 GOF196588 GYB196588 HHX196588 HRT196588 IBP196588 ILL196588 IVH196588 JFD196588 JOZ196588 JYV196588 KIR196588 KSN196588 LCJ196588 LMF196588 LWB196588 MFX196588 MPT196588 MZP196588 NJL196588 NTH196588 ODD196588 OMZ196588 OWV196588 PGR196588 PQN196588 QAJ196588 QKF196588 QUB196588 RDX196588 RNT196588 RXP196588 SHL196588 SRH196588 TBD196588 TKZ196588 TUV196588 UER196588 UON196588 UYJ196588 VIF196588 VSB196588 WBX196588 WLT196588 WVP196588 J262124 JD262124 SZ262124 ACV262124 AMR262124 AWN262124 BGJ262124 BQF262124 CAB262124 CJX262124 CTT262124 DDP262124 DNL262124 DXH262124 EHD262124 EQZ262124 FAV262124 FKR262124 FUN262124 GEJ262124 GOF262124 GYB262124 HHX262124 HRT262124 IBP262124 ILL262124 IVH262124 JFD262124 JOZ262124 JYV262124 KIR262124 KSN262124 LCJ262124 LMF262124 LWB262124 MFX262124 MPT262124 MZP262124 NJL262124 NTH262124 ODD262124 OMZ262124 OWV262124 PGR262124 PQN262124 QAJ262124 QKF262124 QUB262124 RDX262124 RNT262124 RXP262124 SHL262124 SRH262124 TBD262124 TKZ262124 TUV262124 UER262124 UON262124 UYJ262124 VIF262124 VSB262124 WBX262124 WLT262124 WVP262124 J327660 JD327660 SZ327660 ACV327660 AMR327660 AWN327660 BGJ327660 BQF327660 CAB327660 CJX327660 CTT327660 DDP327660 DNL327660 DXH327660 EHD327660 EQZ327660 FAV327660 FKR327660 FUN327660 GEJ327660 GOF327660 GYB327660 HHX327660 HRT327660 IBP327660 ILL327660 IVH327660 JFD327660 JOZ327660 JYV327660 KIR327660 KSN327660 LCJ327660 LMF327660 LWB327660 MFX327660 MPT327660 MZP327660 NJL327660 NTH327660 ODD327660 OMZ327660 OWV327660 PGR327660 PQN327660 QAJ327660 QKF327660 QUB327660 RDX327660 RNT327660 RXP327660 SHL327660 SRH327660 TBD327660 TKZ327660 TUV327660 UER327660 UON327660 UYJ327660 VIF327660 VSB327660 WBX327660 WLT327660 WVP327660 J393196 JD393196 SZ393196 ACV393196 AMR393196 AWN393196 BGJ393196 BQF393196 CAB393196 CJX393196 CTT393196 DDP393196 DNL393196 DXH393196 EHD393196 EQZ393196 FAV393196 FKR393196 FUN393196 GEJ393196 GOF393196 GYB393196 HHX393196 HRT393196 IBP393196 ILL393196 IVH393196 JFD393196 JOZ393196 JYV393196 KIR393196 KSN393196 LCJ393196 LMF393196 LWB393196 MFX393196 MPT393196 MZP393196 NJL393196 NTH393196 ODD393196 OMZ393196 OWV393196 PGR393196 PQN393196 QAJ393196 QKF393196 QUB393196 RDX393196 RNT393196 RXP393196 SHL393196 SRH393196 TBD393196 TKZ393196 TUV393196 UER393196 UON393196 UYJ393196 VIF393196 VSB393196 WBX393196 WLT393196 WVP393196 J458732 JD458732 SZ458732 ACV458732 AMR458732 AWN458732 BGJ458732 BQF458732 CAB458732 CJX458732 CTT458732 DDP458732 DNL458732 DXH458732 EHD458732 EQZ458732 FAV458732 FKR458732 FUN458732 GEJ458732 GOF458732 GYB458732 HHX458732 HRT458732 IBP458732 ILL458732 IVH458732 JFD458732 JOZ458732 JYV458732 KIR458732 KSN458732 LCJ458732 LMF458732 LWB458732 MFX458732 MPT458732 MZP458732 NJL458732 NTH458732 ODD458732 OMZ458732 OWV458732 PGR458732 PQN458732 QAJ458732 QKF458732 QUB458732 RDX458732 RNT458732 RXP458732 SHL458732 SRH458732 TBD458732 TKZ458732 TUV458732 UER458732 UON458732 UYJ458732 VIF458732 VSB458732 WBX458732 WLT458732 WVP458732 J524268 JD524268 SZ524268 ACV524268 AMR524268 AWN524268 BGJ524268 BQF524268 CAB524268 CJX524268 CTT524268 DDP524268 DNL524268 DXH524268 EHD524268 EQZ524268 FAV524268 FKR524268 FUN524268 GEJ524268 GOF524268 GYB524268 HHX524268 HRT524268 IBP524268 ILL524268 IVH524268 JFD524268 JOZ524268 JYV524268 KIR524268 KSN524268 LCJ524268 LMF524268 LWB524268 MFX524268 MPT524268 MZP524268 NJL524268 NTH524268 ODD524268 OMZ524268 OWV524268 PGR524268 PQN524268 QAJ524268 QKF524268 QUB524268 RDX524268 RNT524268 RXP524268 SHL524268 SRH524268 TBD524268 TKZ524268 TUV524268 UER524268 UON524268 UYJ524268 VIF524268 VSB524268 WBX524268 WLT524268 WVP524268 J589804 JD589804 SZ589804 ACV589804 AMR589804 AWN589804 BGJ589804 BQF589804 CAB589804 CJX589804 CTT589804 DDP589804 DNL589804 DXH589804 EHD589804 EQZ589804 FAV589804 FKR589804 FUN589804 GEJ589804 GOF589804 GYB589804 HHX589804 HRT589804 IBP589804 ILL589804 IVH589804 JFD589804 JOZ589804 JYV589804 KIR589804 KSN589804 LCJ589804 LMF589804 LWB589804 MFX589804 MPT589804 MZP589804 NJL589804 NTH589804 ODD589804 OMZ589804 OWV589804 PGR589804 PQN589804 QAJ589804 QKF589804 QUB589804 RDX589804 RNT589804 RXP589804 SHL589804 SRH589804 TBD589804 TKZ589804 TUV589804 UER589804 UON589804 UYJ589804 VIF589804 VSB589804 WBX589804 WLT589804 WVP589804 J655340 JD655340 SZ655340 ACV655340 AMR655340 AWN655340 BGJ655340 BQF655340 CAB655340 CJX655340 CTT655340 DDP655340 DNL655340 DXH655340 EHD655340 EQZ655340 FAV655340 FKR655340 FUN655340 GEJ655340 GOF655340 GYB655340 HHX655340 HRT655340 IBP655340 ILL655340 IVH655340 JFD655340 JOZ655340 JYV655340 KIR655340 KSN655340 LCJ655340 LMF655340 LWB655340 MFX655340 MPT655340 MZP655340 NJL655340 NTH655340 ODD655340 OMZ655340 OWV655340 PGR655340 PQN655340 QAJ655340 QKF655340 QUB655340 RDX655340 RNT655340 RXP655340 SHL655340 SRH655340 TBD655340 TKZ655340 TUV655340 UER655340 UON655340 UYJ655340 VIF655340 VSB655340 WBX655340 WLT655340 WVP655340 J720876 JD720876 SZ720876 ACV720876 AMR720876 AWN720876 BGJ720876 BQF720876 CAB720876 CJX720876 CTT720876 DDP720876 DNL720876 DXH720876 EHD720876 EQZ720876 FAV720876 FKR720876 FUN720876 GEJ720876 GOF720876 GYB720876 HHX720876 HRT720876 IBP720876 ILL720876 IVH720876 JFD720876 JOZ720876 JYV720876 KIR720876 KSN720876 LCJ720876 LMF720876 LWB720876 MFX720876 MPT720876 MZP720876 NJL720876 NTH720876 ODD720876 OMZ720876 OWV720876 PGR720876 PQN720876 QAJ720876 QKF720876 QUB720876 RDX720876 RNT720876 RXP720876 SHL720876 SRH720876 TBD720876 TKZ720876 TUV720876 UER720876 UON720876 UYJ720876 VIF720876 VSB720876 WBX720876 WLT720876 WVP720876 J786412 JD786412 SZ786412 ACV786412 AMR786412 AWN786412 BGJ786412 BQF786412 CAB786412 CJX786412 CTT786412 DDP786412 DNL786412 DXH786412 EHD786412 EQZ786412 FAV786412 FKR786412 FUN786412 GEJ786412 GOF786412 GYB786412 HHX786412 HRT786412 IBP786412 ILL786412 IVH786412 JFD786412 JOZ786412 JYV786412 KIR786412 KSN786412 LCJ786412 LMF786412 LWB786412 MFX786412 MPT786412 MZP786412 NJL786412 NTH786412 ODD786412 OMZ786412 OWV786412 PGR786412 PQN786412 QAJ786412 QKF786412 QUB786412 RDX786412 RNT786412 RXP786412 SHL786412 SRH786412 TBD786412 TKZ786412 TUV786412 UER786412 UON786412 UYJ786412 VIF786412 VSB786412 WBX786412 WLT786412 WVP786412 J851948 JD851948 SZ851948 ACV851948 AMR851948 AWN851948 BGJ851948 BQF851948 CAB851948 CJX851948 CTT851948 DDP851948 DNL851948 DXH851948 EHD851948 EQZ851948 FAV851948 FKR851948 FUN851948 GEJ851948 GOF851948 GYB851948 HHX851948 HRT851948 IBP851948 ILL851948 IVH851948 JFD851948 JOZ851948 JYV851948 KIR851948 KSN851948 LCJ851948 LMF851948 LWB851948 MFX851948 MPT851948 MZP851948 NJL851948 NTH851948 ODD851948 OMZ851948 OWV851948 PGR851948 PQN851948 QAJ851948 QKF851948 QUB851948 RDX851948 RNT851948 RXP851948 SHL851948 SRH851948 TBD851948 TKZ851948 TUV851948 UER851948 UON851948 UYJ851948 VIF851948 VSB851948 WBX851948 WLT851948 WVP851948 J917484 JD917484 SZ917484 ACV917484 AMR917484 AWN917484 BGJ917484 BQF917484 CAB917484 CJX917484 CTT917484 DDP917484 DNL917484 DXH917484 EHD917484 EQZ917484 FAV917484 FKR917484 FUN917484 GEJ917484 GOF917484 GYB917484 HHX917484 HRT917484 IBP917484 ILL917484 IVH917484 JFD917484 JOZ917484 JYV917484 KIR917484 KSN917484 LCJ917484 LMF917484 LWB917484 MFX917484 MPT917484 MZP917484 NJL917484 NTH917484 ODD917484 OMZ917484 OWV917484 PGR917484 PQN917484 QAJ917484 QKF917484 QUB917484 RDX917484 RNT917484 RXP917484 SHL917484 SRH917484 TBD917484 TKZ917484 TUV917484 UER917484 UON917484 UYJ917484 VIF917484 VSB917484 WBX917484 WLT917484 WVP917484 J983020 JD983020 SZ983020 ACV983020 AMR983020 AWN983020 BGJ983020 BQF983020 CAB983020 CJX983020 CTT983020 DDP983020 DNL983020 DXH983020 EHD983020 EQZ983020 FAV983020 FKR983020 FUN983020 GEJ983020 GOF983020 GYB983020 HHX983020 HRT983020 IBP983020 ILL983020 IVH983020 JFD983020 JOZ983020 JYV983020 KIR983020 KSN983020 LCJ983020 LMF983020 LWB983020 MFX983020 MPT983020 MZP983020 NJL983020 NTH983020 ODD983020 OMZ983020 OWV983020 PGR983020 PQN983020 QAJ983020 QKF983020 QUB983020 RDX983020 RNT983020 RXP983020 SHL983020 SRH983020 TBD983020 TKZ983020 TUV983020 UER983020 UON983020 UYJ983020 VIF983020 VSB983020 WBX983020 WLT983020 WVP983020 J65529 JD65529 SZ65529 ACV65529 AMR65529 AWN65529 BGJ65529 BQF65529 CAB65529 CJX65529 CTT65529 DDP65529 DNL65529 DXH65529 EHD65529 EQZ65529 FAV65529 FKR65529 FUN65529 GEJ65529 GOF65529 GYB65529 HHX65529 HRT65529 IBP65529 ILL65529 IVH65529 JFD65529 JOZ65529 JYV65529 KIR65529 KSN65529 LCJ65529 LMF65529 LWB65529 MFX65529 MPT65529 MZP65529 NJL65529 NTH65529 ODD65529 OMZ65529 OWV65529 PGR65529 PQN65529 QAJ65529 QKF65529 QUB65529 RDX65529 RNT65529 RXP65529 SHL65529 SRH65529 TBD65529 TKZ65529 TUV65529 UER65529 UON65529 UYJ65529 VIF65529 VSB65529 WBX65529 WLT65529 WVP65529 J131065 JD131065 SZ131065 ACV131065 AMR131065 AWN131065 BGJ131065 BQF131065 CAB131065 CJX131065 CTT131065 DDP131065 DNL131065 DXH131065 EHD131065 EQZ131065 FAV131065 FKR131065 FUN131065 GEJ131065 GOF131065 GYB131065 HHX131065 HRT131065 IBP131065 ILL131065 IVH131065 JFD131065 JOZ131065 JYV131065 KIR131065 KSN131065 LCJ131065 LMF131065 LWB131065 MFX131065 MPT131065 MZP131065 NJL131065 NTH131065 ODD131065 OMZ131065 OWV131065 PGR131065 PQN131065 QAJ131065 QKF131065 QUB131065 RDX131065 RNT131065 RXP131065 SHL131065 SRH131065 TBD131065 TKZ131065 TUV131065 UER131065 UON131065 UYJ131065 VIF131065 VSB131065 WBX131065 WLT131065 WVP131065 J196601 JD196601 SZ196601 ACV196601 AMR196601 AWN196601 BGJ196601 BQF196601 CAB196601 CJX196601 CTT196601 DDP196601 DNL196601 DXH196601 EHD196601 EQZ196601 FAV196601 FKR196601 FUN196601 GEJ196601 GOF196601 GYB196601 HHX196601 HRT196601 IBP196601 ILL196601 IVH196601 JFD196601 JOZ196601 JYV196601 KIR196601 KSN196601 LCJ196601 LMF196601 LWB196601 MFX196601 MPT196601 MZP196601 NJL196601 NTH196601 ODD196601 OMZ196601 OWV196601 PGR196601 PQN196601 QAJ196601 QKF196601 QUB196601 RDX196601 RNT196601 RXP196601 SHL196601 SRH196601 TBD196601 TKZ196601 TUV196601 UER196601 UON196601 UYJ196601 VIF196601 VSB196601 WBX196601 WLT196601 WVP196601 J262137 JD262137 SZ262137 ACV262137 AMR262137 AWN262137 BGJ262137 BQF262137 CAB262137 CJX262137 CTT262137 DDP262137 DNL262137 DXH262137 EHD262137 EQZ262137 FAV262137 FKR262137 FUN262137 GEJ262137 GOF262137 GYB262137 HHX262137 HRT262137 IBP262137 ILL262137 IVH262137 JFD262137 JOZ262137 JYV262137 KIR262137 KSN262137 LCJ262137 LMF262137 LWB262137 MFX262137 MPT262137 MZP262137 NJL262137 NTH262137 ODD262137 OMZ262137 OWV262137 PGR262137 PQN262137 QAJ262137 QKF262137 QUB262137 RDX262137 RNT262137 RXP262137 SHL262137 SRH262137 TBD262137 TKZ262137 TUV262137 UER262137 UON262137 UYJ262137 VIF262137 VSB262137 WBX262137 WLT262137 WVP262137 J327673 JD327673 SZ327673 ACV327673 AMR327673 AWN327673 BGJ327673 BQF327673 CAB327673 CJX327673 CTT327673 DDP327673 DNL327673 DXH327673 EHD327673 EQZ327673 FAV327673 FKR327673 FUN327673 GEJ327673 GOF327673 GYB327673 HHX327673 HRT327673 IBP327673 ILL327673 IVH327673 JFD327673 JOZ327673 JYV327673 KIR327673 KSN327673 LCJ327673 LMF327673 LWB327673 MFX327673 MPT327673 MZP327673 NJL327673 NTH327673 ODD327673 OMZ327673 OWV327673 PGR327673 PQN327673 QAJ327673 QKF327673 QUB327673 RDX327673 RNT327673 RXP327673 SHL327673 SRH327673 TBD327673 TKZ327673 TUV327673 UER327673 UON327673 UYJ327673 VIF327673 VSB327673 WBX327673 WLT327673 WVP327673 J393209 JD393209 SZ393209 ACV393209 AMR393209 AWN393209 BGJ393209 BQF393209 CAB393209 CJX393209 CTT393209 DDP393209 DNL393209 DXH393209 EHD393209 EQZ393209 FAV393209 FKR393209 FUN393209 GEJ393209 GOF393209 GYB393209 HHX393209 HRT393209 IBP393209 ILL393209 IVH393209 JFD393209 JOZ393209 JYV393209 KIR393209 KSN393209 LCJ393209 LMF393209 LWB393209 MFX393209 MPT393209 MZP393209 NJL393209 NTH393209 ODD393209 OMZ393209 OWV393209 PGR393209 PQN393209 QAJ393209 QKF393209 QUB393209 RDX393209 RNT393209 RXP393209 SHL393209 SRH393209 TBD393209 TKZ393209 TUV393209 UER393209 UON393209 UYJ393209 VIF393209 VSB393209 WBX393209 WLT393209 WVP393209 J458745 JD458745 SZ458745 ACV458745 AMR458745 AWN458745 BGJ458745 BQF458745 CAB458745 CJX458745 CTT458745 DDP458745 DNL458745 DXH458745 EHD458745 EQZ458745 FAV458745 FKR458745 FUN458745 GEJ458745 GOF458745 GYB458745 HHX458745 HRT458745 IBP458745 ILL458745 IVH458745 JFD458745 JOZ458745 JYV458745 KIR458745 KSN458745 LCJ458745 LMF458745 LWB458745 MFX458745 MPT458745 MZP458745 NJL458745 NTH458745 ODD458745 OMZ458745 OWV458745 PGR458745 PQN458745 QAJ458745 QKF458745 QUB458745 RDX458745 RNT458745 RXP458745 SHL458745 SRH458745 TBD458745 TKZ458745 TUV458745 UER458745 UON458745 UYJ458745 VIF458745 VSB458745 WBX458745 WLT458745 WVP458745 J524281 JD524281 SZ524281 ACV524281 AMR524281 AWN524281 BGJ524281 BQF524281 CAB524281 CJX524281 CTT524281 DDP524281 DNL524281 DXH524281 EHD524281 EQZ524281 FAV524281 FKR524281 FUN524281 GEJ524281 GOF524281 GYB524281 HHX524281 HRT524281 IBP524281 ILL524281 IVH524281 JFD524281 JOZ524281 JYV524281 KIR524281 KSN524281 LCJ524281 LMF524281 LWB524281 MFX524281 MPT524281 MZP524281 NJL524281 NTH524281 ODD524281 OMZ524281 OWV524281 PGR524281 PQN524281 QAJ524281 QKF524281 QUB524281 RDX524281 RNT524281 RXP524281 SHL524281 SRH524281 TBD524281 TKZ524281 TUV524281 UER524281 UON524281 UYJ524281 VIF524281 VSB524281 WBX524281 WLT524281 WVP524281 J589817 JD589817 SZ589817 ACV589817 AMR589817 AWN589817 BGJ589817 BQF589817 CAB589817 CJX589817 CTT589817 DDP589817 DNL589817 DXH589817 EHD589817 EQZ589817 FAV589817 FKR589817 FUN589817 GEJ589817 GOF589817 GYB589817 HHX589817 HRT589817 IBP589817 ILL589817 IVH589817 JFD589817 JOZ589817 JYV589817 KIR589817 KSN589817 LCJ589817 LMF589817 LWB589817 MFX589817 MPT589817 MZP589817 NJL589817 NTH589817 ODD589817 OMZ589817 OWV589817 PGR589817 PQN589817 QAJ589817 QKF589817 QUB589817 RDX589817 RNT589817 RXP589817 SHL589817 SRH589817 TBD589817 TKZ589817 TUV589817 UER589817 UON589817 UYJ589817 VIF589817 VSB589817 WBX589817 WLT589817 WVP589817 J655353 JD655353 SZ655353 ACV655353 AMR655353 AWN655353 BGJ655353 BQF655353 CAB655353 CJX655353 CTT655353 DDP655353 DNL655353 DXH655353 EHD655353 EQZ655353 FAV655353 FKR655353 FUN655353 GEJ655353 GOF655353 GYB655353 HHX655353 HRT655353 IBP655353 ILL655353 IVH655353 JFD655353 JOZ655353 JYV655353 KIR655353 KSN655353 LCJ655353 LMF655353 LWB655353 MFX655353 MPT655353 MZP655353 NJL655353 NTH655353 ODD655353 OMZ655353 OWV655353 PGR655353 PQN655353 QAJ655353 QKF655353 QUB655353 RDX655353 RNT655353 RXP655353 SHL655353 SRH655353 TBD655353 TKZ655353 TUV655353 UER655353 UON655353 UYJ655353 VIF655353 VSB655353 WBX655353 WLT655353 WVP655353 J720889 JD720889 SZ720889 ACV720889 AMR720889 AWN720889 BGJ720889 BQF720889 CAB720889 CJX720889 CTT720889 DDP720889 DNL720889 DXH720889 EHD720889 EQZ720889 FAV720889 FKR720889 FUN720889 GEJ720889 GOF720889 GYB720889 HHX720889 HRT720889 IBP720889 ILL720889 IVH720889 JFD720889 JOZ720889 JYV720889 KIR720889 KSN720889 LCJ720889 LMF720889 LWB720889 MFX720889 MPT720889 MZP720889 NJL720889 NTH720889 ODD720889 OMZ720889 OWV720889 PGR720889 PQN720889 QAJ720889 QKF720889 QUB720889 RDX720889 RNT720889 RXP720889 SHL720889 SRH720889 TBD720889 TKZ720889 TUV720889 UER720889 UON720889 UYJ720889 VIF720889 VSB720889 WBX720889 WLT720889 WVP720889 J786425 JD786425 SZ786425 ACV786425 AMR786425 AWN786425 BGJ786425 BQF786425 CAB786425 CJX786425 CTT786425 DDP786425 DNL786425 DXH786425 EHD786425 EQZ786425 FAV786425 FKR786425 FUN786425 GEJ786425 GOF786425 GYB786425 HHX786425 HRT786425 IBP786425 ILL786425 IVH786425 JFD786425 JOZ786425 JYV786425 KIR786425 KSN786425 LCJ786425 LMF786425 LWB786425 MFX786425 MPT786425 MZP786425 NJL786425 NTH786425 ODD786425 OMZ786425 OWV786425 PGR786425 PQN786425 QAJ786425 QKF786425 QUB786425 RDX786425 RNT786425 RXP786425 SHL786425 SRH786425 TBD786425 TKZ786425 TUV786425 UER786425 UON786425 UYJ786425 VIF786425 VSB786425 WBX786425 WLT786425 WVP786425 J851961 JD851961 SZ851961 ACV851961 AMR851961 AWN851961 BGJ851961 BQF851961 CAB851961 CJX851961 CTT851961 DDP851961 DNL851961 DXH851961 EHD851961 EQZ851961 FAV851961 FKR851961 FUN851961 GEJ851961 GOF851961 GYB851961 HHX851961 HRT851961 IBP851961 ILL851961 IVH851961 JFD851961 JOZ851961 JYV851961 KIR851961 KSN851961 LCJ851961 LMF851961 LWB851961 MFX851961 MPT851961 MZP851961 NJL851961 NTH851961 ODD851961 OMZ851961 OWV851961 PGR851961 PQN851961 QAJ851961 QKF851961 QUB851961 RDX851961 RNT851961 RXP851961 SHL851961 SRH851961 TBD851961 TKZ851961 TUV851961 UER851961 UON851961 UYJ851961 VIF851961 VSB851961 WBX851961 WLT851961 WVP851961 J917497 JD917497 SZ917497 ACV917497 AMR917497 AWN917497 BGJ917497 BQF917497 CAB917497 CJX917497 CTT917497 DDP917497 DNL917497 DXH917497 EHD917497 EQZ917497 FAV917497 FKR917497 FUN917497 GEJ917497 GOF917497 GYB917497 HHX917497 HRT917497 IBP917497 ILL917497 IVH917497 JFD917497 JOZ917497 JYV917497 KIR917497 KSN917497 LCJ917497 LMF917497 LWB917497 MFX917497 MPT917497 MZP917497 NJL917497 NTH917497 ODD917497 OMZ917497 OWV917497 PGR917497 PQN917497 QAJ917497 QKF917497 QUB917497 RDX917497 RNT917497 RXP917497 SHL917497 SRH917497 TBD917497 TKZ917497 TUV917497 UER917497 UON917497 UYJ917497 VIF917497 VSB917497 WBX917497 WLT917497 WVP917497 J983033 JD983033 SZ983033 ACV983033 AMR983033 AWN983033 BGJ983033 BQF983033 CAB983033 CJX983033 CTT983033 DDP983033 DNL983033 DXH983033 EHD983033 EQZ983033 FAV983033 FKR983033 FUN983033 GEJ983033 GOF983033 GYB983033 HHX983033 HRT983033 IBP983033 ILL983033 IVH983033 JFD983033 JOZ983033 JYV983033 KIR983033 KSN983033 LCJ983033 LMF983033 LWB983033 MFX983033 MPT983033 MZP983033 NJL983033 NTH983033 ODD983033 OMZ983033 OWV983033 PGR983033 PQN983033 QAJ983033 QKF983033 QUB983033 RDX983033 RNT983033 RXP983033 SHL983033 SRH983033 TBD983033 TKZ983033 TUV983033 UER983033 UON983033 UYJ983033 VIF983033 VSB983033 WBX983033 WLT983033 WVP983033 J65542 JD65542 SZ65542 ACV65542 AMR65542 AWN65542 BGJ65542 BQF65542 CAB65542 CJX65542 CTT65542 DDP65542 DNL65542 DXH65542 EHD65542 EQZ65542 FAV65542 FKR65542 FUN65542 GEJ65542 GOF65542 GYB65542 HHX65542 HRT65542 IBP65542 ILL65542 IVH65542 JFD65542 JOZ65542 JYV65542 KIR65542 KSN65542 LCJ65542 LMF65542 LWB65542 MFX65542 MPT65542 MZP65542 NJL65542 NTH65542 ODD65542 OMZ65542 OWV65542 PGR65542 PQN65542 QAJ65542 QKF65542 QUB65542 RDX65542 RNT65542 RXP65542 SHL65542 SRH65542 TBD65542 TKZ65542 TUV65542 UER65542 UON65542 UYJ65542 VIF65542 VSB65542 WBX65542 WLT65542 WVP65542 J131078 JD131078 SZ131078 ACV131078 AMR131078 AWN131078 BGJ131078 BQF131078 CAB131078 CJX131078 CTT131078 DDP131078 DNL131078 DXH131078 EHD131078 EQZ131078 FAV131078 FKR131078 FUN131078 GEJ131078 GOF131078 GYB131078 HHX131078 HRT131078 IBP131078 ILL131078 IVH131078 JFD131078 JOZ131078 JYV131078 KIR131078 KSN131078 LCJ131078 LMF131078 LWB131078 MFX131078 MPT131078 MZP131078 NJL131078 NTH131078 ODD131078 OMZ131078 OWV131078 PGR131078 PQN131078 QAJ131078 QKF131078 QUB131078 RDX131078 RNT131078 RXP131078 SHL131078 SRH131078 TBD131078 TKZ131078 TUV131078 UER131078 UON131078 UYJ131078 VIF131078 VSB131078 WBX131078 WLT131078 WVP131078 J196614 JD196614 SZ196614 ACV196614 AMR196614 AWN196614 BGJ196614 BQF196614 CAB196614 CJX196614 CTT196614 DDP196614 DNL196614 DXH196614 EHD196614 EQZ196614 FAV196614 FKR196614 FUN196614 GEJ196614 GOF196614 GYB196614 HHX196614 HRT196614 IBP196614 ILL196614 IVH196614 JFD196614 JOZ196614 JYV196614 KIR196614 KSN196614 LCJ196614 LMF196614 LWB196614 MFX196614 MPT196614 MZP196614 NJL196614 NTH196614 ODD196614 OMZ196614 OWV196614 PGR196614 PQN196614 QAJ196614 QKF196614 QUB196614 RDX196614 RNT196614 RXP196614 SHL196614 SRH196614 TBD196614 TKZ196614 TUV196614 UER196614 UON196614 UYJ196614 VIF196614 VSB196614 WBX196614 WLT196614 WVP196614 J262150 JD262150 SZ262150 ACV262150 AMR262150 AWN262150 BGJ262150 BQF262150 CAB262150 CJX262150 CTT262150 DDP262150 DNL262150 DXH262150 EHD262150 EQZ262150 FAV262150 FKR262150 FUN262150 GEJ262150 GOF262150 GYB262150 HHX262150 HRT262150 IBP262150 ILL262150 IVH262150 JFD262150 JOZ262150 JYV262150 KIR262150 KSN262150 LCJ262150 LMF262150 LWB262150 MFX262150 MPT262150 MZP262150 NJL262150 NTH262150 ODD262150 OMZ262150 OWV262150 PGR262150 PQN262150 QAJ262150 QKF262150 QUB262150 RDX262150 RNT262150 RXP262150 SHL262150 SRH262150 TBD262150 TKZ262150 TUV262150 UER262150 UON262150 UYJ262150 VIF262150 VSB262150 WBX262150 WLT262150 WVP262150 J327686 JD327686 SZ327686 ACV327686 AMR327686 AWN327686 BGJ327686 BQF327686 CAB327686 CJX327686 CTT327686 DDP327686 DNL327686 DXH327686 EHD327686 EQZ327686 FAV327686 FKR327686 FUN327686 GEJ327686 GOF327686 GYB327686 HHX327686 HRT327686 IBP327686 ILL327686 IVH327686 JFD327686 JOZ327686 JYV327686 KIR327686 KSN327686 LCJ327686 LMF327686 LWB327686 MFX327686 MPT327686 MZP327686 NJL327686 NTH327686 ODD327686 OMZ327686 OWV327686 PGR327686 PQN327686 QAJ327686 QKF327686 QUB327686 RDX327686 RNT327686 RXP327686 SHL327686 SRH327686 TBD327686 TKZ327686 TUV327686 UER327686 UON327686 UYJ327686 VIF327686 VSB327686 WBX327686 WLT327686 WVP327686 J393222 JD393222 SZ393222 ACV393222 AMR393222 AWN393222 BGJ393222 BQF393222 CAB393222 CJX393222 CTT393222 DDP393222 DNL393222 DXH393222 EHD393222 EQZ393222 FAV393222 FKR393222 FUN393222 GEJ393222 GOF393222 GYB393222 HHX393222 HRT393222 IBP393222 ILL393222 IVH393222 JFD393222 JOZ393222 JYV393222 KIR393222 KSN393222 LCJ393222 LMF393222 LWB393222 MFX393222 MPT393222 MZP393222 NJL393222 NTH393222 ODD393222 OMZ393222 OWV393222 PGR393222 PQN393222 QAJ393222 QKF393222 QUB393222 RDX393222 RNT393222 RXP393222 SHL393222 SRH393222 TBD393222 TKZ393222 TUV393222 UER393222 UON393222 UYJ393222 VIF393222 VSB393222 WBX393222 WLT393222 WVP393222 J458758 JD458758 SZ458758 ACV458758 AMR458758 AWN458758 BGJ458758 BQF458758 CAB458758 CJX458758 CTT458758 DDP458758 DNL458758 DXH458758 EHD458758 EQZ458758 FAV458758 FKR458758 FUN458758 GEJ458758 GOF458758 GYB458758 HHX458758 HRT458758 IBP458758 ILL458758 IVH458758 JFD458758 JOZ458758 JYV458758 KIR458758 KSN458758 LCJ458758 LMF458758 LWB458758 MFX458758 MPT458758 MZP458758 NJL458758 NTH458758 ODD458758 OMZ458758 OWV458758 PGR458758 PQN458758 QAJ458758 QKF458758 QUB458758 RDX458758 RNT458758 RXP458758 SHL458758 SRH458758 TBD458758 TKZ458758 TUV458758 UER458758 UON458758 UYJ458758 VIF458758 VSB458758 WBX458758 WLT458758 WVP458758 J524294 JD524294 SZ524294 ACV524294 AMR524294 AWN524294 BGJ524294 BQF524294 CAB524294 CJX524294 CTT524294 DDP524294 DNL524294 DXH524294 EHD524294 EQZ524294 FAV524294 FKR524294 FUN524294 GEJ524294 GOF524294 GYB524294 HHX524294 HRT524294 IBP524294 ILL524294 IVH524294 JFD524294 JOZ524294 JYV524294 KIR524294 KSN524294 LCJ524294 LMF524294 LWB524294 MFX524294 MPT524294 MZP524294 NJL524294 NTH524294 ODD524294 OMZ524294 OWV524294 PGR524294 PQN524294 QAJ524294 QKF524294 QUB524294 RDX524294 RNT524294 RXP524294 SHL524294 SRH524294 TBD524294 TKZ524294 TUV524294 UER524294 UON524294 UYJ524294 VIF524294 VSB524294 WBX524294 WLT524294 WVP524294 J589830 JD589830 SZ589830 ACV589830 AMR589830 AWN589830 BGJ589830 BQF589830 CAB589830 CJX589830 CTT589830 DDP589830 DNL589830 DXH589830 EHD589830 EQZ589830 FAV589830 FKR589830 FUN589830 GEJ589830 GOF589830 GYB589830 HHX589830 HRT589830 IBP589830 ILL589830 IVH589830 JFD589830 JOZ589830 JYV589830 KIR589830 KSN589830 LCJ589830 LMF589830 LWB589830 MFX589830 MPT589830 MZP589830 NJL589830 NTH589830 ODD589830 OMZ589830 OWV589830 PGR589830 PQN589830 QAJ589830 QKF589830 QUB589830 RDX589830 RNT589830 RXP589830 SHL589830 SRH589830 TBD589830 TKZ589830 TUV589830 UER589830 UON589830 UYJ589830 VIF589830 VSB589830 WBX589830 WLT589830 WVP589830 J655366 JD655366 SZ655366 ACV655366 AMR655366 AWN655366 BGJ655366 BQF655366 CAB655366 CJX655366 CTT655366 DDP655366 DNL655366 DXH655366 EHD655366 EQZ655366 FAV655366 FKR655366 FUN655366 GEJ655366 GOF655366 GYB655366 HHX655366 HRT655366 IBP655366 ILL655366 IVH655366 JFD655366 JOZ655366 JYV655366 KIR655366 KSN655366 LCJ655366 LMF655366 LWB655366 MFX655366 MPT655366 MZP655366 NJL655366 NTH655366 ODD655366 OMZ655366 OWV655366 PGR655366 PQN655366 QAJ655366 QKF655366 QUB655366 RDX655366 RNT655366 RXP655366 SHL655366 SRH655366 TBD655366 TKZ655366 TUV655366 UER655366 UON655366 UYJ655366 VIF655366 VSB655366 WBX655366 WLT655366 WVP655366 J720902 JD720902 SZ720902 ACV720902 AMR720902 AWN720902 BGJ720902 BQF720902 CAB720902 CJX720902 CTT720902 DDP720902 DNL720902 DXH720902 EHD720902 EQZ720902 FAV720902 FKR720902 FUN720902 GEJ720902 GOF720902 GYB720902 HHX720902 HRT720902 IBP720902 ILL720902 IVH720902 JFD720902 JOZ720902 JYV720902 KIR720902 KSN720902 LCJ720902 LMF720902 LWB720902 MFX720902 MPT720902 MZP720902 NJL720902 NTH720902 ODD720902 OMZ720902 OWV720902 PGR720902 PQN720902 QAJ720902 QKF720902 QUB720902 RDX720902 RNT720902 RXP720902 SHL720902 SRH720902 TBD720902 TKZ720902 TUV720902 UER720902 UON720902 UYJ720902 VIF720902 VSB720902 WBX720902 WLT720902 WVP720902 J786438 JD786438 SZ786438 ACV786438 AMR786438 AWN786438 BGJ786438 BQF786438 CAB786438 CJX786438 CTT786438 DDP786438 DNL786438 DXH786438 EHD786438 EQZ786438 FAV786438 FKR786438 FUN786438 GEJ786438 GOF786438 GYB786438 HHX786438 HRT786438 IBP786438 ILL786438 IVH786438 JFD786438 JOZ786438 JYV786438 KIR786438 KSN786438 LCJ786438 LMF786438 LWB786438 MFX786438 MPT786438 MZP786438 NJL786438 NTH786438 ODD786438 OMZ786438 OWV786438 PGR786438 PQN786438 QAJ786438 QKF786438 QUB786438 RDX786438 RNT786438 RXP786438 SHL786438 SRH786438 TBD786438 TKZ786438 TUV786438 UER786438 UON786438 UYJ786438 VIF786438 VSB786438 WBX786438 WLT786438 WVP786438 J851974 JD851974 SZ851974 ACV851974 AMR851974 AWN851974 BGJ851974 BQF851974 CAB851974 CJX851974 CTT851974 DDP851974 DNL851974 DXH851974 EHD851974 EQZ851974 FAV851974 FKR851974 FUN851974 GEJ851974 GOF851974 GYB851974 HHX851974 HRT851974 IBP851974 ILL851974 IVH851974 JFD851974 JOZ851974 JYV851974 KIR851974 KSN851974 LCJ851974 LMF851974 LWB851974 MFX851974 MPT851974 MZP851974 NJL851974 NTH851974 ODD851974 OMZ851974 OWV851974 PGR851974 PQN851974 QAJ851974 QKF851974 QUB851974 RDX851974 RNT851974 RXP851974 SHL851974 SRH851974 TBD851974 TKZ851974 TUV851974 UER851974 UON851974 UYJ851974 VIF851974 VSB851974 WBX851974 WLT851974 WVP851974 J917510 JD917510 SZ917510 ACV917510 AMR917510 AWN917510 BGJ917510 BQF917510 CAB917510 CJX917510 CTT917510 DDP917510 DNL917510 DXH917510 EHD917510 EQZ917510 FAV917510 FKR917510 FUN917510 GEJ917510 GOF917510 GYB917510 HHX917510 HRT917510 IBP917510 ILL917510 IVH917510 JFD917510 JOZ917510 JYV917510 KIR917510 KSN917510 LCJ917510 LMF917510 LWB917510 MFX917510 MPT917510 MZP917510 NJL917510 NTH917510 ODD917510 OMZ917510 OWV917510 PGR917510 PQN917510 QAJ917510 QKF917510 QUB917510 RDX917510 RNT917510 RXP917510 SHL917510 SRH917510 TBD917510 TKZ917510 TUV917510 UER917510 UON917510 UYJ917510 VIF917510 VSB917510 WBX917510 WLT917510 WVP917510 J983046 JD983046 SZ983046 ACV983046 AMR983046 AWN983046 BGJ983046 BQF983046 CAB983046 CJX983046 CTT983046 DDP983046 DNL983046 DXH983046 EHD983046 EQZ983046 FAV983046 FKR983046 FUN983046 GEJ983046 GOF983046 GYB983046 HHX983046 HRT983046 IBP983046 ILL983046 IVH983046 JFD983046 JOZ983046 JYV983046 KIR983046 KSN983046 LCJ983046 LMF983046 LWB983046 MFX983046 MPT983046 MZP983046 NJL983046 NTH983046 ODD983046 OMZ983046 OWV983046 PGR983046 PQN983046 QAJ983046 QKF983046 QUB983046 RDX983046 RNT983046 RXP983046 SHL983046 SRH983046 TBD983046 TKZ983046 TUV983046 UER983046 UON983046 UYJ983046 VIF983046 VSB983046" xr:uid="{00000000-0002-0000-0F00-000001000000}">
      <formula1>BankNames</formula1>
    </dataValidation>
    <dataValidation type="list" allowBlank="1" showInputMessage="1" showErrorMessage="1" sqref="WVM983045:WVO983045 JA11:JC11 SW11:SY11 ACS11:ACU11 AMO11:AMQ11 AWK11:AWM11 BGG11:BGI11 BQC11:BQE11 BZY11:CAA11 CJU11:CJW11 CTQ11:CTS11 DDM11:DDO11 DNI11:DNK11 DXE11:DXG11 EHA11:EHC11 EQW11:EQY11 FAS11:FAU11 FKO11:FKQ11 FUK11:FUM11 GEG11:GEI11 GOC11:GOE11 GXY11:GYA11 HHU11:HHW11 HRQ11:HRS11 IBM11:IBO11 ILI11:ILK11 IVE11:IVG11 JFA11:JFC11 JOW11:JOY11 JYS11:JYU11 KIO11:KIQ11 KSK11:KSM11 LCG11:LCI11 LMC11:LME11 LVY11:LWA11 MFU11:MFW11 MPQ11:MPS11 MZM11:MZO11 NJI11:NJK11 NTE11:NTG11 ODA11:ODC11 OMW11:OMY11 OWS11:OWU11 PGO11:PGQ11 PQK11:PQM11 QAG11:QAI11 QKC11:QKE11 QTY11:QUA11 RDU11:RDW11 RNQ11:RNS11 RXM11:RXO11 SHI11:SHK11 SRE11:SRG11 TBA11:TBC11 TKW11:TKY11 TUS11:TUU11 UEO11:UEQ11 UOK11:UOM11 UYG11:UYI11 VIC11:VIE11 VRY11:VSA11 WBU11:WBW11 WLQ11:WLS11 WVM11:WVO11 G65489:I65489 JA65489:JC65489 SW65489:SY65489 ACS65489:ACU65489 AMO65489:AMQ65489 AWK65489:AWM65489 BGG65489:BGI65489 BQC65489:BQE65489 BZY65489:CAA65489 CJU65489:CJW65489 CTQ65489:CTS65489 DDM65489:DDO65489 DNI65489:DNK65489 DXE65489:DXG65489 EHA65489:EHC65489 EQW65489:EQY65489 FAS65489:FAU65489 FKO65489:FKQ65489 FUK65489:FUM65489 GEG65489:GEI65489 GOC65489:GOE65489 GXY65489:GYA65489 HHU65489:HHW65489 HRQ65489:HRS65489 IBM65489:IBO65489 ILI65489:ILK65489 IVE65489:IVG65489 JFA65489:JFC65489 JOW65489:JOY65489 JYS65489:JYU65489 KIO65489:KIQ65489 KSK65489:KSM65489 LCG65489:LCI65489 LMC65489:LME65489 LVY65489:LWA65489 MFU65489:MFW65489 MPQ65489:MPS65489 MZM65489:MZO65489 NJI65489:NJK65489 NTE65489:NTG65489 ODA65489:ODC65489 OMW65489:OMY65489 OWS65489:OWU65489 PGO65489:PGQ65489 PQK65489:PQM65489 QAG65489:QAI65489 QKC65489:QKE65489 QTY65489:QUA65489 RDU65489:RDW65489 RNQ65489:RNS65489 RXM65489:RXO65489 SHI65489:SHK65489 SRE65489:SRG65489 TBA65489:TBC65489 TKW65489:TKY65489 TUS65489:TUU65489 UEO65489:UEQ65489 UOK65489:UOM65489 UYG65489:UYI65489 VIC65489:VIE65489 VRY65489:VSA65489 WBU65489:WBW65489 WLQ65489:WLS65489 WVM65489:WVO65489 G131025:I131025 JA131025:JC131025 SW131025:SY131025 ACS131025:ACU131025 AMO131025:AMQ131025 AWK131025:AWM131025 BGG131025:BGI131025 BQC131025:BQE131025 BZY131025:CAA131025 CJU131025:CJW131025 CTQ131025:CTS131025 DDM131025:DDO131025 DNI131025:DNK131025 DXE131025:DXG131025 EHA131025:EHC131025 EQW131025:EQY131025 FAS131025:FAU131025 FKO131025:FKQ131025 FUK131025:FUM131025 GEG131025:GEI131025 GOC131025:GOE131025 GXY131025:GYA131025 HHU131025:HHW131025 HRQ131025:HRS131025 IBM131025:IBO131025 ILI131025:ILK131025 IVE131025:IVG131025 JFA131025:JFC131025 JOW131025:JOY131025 JYS131025:JYU131025 KIO131025:KIQ131025 KSK131025:KSM131025 LCG131025:LCI131025 LMC131025:LME131025 LVY131025:LWA131025 MFU131025:MFW131025 MPQ131025:MPS131025 MZM131025:MZO131025 NJI131025:NJK131025 NTE131025:NTG131025 ODA131025:ODC131025 OMW131025:OMY131025 OWS131025:OWU131025 PGO131025:PGQ131025 PQK131025:PQM131025 QAG131025:QAI131025 QKC131025:QKE131025 QTY131025:QUA131025 RDU131025:RDW131025 RNQ131025:RNS131025 RXM131025:RXO131025 SHI131025:SHK131025 SRE131025:SRG131025 TBA131025:TBC131025 TKW131025:TKY131025 TUS131025:TUU131025 UEO131025:UEQ131025 UOK131025:UOM131025 UYG131025:UYI131025 VIC131025:VIE131025 VRY131025:VSA131025 WBU131025:WBW131025 WLQ131025:WLS131025 WVM131025:WVO131025 G196561:I196561 JA196561:JC196561 SW196561:SY196561 ACS196561:ACU196561 AMO196561:AMQ196561 AWK196561:AWM196561 BGG196561:BGI196561 BQC196561:BQE196561 BZY196561:CAA196561 CJU196561:CJW196561 CTQ196561:CTS196561 DDM196561:DDO196561 DNI196561:DNK196561 DXE196561:DXG196561 EHA196561:EHC196561 EQW196561:EQY196561 FAS196561:FAU196561 FKO196561:FKQ196561 FUK196561:FUM196561 GEG196561:GEI196561 GOC196561:GOE196561 GXY196561:GYA196561 HHU196561:HHW196561 HRQ196561:HRS196561 IBM196561:IBO196561 ILI196561:ILK196561 IVE196561:IVG196561 JFA196561:JFC196561 JOW196561:JOY196561 JYS196561:JYU196561 KIO196561:KIQ196561 KSK196561:KSM196561 LCG196561:LCI196561 LMC196561:LME196561 LVY196561:LWA196561 MFU196561:MFW196561 MPQ196561:MPS196561 MZM196561:MZO196561 NJI196561:NJK196561 NTE196561:NTG196561 ODA196561:ODC196561 OMW196561:OMY196561 OWS196561:OWU196561 PGO196561:PGQ196561 PQK196561:PQM196561 QAG196561:QAI196561 QKC196561:QKE196561 QTY196561:QUA196561 RDU196561:RDW196561 RNQ196561:RNS196561 RXM196561:RXO196561 SHI196561:SHK196561 SRE196561:SRG196561 TBA196561:TBC196561 TKW196561:TKY196561 TUS196561:TUU196561 UEO196561:UEQ196561 UOK196561:UOM196561 UYG196561:UYI196561 VIC196561:VIE196561 VRY196561:VSA196561 WBU196561:WBW196561 WLQ196561:WLS196561 WVM196561:WVO196561 G262097:I262097 JA262097:JC262097 SW262097:SY262097 ACS262097:ACU262097 AMO262097:AMQ262097 AWK262097:AWM262097 BGG262097:BGI262097 BQC262097:BQE262097 BZY262097:CAA262097 CJU262097:CJW262097 CTQ262097:CTS262097 DDM262097:DDO262097 DNI262097:DNK262097 DXE262097:DXG262097 EHA262097:EHC262097 EQW262097:EQY262097 FAS262097:FAU262097 FKO262097:FKQ262097 FUK262097:FUM262097 GEG262097:GEI262097 GOC262097:GOE262097 GXY262097:GYA262097 HHU262097:HHW262097 HRQ262097:HRS262097 IBM262097:IBO262097 ILI262097:ILK262097 IVE262097:IVG262097 JFA262097:JFC262097 JOW262097:JOY262097 JYS262097:JYU262097 KIO262097:KIQ262097 KSK262097:KSM262097 LCG262097:LCI262097 LMC262097:LME262097 LVY262097:LWA262097 MFU262097:MFW262097 MPQ262097:MPS262097 MZM262097:MZO262097 NJI262097:NJK262097 NTE262097:NTG262097 ODA262097:ODC262097 OMW262097:OMY262097 OWS262097:OWU262097 PGO262097:PGQ262097 PQK262097:PQM262097 QAG262097:QAI262097 QKC262097:QKE262097 QTY262097:QUA262097 RDU262097:RDW262097 RNQ262097:RNS262097 RXM262097:RXO262097 SHI262097:SHK262097 SRE262097:SRG262097 TBA262097:TBC262097 TKW262097:TKY262097 TUS262097:TUU262097 UEO262097:UEQ262097 UOK262097:UOM262097 UYG262097:UYI262097 VIC262097:VIE262097 VRY262097:VSA262097 WBU262097:WBW262097 WLQ262097:WLS262097 WVM262097:WVO262097 G327633:I327633 JA327633:JC327633 SW327633:SY327633 ACS327633:ACU327633 AMO327633:AMQ327633 AWK327633:AWM327633 BGG327633:BGI327633 BQC327633:BQE327633 BZY327633:CAA327633 CJU327633:CJW327633 CTQ327633:CTS327633 DDM327633:DDO327633 DNI327633:DNK327633 DXE327633:DXG327633 EHA327633:EHC327633 EQW327633:EQY327633 FAS327633:FAU327633 FKO327633:FKQ327633 FUK327633:FUM327633 GEG327633:GEI327633 GOC327633:GOE327633 GXY327633:GYA327633 HHU327633:HHW327633 HRQ327633:HRS327633 IBM327633:IBO327633 ILI327633:ILK327633 IVE327633:IVG327633 JFA327633:JFC327633 JOW327633:JOY327633 JYS327633:JYU327633 KIO327633:KIQ327633 KSK327633:KSM327633 LCG327633:LCI327633 LMC327633:LME327633 LVY327633:LWA327633 MFU327633:MFW327633 MPQ327633:MPS327633 MZM327633:MZO327633 NJI327633:NJK327633 NTE327633:NTG327633 ODA327633:ODC327633 OMW327633:OMY327633 OWS327633:OWU327633 PGO327633:PGQ327633 PQK327633:PQM327633 QAG327633:QAI327633 QKC327633:QKE327633 QTY327633:QUA327633 RDU327633:RDW327633 RNQ327633:RNS327633 RXM327633:RXO327633 SHI327633:SHK327633 SRE327633:SRG327633 TBA327633:TBC327633 TKW327633:TKY327633 TUS327633:TUU327633 UEO327633:UEQ327633 UOK327633:UOM327633 UYG327633:UYI327633 VIC327633:VIE327633 VRY327633:VSA327633 WBU327633:WBW327633 WLQ327633:WLS327633 WVM327633:WVO327633 G393169:I393169 JA393169:JC393169 SW393169:SY393169 ACS393169:ACU393169 AMO393169:AMQ393169 AWK393169:AWM393169 BGG393169:BGI393169 BQC393169:BQE393169 BZY393169:CAA393169 CJU393169:CJW393169 CTQ393169:CTS393169 DDM393169:DDO393169 DNI393169:DNK393169 DXE393169:DXG393169 EHA393169:EHC393169 EQW393169:EQY393169 FAS393169:FAU393169 FKO393169:FKQ393169 FUK393169:FUM393169 GEG393169:GEI393169 GOC393169:GOE393169 GXY393169:GYA393169 HHU393169:HHW393169 HRQ393169:HRS393169 IBM393169:IBO393169 ILI393169:ILK393169 IVE393169:IVG393169 JFA393169:JFC393169 JOW393169:JOY393169 JYS393169:JYU393169 KIO393169:KIQ393169 KSK393169:KSM393169 LCG393169:LCI393169 LMC393169:LME393169 LVY393169:LWA393169 MFU393169:MFW393169 MPQ393169:MPS393169 MZM393169:MZO393169 NJI393169:NJK393169 NTE393169:NTG393169 ODA393169:ODC393169 OMW393169:OMY393169 OWS393169:OWU393169 PGO393169:PGQ393169 PQK393169:PQM393169 QAG393169:QAI393169 QKC393169:QKE393169 QTY393169:QUA393169 RDU393169:RDW393169 RNQ393169:RNS393169 RXM393169:RXO393169 SHI393169:SHK393169 SRE393169:SRG393169 TBA393169:TBC393169 TKW393169:TKY393169 TUS393169:TUU393169 UEO393169:UEQ393169 UOK393169:UOM393169 UYG393169:UYI393169 VIC393169:VIE393169 VRY393169:VSA393169 WBU393169:WBW393169 WLQ393169:WLS393169 WVM393169:WVO393169 G458705:I458705 JA458705:JC458705 SW458705:SY458705 ACS458705:ACU458705 AMO458705:AMQ458705 AWK458705:AWM458705 BGG458705:BGI458705 BQC458705:BQE458705 BZY458705:CAA458705 CJU458705:CJW458705 CTQ458705:CTS458705 DDM458705:DDO458705 DNI458705:DNK458705 DXE458705:DXG458705 EHA458705:EHC458705 EQW458705:EQY458705 FAS458705:FAU458705 FKO458705:FKQ458705 FUK458705:FUM458705 GEG458705:GEI458705 GOC458705:GOE458705 GXY458705:GYA458705 HHU458705:HHW458705 HRQ458705:HRS458705 IBM458705:IBO458705 ILI458705:ILK458705 IVE458705:IVG458705 JFA458705:JFC458705 JOW458705:JOY458705 JYS458705:JYU458705 KIO458705:KIQ458705 KSK458705:KSM458705 LCG458705:LCI458705 LMC458705:LME458705 LVY458705:LWA458705 MFU458705:MFW458705 MPQ458705:MPS458705 MZM458705:MZO458705 NJI458705:NJK458705 NTE458705:NTG458705 ODA458705:ODC458705 OMW458705:OMY458705 OWS458705:OWU458705 PGO458705:PGQ458705 PQK458705:PQM458705 QAG458705:QAI458705 QKC458705:QKE458705 QTY458705:QUA458705 RDU458705:RDW458705 RNQ458705:RNS458705 RXM458705:RXO458705 SHI458705:SHK458705 SRE458705:SRG458705 TBA458705:TBC458705 TKW458705:TKY458705 TUS458705:TUU458705 UEO458705:UEQ458705 UOK458705:UOM458705 UYG458705:UYI458705 VIC458705:VIE458705 VRY458705:VSA458705 WBU458705:WBW458705 WLQ458705:WLS458705 WVM458705:WVO458705 G524241:I524241 JA524241:JC524241 SW524241:SY524241 ACS524241:ACU524241 AMO524241:AMQ524241 AWK524241:AWM524241 BGG524241:BGI524241 BQC524241:BQE524241 BZY524241:CAA524241 CJU524241:CJW524241 CTQ524241:CTS524241 DDM524241:DDO524241 DNI524241:DNK524241 DXE524241:DXG524241 EHA524241:EHC524241 EQW524241:EQY524241 FAS524241:FAU524241 FKO524241:FKQ524241 FUK524241:FUM524241 GEG524241:GEI524241 GOC524241:GOE524241 GXY524241:GYA524241 HHU524241:HHW524241 HRQ524241:HRS524241 IBM524241:IBO524241 ILI524241:ILK524241 IVE524241:IVG524241 JFA524241:JFC524241 JOW524241:JOY524241 JYS524241:JYU524241 KIO524241:KIQ524241 KSK524241:KSM524241 LCG524241:LCI524241 LMC524241:LME524241 LVY524241:LWA524241 MFU524241:MFW524241 MPQ524241:MPS524241 MZM524241:MZO524241 NJI524241:NJK524241 NTE524241:NTG524241 ODA524241:ODC524241 OMW524241:OMY524241 OWS524241:OWU524241 PGO524241:PGQ524241 PQK524241:PQM524241 QAG524241:QAI524241 QKC524241:QKE524241 QTY524241:QUA524241 RDU524241:RDW524241 RNQ524241:RNS524241 RXM524241:RXO524241 SHI524241:SHK524241 SRE524241:SRG524241 TBA524241:TBC524241 TKW524241:TKY524241 TUS524241:TUU524241 UEO524241:UEQ524241 UOK524241:UOM524241 UYG524241:UYI524241 VIC524241:VIE524241 VRY524241:VSA524241 WBU524241:WBW524241 WLQ524241:WLS524241 WVM524241:WVO524241 G589777:I589777 JA589777:JC589777 SW589777:SY589777 ACS589777:ACU589777 AMO589777:AMQ589777 AWK589777:AWM589777 BGG589777:BGI589777 BQC589777:BQE589777 BZY589777:CAA589777 CJU589777:CJW589777 CTQ589777:CTS589777 DDM589777:DDO589777 DNI589777:DNK589777 DXE589777:DXG589777 EHA589777:EHC589777 EQW589777:EQY589777 FAS589777:FAU589777 FKO589777:FKQ589777 FUK589777:FUM589777 GEG589777:GEI589777 GOC589777:GOE589777 GXY589777:GYA589777 HHU589777:HHW589777 HRQ589777:HRS589777 IBM589777:IBO589777 ILI589777:ILK589777 IVE589777:IVG589777 JFA589777:JFC589777 JOW589777:JOY589777 JYS589777:JYU589777 KIO589777:KIQ589777 KSK589777:KSM589777 LCG589777:LCI589777 LMC589777:LME589777 LVY589777:LWA589777 MFU589777:MFW589777 MPQ589777:MPS589777 MZM589777:MZO589777 NJI589777:NJK589777 NTE589777:NTG589777 ODA589777:ODC589777 OMW589777:OMY589777 OWS589777:OWU589777 PGO589777:PGQ589777 PQK589777:PQM589777 QAG589777:QAI589777 QKC589777:QKE589777 QTY589777:QUA589777 RDU589777:RDW589777 RNQ589777:RNS589777 RXM589777:RXO589777 SHI589777:SHK589777 SRE589777:SRG589777 TBA589777:TBC589777 TKW589777:TKY589777 TUS589777:TUU589777 UEO589777:UEQ589777 UOK589777:UOM589777 UYG589777:UYI589777 VIC589777:VIE589777 VRY589777:VSA589777 WBU589777:WBW589777 WLQ589777:WLS589777 WVM589777:WVO589777 G655313:I655313 JA655313:JC655313 SW655313:SY655313 ACS655313:ACU655313 AMO655313:AMQ655313 AWK655313:AWM655313 BGG655313:BGI655313 BQC655313:BQE655313 BZY655313:CAA655313 CJU655313:CJW655313 CTQ655313:CTS655313 DDM655313:DDO655313 DNI655313:DNK655313 DXE655313:DXG655313 EHA655313:EHC655313 EQW655313:EQY655313 FAS655313:FAU655313 FKO655313:FKQ655313 FUK655313:FUM655313 GEG655313:GEI655313 GOC655313:GOE655313 GXY655313:GYA655313 HHU655313:HHW655313 HRQ655313:HRS655313 IBM655313:IBO655313 ILI655313:ILK655313 IVE655313:IVG655313 JFA655313:JFC655313 JOW655313:JOY655313 JYS655313:JYU655313 KIO655313:KIQ655313 KSK655313:KSM655313 LCG655313:LCI655313 LMC655313:LME655313 LVY655313:LWA655313 MFU655313:MFW655313 MPQ655313:MPS655313 MZM655313:MZO655313 NJI655313:NJK655313 NTE655313:NTG655313 ODA655313:ODC655313 OMW655313:OMY655313 OWS655313:OWU655313 PGO655313:PGQ655313 PQK655313:PQM655313 QAG655313:QAI655313 QKC655313:QKE655313 QTY655313:QUA655313 RDU655313:RDW655313 RNQ655313:RNS655313 RXM655313:RXO655313 SHI655313:SHK655313 SRE655313:SRG655313 TBA655313:TBC655313 TKW655313:TKY655313 TUS655313:TUU655313 UEO655313:UEQ655313 UOK655313:UOM655313 UYG655313:UYI655313 VIC655313:VIE655313 VRY655313:VSA655313 WBU655313:WBW655313 WLQ655313:WLS655313 WVM655313:WVO655313 G720849:I720849 JA720849:JC720849 SW720849:SY720849 ACS720849:ACU720849 AMO720849:AMQ720849 AWK720849:AWM720849 BGG720849:BGI720849 BQC720849:BQE720849 BZY720849:CAA720849 CJU720849:CJW720849 CTQ720849:CTS720849 DDM720849:DDO720849 DNI720849:DNK720849 DXE720849:DXG720849 EHA720849:EHC720849 EQW720849:EQY720849 FAS720849:FAU720849 FKO720849:FKQ720849 FUK720849:FUM720849 GEG720849:GEI720849 GOC720849:GOE720849 GXY720849:GYA720849 HHU720849:HHW720849 HRQ720849:HRS720849 IBM720849:IBO720849 ILI720849:ILK720849 IVE720849:IVG720849 JFA720849:JFC720849 JOW720849:JOY720849 JYS720849:JYU720849 KIO720849:KIQ720849 KSK720849:KSM720849 LCG720849:LCI720849 LMC720849:LME720849 LVY720849:LWA720849 MFU720849:MFW720849 MPQ720849:MPS720849 MZM720849:MZO720849 NJI720849:NJK720849 NTE720849:NTG720849 ODA720849:ODC720849 OMW720849:OMY720849 OWS720849:OWU720849 PGO720849:PGQ720849 PQK720849:PQM720849 QAG720849:QAI720849 QKC720849:QKE720849 QTY720849:QUA720849 RDU720849:RDW720849 RNQ720849:RNS720849 RXM720849:RXO720849 SHI720849:SHK720849 SRE720849:SRG720849 TBA720849:TBC720849 TKW720849:TKY720849 TUS720849:TUU720849 UEO720849:UEQ720849 UOK720849:UOM720849 UYG720849:UYI720849 VIC720849:VIE720849 VRY720849:VSA720849 WBU720849:WBW720849 WLQ720849:WLS720849 WVM720849:WVO720849 G786385:I786385 JA786385:JC786385 SW786385:SY786385 ACS786385:ACU786385 AMO786385:AMQ786385 AWK786385:AWM786385 BGG786385:BGI786385 BQC786385:BQE786385 BZY786385:CAA786385 CJU786385:CJW786385 CTQ786385:CTS786385 DDM786385:DDO786385 DNI786385:DNK786385 DXE786385:DXG786385 EHA786385:EHC786385 EQW786385:EQY786385 FAS786385:FAU786385 FKO786385:FKQ786385 FUK786385:FUM786385 GEG786385:GEI786385 GOC786385:GOE786385 GXY786385:GYA786385 HHU786385:HHW786385 HRQ786385:HRS786385 IBM786385:IBO786385 ILI786385:ILK786385 IVE786385:IVG786385 JFA786385:JFC786385 JOW786385:JOY786385 JYS786385:JYU786385 KIO786385:KIQ786385 KSK786385:KSM786385 LCG786385:LCI786385 LMC786385:LME786385 LVY786385:LWA786385 MFU786385:MFW786385 MPQ786385:MPS786385 MZM786385:MZO786385 NJI786385:NJK786385 NTE786385:NTG786385 ODA786385:ODC786385 OMW786385:OMY786385 OWS786385:OWU786385 PGO786385:PGQ786385 PQK786385:PQM786385 QAG786385:QAI786385 QKC786385:QKE786385 QTY786385:QUA786385 RDU786385:RDW786385 RNQ786385:RNS786385 RXM786385:RXO786385 SHI786385:SHK786385 SRE786385:SRG786385 TBA786385:TBC786385 TKW786385:TKY786385 TUS786385:TUU786385 UEO786385:UEQ786385 UOK786385:UOM786385 UYG786385:UYI786385 VIC786385:VIE786385 VRY786385:VSA786385 WBU786385:WBW786385 WLQ786385:WLS786385 WVM786385:WVO786385 G851921:I851921 JA851921:JC851921 SW851921:SY851921 ACS851921:ACU851921 AMO851921:AMQ851921 AWK851921:AWM851921 BGG851921:BGI851921 BQC851921:BQE851921 BZY851921:CAA851921 CJU851921:CJW851921 CTQ851921:CTS851921 DDM851921:DDO851921 DNI851921:DNK851921 DXE851921:DXG851921 EHA851921:EHC851921 EQW851921:EQY851921 FAS851921:FAU851921 FKO851921:FKQ851921 FUK851921:FUM851921 GEG851921:GEI851921 GOC851921:GOE851921 GXY851921:GYA851921 HHU851921:HHW851921 HRQ851921:HRS851921 IBM851921:IBO851921 ILI851921:ILK851921 IVE851921:IVG851921 JFA851921:JFC851921 JOW851921:JOY851921 JYS851921:JYU851921 KIO851921:KIQ851921 KSK851921:KSM851921 LCG851921:LCI851921 LMC851921:LME851921 LVY851921:LWA851921 MFU851921:MFW851921 MPQ851921:MPS851921 MZM851921:MZO851921 NJI851921:NJK851921 NTE851921:NTG851921 ODA851921:ODC851921 OMW851921:OMY851921 OWS851921:OWU851921 PGO851921:PGQ851921 PQK851921:PQM851921 QAG851921:QAI851921 QKC851921:QKE851921 QTY851921:QUA851921 RDU851921:RDW851921 RNQ851921:RNS851921 RXM851921:RXO851921 SHI851921:SHK851921 SRE851921:SRG851921 TBA851921:TBC851921 TKW851921:TKY851921 TUS851921:TUU851921 UEO851921:UEQ851921 UOK851921:UOM851921 UYG851921:UYI851921 VIC851921:VIE851921 VRY851921:VSA851921 WBU851921:WBW851921 WLQ851921:WLS851921 WVM851921:WVO851921 G917457:I917457 JA917457:JC917457 SW917457:SY917457 ACS917457:ACU917457 AMO917457:AMQ917457 AWK917457:AWM917457 BGG917457:BGI917457 BQC917457:BQE917457 BZY917457:CAA917457 CJU917457:CJW917457 CTQ917457:CTS917457 DDM917457:DDO917457 DNI917457:DNK917457 DXE917457:DXG917457 EHA917457:EHC917457 EQW917457:EQY917457 FAS917457:FAU917457 FKO917457:FKQ917457 FUK917457:FUM917457 GEG917457:GEI917457 GOC917457:GOE917457 GXY917457:GYA917457 HHU917457:HHW917457 HRQ917457:HRS917457 IBM917457:IBO917457 ILI917457:ILK917457 IVE917457:IVG917457 JFA917457:JFC917457 JOW917457:JOY917457 JYS917457:JYU917457 KIO917457:KIQ917457 KSK917457:KSM917457 LCG917457:LCI917457 LMC917457:LME917457 LVY917457:LWA917457 MFU917457:MFW917457 MPQ917457:MPS917457 MZM917457:MZO917457 NJI917457:NJK917457 NTE917457:NTG917457 ODA917457:ODC917457 OMW917457:OMY917457 OWS917457:OWU917457 PGO917457:PGQ917457 PQK917457:PQM917457 QAG917457:QAI917457 QKC917457:QKE917457 QTY917457:QUA917457 RDU917457:RDW917457 RNQ917457:RNS917457 RXM917457:RXO917457 SHI917457:SHK917457 SRE917457:SRG917457 TBA917457:TBC917457 TKW917457:TKY917457 TUS917457:TUU917457 UEO917457:UEQ917457 UOK917457:UOM917457 UYG917457:UYI917457 VIC917457:VIE917457 VRY917457:VSA917457 WBU917457:WBW917457 WLQ917457:WLS917457 WVM917457:WVO917457 G982993:I982993 JA982993:JC982993 SW982993:SY982993 ACS982993:ACU982993 AMO982993:AMQ982993 AWK982993:AWM982993 BGG982993:BGI982993 BQC982993:BQE982993 BZY982993:CAA982993 CJU982993:CJW982993 CTQ982993:CTS982993 DDM982993:DDO982993 DNI982993:DNK982993 DXE982993:DXG982993 EHA982993:EHC982993 EQW982993:EQY982993 FAS982993:FAU982993 FKO982993:FKQ982993 FUK982993:FUM982993 GEG982993:GEI982993 GOC982993:GOE982993 GXY982993:GYA982993 HHU982993:HHW982993 HRQ982993:HRS982993 IBM982993:IBO982993 ILI982993:ILK982993 IVE982993:IVG982993 JFA982993:JFC982993 JOW982993:JOY982993 JYS982993:JYU982993 KIO982993:KIQ982993 KSK982993:KSM982993 LCG982993:LCI982993 LMC982993:LME982993 LVY982993:LWA982993 MFU982993:MFW982993 MPQ982993:MPS982993 MZM982993:MZO982993 NJI982993:NJK982993 NTE982993:NTG982993 ODA982993:ODC982993 OMW982993:OMY982993 OWS982993:OWU982993 PGO982993:PGQ982993 PQK982993:PQM982993 QAG982993:QAI982993 QKC982993:QKE982993 QTY982993:QUA982993 RDU982993:RDW982993 RNQ982993:RNS982993 RXM982993:RXO982993 SHI982993:SHK982993 SRE982993:SRG982993 TBA982993:TBC982993 TKW982993:TKY982993 TUS982993:TUU982993 UEO982993:UEQ982993 UOK982993:UOM982993 UYG982993:UYI982993 VIC982993:VIE982993 VRY982993:VSA982993 WBU982993:WBW982993 WLQ982993:WLS982993 WVM982993:WVO982993 WLQ983045:WLS983045 JA29:JC29 SW29:SY29 ACS29:ACU29 AMO29:AMQ29 AWK29:AWM29 BGG29:BGI29 BQC29:BQE29 BZY29:CAA29 CJU29:CJW29 CTQ29:CTS29 DDM29:DDO29 DNI29:DNK29 DXE29:DXG29 EHA29:EHC29 EQW29:EQY29 FAS29:FAU29 FKO29:FKQ29 FUK29:FUM29 GEG29:GEI29 GOC29:GOE29 GXY29:GYA29 HHU29:HHW29 HRQ29:HRS29 IBM29:IBO29 ILI29:ILK29 IVE29:IVG29 JFA29:JFC29 JOW29:JOY29 JYS29:JYU29 KIO29:KIQ29 KSK29:KSM29 LCG29:LCI29 LMC29:LME29 LVY29:LWA29 MFU29:MFW29 MPQ29:MPS29 MZM29:MZO29 NJI29:NJK29 NTE29:NTG29 ODA29:ODC29 OMW29:OMY29 OWS29:OWU29 PGO29:PGQ29 PQK29:PQM29 QAG29:QAI29 QKC29:QKE29 QTY29:QUA29 RDU29:RDW29 RNQ29:RNS29 RXM29:RXO29 SHI29:SHK29 SRE29:SRG29 TBA29:TBC29 TKW29:TKY29 TUS29:TUU29 UEO29:UEQ29 UOK29:UOM29 UYG29:UYI29 VIC29:VIE29 VRY29:VSA29 WBU29:WBW29 WLQ29:WLS29 WVM29:WVO29 G65502:I65502 JA65502:JC65502 SW65502:SY65502 ACS65502:ACU65502 AMO65502:AMQ65502 AWK65502:AWM65502 BGG65502:BGI65502 BQC65502:BQE65502 BZY65502:CAA65502 CJU65502:CJW65502 CTQ65502:CTS65502 DDM65502:DDO65502 DNI65502:DNK65502 DXE65502:DXG65502 EHA65502:EHC65502 EQW65502:EQY65502 FAS65502:FAU65502 FKO65502:FKQ65502 FUK65502:FUM65502 GEG65502:GEI65502 GOC65502:GOE65502 GXY65502:GYA65502 HHU65502:HHW65502 HRQ65502:HRS65502 IBM65502:IBO65502 ILI65502:ILK65502 IVE65502:IVG65502 JFA65502:JFC65502 JOW65502:JOY65502 JYS65502:JYU65502 KIO65502:KIQ65502 KSK65502:KSM65502 LCG65502:LCI65502 LMC65502:LME65502 LVY65502:LWA65502 MFU65502:MFW65502 MPQ65502:MPS65502 MZM65502:MZO65502 NJI65502:NJK65502 NTE65502:NTG65502 ODA65502:ODC65502 OMW65502:OMY65502 OWS65502:OWU65502 PGO65502:PGQ65502 PQK65502:PQM65502 QAG65502:QAI65502 QKC65502:QKE65502 QTY65502:QUA65502 RDU65502:RDW65502 RNQ65502:RNS65502 RXM65502:RXO65502 SHI65502:SHK65502 SRE65502:SRG65502 TBA65502:TBC65502 TKW65502:TKY65502 TUS65502:TUU65502 UEO65502:UEQ65502 UOK65502:UOM65502 UYG65502:UYI65502 VIC65502:VIE65502 VRY65502:VSA65502 WBU65502:WBW65502 WLQ65502:WLS65502 WVM65502:WVO65502 G131038:I131038 JA131038:JC131038 SW131038:SY131038 ACS131038:ACU131038 AMO131038:AMQ131038 AWK131038:AWM131038 BGG131038:BGI131038 BQC131038:BQE131038 BZY131038:CAA131038 CJU131038:CJW131038 CTQ131038:CTS131038 DDM131038:DDO131038 DNI131038:DNK131038 DXE131038:DXG131038 EHA131038:EHC131038 EQW131038:EQY131038 FAS131038:FAU131038 FKO131038:FKQ131038 FUK131038:FUM131038 GEG131038:GEI131038 GOC131038:GOE131038 GXY131038:GYA131038 HHU131038:HHW131038 HRQ131038:HRS131038 IBM131038:IBO131038 ILI131038:ILK131038 IVE131038:IVG131038 JFA131038:JFC131038 JOW131038:JOY131038 JYS131038:JYU131038 KIO131038:KIQ131038 KSK131038:KSM131038 LCG131038:LCI131038 LMC131038:LME131038 LVY131038:LWA131038 MFU131038:MFW131038 MPQ131038:MPS131038 MZM131038:MZO131038 NJI131038:NJK131038 NTE131038:NTG131038 ODA131038:ODC131038 OMW131038:OMY131038 OWS131038:OWU131038 PGO131038:PGQ131038 PQK131038:PQM131038 QAG131038:QAI131038 QKC131038:QKE131038 QTY131038:QUA131038 RDU131038:RDW131038 RNQ131038:RNS131038 RXM131038:RXO131038 SHI131038:SHK131038 SRE131038:SRG131038 TBA131038:TBC131038 TKW131038:TKY131038 TUS131038:TUU131038 UEO131038:UEQ131038 UOK131038:UOM131038 UYG131038:UYI131038 VIC131038:VIE131038 VRY131038:VSA131038 WBU131038:WBW131038 WLQ131038:WLS131038 WVM131038:WVO131038 G196574:I196574 JA196574:JC196574 SW196574:SY196574 ACS196574:ACU196574 AMO196574:AMQ196574 AWK196574:AWM196574 BGG196574:BGI196574 BQC196574:BQE196574 BZY196574:CAA196574 CJU196574:CJW196574 CTQ196574:CTS196574 DDM196574:DDO196574 DNI196574:DNK196574 DXE196574:DXG196574 EHA196574:EHC196574 EQW196574:EQY196574 FAS196574:FAU196574 FKO196574:FKQ196574 FUK196574:FUM196574 GEG196574:GEI196574 GOC196574:GOE196574 GXY196574:GYA196574 HHU196574:HHW196574 HRQ196574:HRS196574 IBM196574:IBO196574 ILI196574:ILK196574 IVE196574:IVG196574 JFA196574:JFC196574 JOW196574:JOY196574 JYS196574:JYU196574 KIO196574:KIQ196574 KSK196574:KSM196574 LCG196574:LCI196574 LMC196574:LME196574 LVY196574:LWA196574 MFU196574:MFW196574 MPQ196574:MPS196574 MZM196574:MZO196574 NJI196574:NJK196574 NTE196574:NTG196574 ODA196574:ODC196574 OMW196574:OMY196574 OWS196574:OWU196574 PGO196574:PGQ196574 PQK196574:PQM196574 QAG196574:QAI196574 QKC196574:QKE196574 QTY196574:QUA196574 RDU196574:RDW196574 RNQ196574:RNS196574 RXM196574:RXO196574 SHI196574:SHK196574 SRE196574:SRG196574 TBA196574:TBC196574 TKW196574:TKY196574 TUS196574:TUU196574 UEO196574:UEQ196574 UOK196574:UOM196574 UYG196574:UYI196574 VIC196574:VIE196574 VRY196574:VSA196574 WBU196574:WBW196574 WLQ196574:WLS196574 WVM196574:WVO196574 G262110:I262110 JA262110:JC262110 SW262110:SY262110 ACS262110:ACU262110 AMO262110:AMQ262110 AWK262110:AWM262110 BGG262110:BGI262110 BQC262110:BQE262110 BZY262110:CAA262110 CJU262110:CJW262110 CTQ262110:CTS262110 DDM262110:DDO262110 DNI262110:DNK262110 DXE262110:DXG262110 EHA262110:EHC262110 EQW262110:EQY262110 FAS262110:FAU262110 FKO262110:FKQ262110 FUK262110:FUM262110 GEG262110:GEI262110 GOC262110:GOE262110 GXY262110:GYA262110 HHU262110:HHW262110 HRQ262110:HRS262110 IBM262110:IBO262110 ILI262110:ILK262110 IVE262110:IVG262110 JFA262110:JFC262110 JOW262110:JOY262110 JYS262110:JYU262110 KIO262110:KIQ262110 KSK262110:KSM262110 LCG262110:LCI262110 LMC262110:LME262110 LVY262110:LWA262110 MFU262110:MFW262110 MPQ262110:MPS262110 MZM262110:MZO262110 NJI262110:NJK262110 NTE262110:NTG262110 ODA262110:ODC262110 OMW262110:OMY262110 OWS262110:OWU262110 PGO262110:PGQ262110 PQK262110:PQM262110 QAG262110:QAI262110 QKC262110:QKE262110 QTY262110:QUA262110 RDU262110:RDW262110 RNQ262110:RNS262110 RXM262110:RXO262110 SHI262110:SHK262110 SRE262110:SRG262110 TBA262110:TBC262110 TKW262110:TKY262110 TUS262110:TUU262110 UEO262110:UEQ262110 UOK262110:UOM262110 UYG262110:UYI262110 VIC262110:VIE262110 VRY262110:VSA262110 WBU262110:WBW262110 WLQ262110:WLS262110 WVM262110:WVO262110 G327646:I327646 JA327646:JC327646 SW327646:SY327646 ACS327646:ACU327646 AMO327646:AMQ327646 AWK327646:AWM327646 BGG327646:BGI327646 BQC327646:BQE327646 BZY327646:CAA327646 CJU327646:CJW327646 CTQ327646:CTS327646 DDM327646:DDO327646 DNI327646:DNK327646 DXE327646:DXG327646 EHA327646:EHC327646 EQW327646:EQY327646 FAS327646:FAU327646 FKO327646:FKQ327646 FUK327646:FUM327646 GEG327646:GEI327646 GOC327646:GOE327646 GXY327646:GYA327646 HHU327646:HHW327646 HRQ327646:HRS327646 IBM327646:IBO327646 ILI327646:ILK327646 IVE327646:IVG327646 JFA327646:JFC327646 JOW327646:JOY327646 JYS327646:JYU327646 KIO327646:KIQ327646 KSK327646:KSM327646 LCG327646:LCI327646 LMC327646:LME327646 LVY327646:LWA327646 MFU327646:MFW327646 MPQ327646:MPS327646 MZM327646:MZO327646 NJI327646:NJK327646 NTE327646:NTG327646 ODA327646:ODC327646 OMW327646:OMY327646 OWS327646:OWU327646 PGO327646:PGQ327646 PQK327646:PQM327646 QAG327646:QAI327646 QKC327646:QKE327646 QTY327646:QUA327646 RDU327646:RDW327646 RNQ327646:RNS327646 RXM327646:RXO327646 SHI327646:SHK327646 SRE327646:SRG327646 TBA327646:TBC327646 TKW327646:TKY327646 TUS327646:TUU327646 UEO327646:UEQ327646 UOK327646:UOM327646 UYG327646:UYI327646 VIC327646:VIE327646 VRY327646:VSA327646 WBU327646:WBW327646 WLQ327646:WLS327646 WVM327646:WVO327646 G393182:I393182 JA393182:JC393182 SW393182:SY393182 ACS393182:ACU393182 AMO393182:AMQ393182 AWK393182:AWM393182 BGG393182:BGI393182 BQC393182:BQE393182 BZY393182:CAA393182 CJU393182:CJW393182 CTQ393182:CTS393182 DDM393182:DDO393182 DNI393182:DNK393182 DXE393182:DXG393182 EHA393182:EHC393182 EQW393182:EQY393182 FAS393182:FAU393182 FKO393182:FKQ393182 FUK393182:FUM393182 GEG393182:GEI393182 GOC393182:GOE393182 GXY393182:GYA393182 HHU393182:HHW393182 HRQ393182:HRS393182 IBM393182:IBO393182 ILI393182:ILK393182 IVE393182:IVG393182 JFA393182:JFC393182 JOW393182:JOY393182 JYS393182:JYU393182 KIO393182:KIQ393182 KSK393182:KSM393182 LCG393182:LCI393182 LMC393182:LME393182 LVY393182:LWA393182 MFU393182:MFW393182 MPQ393182:MPS393182 MZM393182:MZO393182 NJI393182:NJK393182 NTE393182:NTG393182 ODA393182:ODC393182 OMW393182:OMY393182 OWS393182:OWU393182 PGO393182:PGQ393182 PQK393182:PQM393182 QAG393182:QAI393182 QKC393182:QKE393182 QTY393182:QUA393182 RDU393182:RDW393182 RNQ393182:RNS393182 RXM393182:RXO393182 SHI393182:SHK393182 SRE393182:SRG393182 TBA393182:TBC393182 TKW393182:TKY393182 TUS393182:TUU393182 UEO393182:UEQ393182 UOK393182:UOM393182 UYG393182:UYI393182 VIC393182:VIE393182 VRY393182:VSA393182 WBU393182:WBW393182 WLQ393182:WLS393182 WVM393182:WVO393182 G458718:I458718 JA458718:JC458718 SW458718:SY458718 ACS458718:ACU458718 AMO458718:AMQ458718 AWK458718:AWM458718 BGG458718:BGI458718 BQC458718:BQE458718 BZY458718:CAA458718 CJU458718:CJW458718 CTQ458718:CTS458718 DDM458718:DDO458718 DNI458718:DNK458718 DXE458718:DXG458718 EHA458718:EHC458718 EQW458718:EQY458718 FAS458718:FAU458718 FKO458718:FKQ458718 FUK458718:FUM458718 GEG458718:GEI458718 GOC458718:GOE458718 GXY458718:GYA458718 HHU458718:HHW458718 HRQ458718:HRS458718 IBM458718:IBO458718 ILI458718:ILK458718 IVE458718:IVG458718 JFA458718:JFC458718 JOW458718:JOY458718 JYS458718:JYU458718 KIO458718:KIQ458718 KSK458718:KSM458718 LCG458718:LCI458718 LMC458718:LME458718 LVY458718:LWA458718 MFU458718:MFW458718 MPQ458718:MPS458718 MZM458718:MZO458718 NJI458718:NJK458718 NTE458718:NTG458718 ODA458718:ODC458718 OMW458718:OMY458718 OWS458718:OWU458718 PGO458718:PGQ458718 PQK458718:PQM458718 QAG458718:QAI458718 QKC458718:QKE458718 QTY458718:QUA458718 RDU458718:RDW458718 RNQ458718:RNS458718 RXM458718:RXO458718 SHI458718:SHK458718 SRE458718:SRG458718 TBA458718:TBC458718 TKW458718:TKY458718 TUS458718:TUU458718 UEO458718:UEQ458718 UOK458718:UOM458718 UYG458718:UYI458718 VIC458718:VIE458718 VRY458718:VSA458718 WBU458718:WBW458718 WLQ458718:WLS458718 WVM458718:WVO458718 G524254:I524254 JA524254:JC524254 SW524254:SY524254 ACS524254:ACU524254 AMO524254:AMQ524254 AWK524254:AWM524254 BGG524254:BGI524254 BQC524254:BQE524254 BZY524254:CAA524254 CJU524254:CJW524254 CTQ524254:CTS524254 DDM524254:DDO524254 DNI524254:DNK524254 DXE524254:DXG524254 EHA524254:EHC524254 EQW524254:EQY524254 FAS524254:FAU524254 FKO524254:FKQ524254 FUK524254:FUM524254 GEG524254:GEI524254 GOC524254:GOE524254 GXY524254:GYA524254 HHU524254:HHW524254 HRQ524254:HRS524254 IBM524254:IBO524254 ILI524254:ILK524254 IVE524254:IVG524254 JFA524254:JFC524254 JOW524254:JOY524254 JYS524254:JYU524254 KIO524254:KIQ524254 KSK524254:KSM524254 LCG524254:LCI524254 LMC524254:LME524254 LVY524254:LWA524254 MFU524254:MFW524254 MPQ524254:MPS524254 MZM524254:MZO524254 NJI524254:NJK524254 NTE524254:NTG524254 ODA524254:ODC524254 OMW524254:OMY524254 OWS524254:OWU524254 PGO524254:PGQ524254 PQK524254:PQM524254 QAG524254:QAI524254 QKC524254:QKE524254 QTY524254:QUA524254 RDU524254:RDW524254 RNQ524254:RNS524254 RXM524254:RXO524254 SHI524254:SHK524254 SRE524254:SRG524254 TBA524254:TBC524254 TKW524254:TKY524254 TUS524254:TUU524254 UEO524254:UEQ524254 UOK524254:UOM524254 UYG524254:UYI524254 VIC524254:VIE524254 VRY524254:VSA524254 WBU524254:WBW524254 WLQ524254:WLS524254 WVM524254:WVO524254 G589790:I589790 JA589790:JC589790 SW589790:SY589790 ACS589790:ACU589790 AMO589790:AMQ589790 AWK589790:AWM589790 BGG589790:BGI589790 BQC589790:BQE589790 BZY589790:CAA589790 CJU589790:CJW589790 CTQ589790:CTS589790 DDM589790:DDO589790 DNI589790:DNK589790 DXE589790:DXG589790 EHA589790:EHC589790 EQW589790:EQY589790 FAS589790:FAU589790 FKO589790:FKQ589790 FUK589790:FUM589790 GEG589790:GEI589790 GOC589790:GOE589790 GXY589790:GYA589790 HHU589790:HHW589790 HRQ589790:HRS589790 IBM589790:IBO589790 ILI589790:ILK589790 IVE589790:IVG589790 JFA589790:JFC589790 JOW589790:JOY589790 JYS589790:JYU589790 KIO589790:KIQ589790 KSK589790:KSM589790 LCG589790:LCI589790 LMC589790:LME589790 LVY589790:LWA589790 MFU589790:MFW589790 MPQ589790:MPS589790 MZM589790:MZO589790 NJI589790:NJK589790 NTE589790:NTG589790 ODA589790:ODC589790 OMW589790:OMY589790 OWS589790:OWU589790 PGO589790:PGQ589790 PQK589790:PQM589790 QAG589790:QAI589790 QKC589790:QKE589790 QTY589790:QUA589790 RDU589790:RDW589790 RNQ589790:RNS589790 RXM589790:RXO589790 SHI589790:SHK589790 SRE589790:SRG589790 TBA589790:TBC589790 TKW589790:TKY589790 TUS589790:TUU589790 UEO589790:UEQ589790 UOK589790:UOM589790 UYG589790:UYI589790 VIC589790:VIE589790 VRY589790:VSA589790 WBU589790:WBW589790 WLQ589790:WLS589790 WVM589790:WVO589790 G655326:I655326 JA655326:JC655326 SW655326:SY655326 ACS655326:ACU655326 AMO655326:AMQ655326 AWK655326:AWM655326 BGG655326:BGI655326 BQC655326:BQE655326 BZY655326:CAA655326 CJU655326:CJW655326 CTQ655326:CTS655326 DDM655326:DDO655326 DNI655326:DNK655326 DXE655326:DXG655326 EHA655326:EHC655326 EQW655326:EQY655326 FAS655326:FAU655326 FKO655326:FKQ655326 FUK655326:FUM655326 GEG655326:GEI655326 GOC655326:GOE655326 GXY655326:GYA655326 HHU655326:HHW655326 HRQ655326:HRS655326 IBM655326:IBO655326 ILI655326:ILK655326 IVE655326:IVG655326 JFA655326:JFC655326 JOW655326:JOY655326 JYS655326:JYU655326 KIO655326:KIQ655326 KSK655326:KSM655326 LCG655326:LCI655326 LMC655326:LME655326 LVY655326:LWA655326 MFU655326:MFW655326 MPQ655326:MPS655326 MZM655326:MZO655326 NJI655326:NJK655326 NTE655326:NTG655326 ODA655326:ODC655326 OMW655326:OMY655326 OWS655326:OWU655326 PGO655326:PGQ655326 PQK655326:PQM655326 QAG655326:QAI655326 QKC655326:QKE655326 QTY655326:QUA655326 RDU655326:RDW655326 RNQ655326:RNS655326 RXM655326:RXO655326 SHI655326:SHK655326 SRE655326:SRG655326 TBA655326:TBC655326 TKW655326:TKY655326 TUS655326:TUU655326 UEO655326:UEQ655326 UOK655326:UOM655326 UYG655326:UYI655326 VIC655326:VIE655326 VRY655326:VSA655326 WBU655326:WBW655326 WLQ655326:WLS655326 WVM655326:WVO655326 G720862:I720862 JA720862:JC720862 SW720862:SY720862 ACS720862:ACU720862 AMO720862:AMQ720862 AWK720862:AWM720862 BGG720862:BGI720862 BQC720862:BQE720862 BZY720862:CAA720862 CJU720862:CJW720862 CTQ720862:CTS720862 DDM720862:DDO720862 DNI720862:DNK720862 DXE720862:DXG720862 EHA720862:EHC720862 EQW720862:EQY720862 FAS720862:FAU720862 FKO720862:FKQ720862 FUK720862:FUM720862 GEG720862:GEI720862 GOC720862:GOE720862 GXY720862:GYA720862 HHU720862:HHW720862 HRQ720862:HRS720862 IBM720862:IBO720862 ILI720862:ILK720862 IVE720862:IVG720862 JFA720862:JFC720862 JOW720862:JOY720862 JYS720862:JYU720862 KIO720862:KIQ720862 KSK720862:KSM720862 LCG720862:LCI720862 LMC720862:LME720862 LVY720862:LWA720862 MFU720862:MFW720862 MPQ720862:MPS720862 MZM720862:MZO720862 NJI720862:NJK720862 NTE720862:NTG720862 ODA720862:ODC720862 OMW720862:OMY720862 OWS720862:OWU720862 PGO720862:PGQ720862 PQK720862:PQM720862 QAG720862:QAI720862 QKC720862:QKE720862 QTY720862:QUA720862 RDU720862:RDW720862 RNQ720862:RNS720862 RXM720862:RXO720862 SHI720862:SHK720862 SRE720862:SRG720862 TBA720862:TBC720862 TKW720862:TKY720862 TUS720862:TUU720862 UEO720862:UEQ720862 UOK720862:UOM720862 UYG720862:UYI720862 VIC720862:VIE720862 VRY720862:VSA720862 WBU720862:WBW720862 WLQ720862:WLS720862 WVM720862:WVO720862 G786398:I786398 JA786398:JC786398 SW786398:SY786398 ACS786398:ACU786398 AMO786398:AMQ786398 AWK786398:AWM786398 BGG786398:BGI786398 BQC786398:BQE786398 BZY786398:CAA786398 CJU786398:CJW786398 CTQ786398:CTS786398 DDM786398:DDO786398 DNI786398:DNK786398 DXE786398:DXG786398 EHA786398:EHC786398 EQW786398:EQY786398 FAS786398:FAU786398 FKO786398:FKQ786398 FUK786398:FUM786398 GEG786398:GEI786398 GOC786398:GOE786398 GXY786398:GYA786398 HHU786398:HHW786398 HRQ786398:HRS786398 IBM786398:IBO786398 ILI786398:ILK786398 IVE786398:IVG786398 JFA786398:JFC786398 JOW786398:JOY786398 JYS786398:JYU786398 KIO786398:KIQ786398 KSK786398:KSM786398 LCG786398:LCI786398 LMC786398:LME786398 LVY786398:LWA786398 MFU786398:MFW786398 MPQ786398:MPS786398 MZM786398:MZO786398 NJI786398:NJK786398 NTE786398:NTG786398 ODA786398:ODC786398 OMW786398:OMY786398 OWS786398:OWU786398 PGO786398:PGQ786398 PQK786398:PQM786398 QAG786398:QAI786398 QKC786398:QKE786398 QTY786398:QUA786398 RDU786398:RDW786398 RNQ786398:RNS786398 RXM786398:RXO786398 SHI786398:SHK786398 SRE786398:SRG786398 TBA786398:TBC786398 TKW786398:TKY786398 TUS786398:TUU786398 UEO786398:UEQ786398 UOK786398:UOM786398 UYG786398:UYI786398 VIC786398:VIE786398 VRY786398:VSA786398 WBU786398:WBW786398 WLQ786398:WLS786398 WVM786398:WVO786398 G851934:I851934 JA851934:JC851934 SW851934:SY851934 ACS851934:ACU851934 AMO851934:AMQ851934 AWK851934:AWM851934 BGG851934:BGI851934 BQC851934:BQE851934 BZY851934:CAA851934 CJU851934:CJW851934 CTQ851934:CTS851934 DDM851934:DDO851934 DNI851934:DNK851934 DXE851934:DXG851934 EHA851934:EHC851934 EQW851934:EQY851934 FAS851934:FAU851934 FKO851934:FKQ851934 FUK851934:FUM851934 GEG851934:GEI851934 GOC851934:GOE851934 GXY851934:GYA851934 HHU851934:HHW851934 HRQ851934:HRS851934 IBM851934:IBO851934 ILI851934:ILK851934 IVE851934:IVG851934 JFA851934:JFC851934 JOW851934:JOY851934 JYS851934:JYU851934 KIO851934:KIQ851934 KSK851934:KSM851934 LCG851934:LCI851934 LMC851934:LME851934 LVY851934:LWA851934 MFU851934:MFW851934 MPQ851934:MPS851934 MZM851934:MZO851934 NJI851934:NJK851934 NTE851934:NTG851934 ODA851934:ODC851934 OMW851934:OMY851934 OWS851934:OWU851934 PGO851934:PGQ851934 PQK851934:PQM851934 QAG851934:QAI851934 QKC851934:QKE851934 QTY851934:QUA851934 RDU851934:RDW851934 RNQ851934:RNS851934 RXM851934:RXO851934 SHI851934:SHK851934 SRE851934:SRG851934 TBA851934:TBC851934 TKW851934:TKY851934 TUS851934:TUU851934 UEO851934:UEQ851934 UOK851934:UOM851934 UYG851934:UYI851934 VIC851934:VIE851934 VRY851934:VSA851934 WBU851934:WBW851934 WLQ851934:WLS851934 WVM851934:WVO851934 G917470:I917470 JA917470:JC917470 SW917470:SY917470 ACS917470:ACU917470 AMO917470:AMQ917470 AWK917470:AWM917470 BGG917470:BGI917470 BQC917470:BQE917470 BZY917470:CAA917470 CJU917470:CJW917470 CTQ917470:CTS917470 DDM917470:DDO917470 DNI917470:DNK917470 DXE917470:DXG917470 EHA917470:EHC917470 EQW917470:EQY917470 FAS917470:FAU917470 FKO917470:FKQ917470 FUK917470:FUM917470 GEG917470:GEI917470 GOC917470:GOE917470 GXY917470:GYA917470 HHU917470:HHW917470 HRQ917470:HRS917470 IBM917470:IBO917470 ILI917470:ILK917470 IVE917470:IVG917470 JFA917470:JFC917470 JOW917470:JOY917470 JYS917470:JYU917470 KIO917470:KIQ917470 KSK917470:KSM917470 LCG917470:LCI917470 LMC917470:LME917470 LVY917470:LWA917470 MFU917470:MFW917470 MPQ917470:MPS917470 MZM917470:MZO917470 NJI917470:NJK917470 NTE917470:NTG917470 ODA917470:ODC917470 OMW917470:OMY917470 OWS917470:OWU917470 PGO917470:PGQ917470 PQK917470:PQM917470 QAG917470:QAI917470 QKC917470:QKE917470 QTY917470:QUA917470 RDU917470:RDW917470 RNQ917470:RNS917470 RXM917470:RXO917470 SHI917470:SHK917470 SRE917470:SRG917470 TBA917470:TBC917470 TKW917470:TKY917470 TUS917470:TUU917470 UEO917470:UEQ917470 UOK917470:UOM917470 UYG917470:UYI917470 VIC917470:VIE917470 VRY917470:VSA917470 WBU917470:WBW917470 WLQ917470:WLS917470 WVM917470:WVO917470 G983006:I983006 JA983006:JC983006 SW983006:SY983006 ACS983006:ACU983006 AMO983006:AMQ983006 AWK983006:AWM983006 BGG983006:BGI983006 BQC983006:BQE983006 BZY983006:CAA983006 CJU983006:CJW983006 CTQ983006:CTS983006 DDM983006:DDO983006 DNI983006:DNK983006 DXE983006:DXG983006 EHA983006:EHC983006 EQW983006:EQY983006 FAS983006:FAU983006 FKO983006:FKQ983006 FUK983006:FUM983006 GEG983006:GEI983006 GOC983006:GOE983006 GXY983006:GYA983006 HHU983006:HHW983006 HRQ983006:HRS983006 IBM983006:IBO983006 ILI983006:ILK983006 IVE983006:IVG983006 JFA983006:JFC983006 JOW983006:JOY983006 JYS983006:JYU983006 KIO983006:KIQ983006 KSK983006:KSM983006 LCG983006:LCI983006 LMC983006:LME983006 LVY983006:LWA983006 MFU983006:MFW983006 MPQ983006:MPS983006 MZM983006:MZO983006 NJI983006:NJK983006 NTE983006:NTG983006 ODA983006:ODC983006 OMW983006:OMY983006 OWS983006:OWU983006 PGO983006:PGQ983006 PQK983006:PQM983006 QAG983006:QAI983006 QKC983006:QKE983006 QTY983006:QUA983006 RDU983006:RDW983006 RNQ983006:RNS983006 RXM983006:RXO983006 SHI983006:SHK983006 SRE983006:SRG983006 TBA983006:TBC983006 TKW983006:TKY983006 TUS983006:TUU983006 UEO983006:UEQ983006 UOK983006:UOM983006 UYG983006:UYI983006 VIC983006:VIE983006 VRY983006:VSA983006 WBU983006:WBW983006 WLQ983006:WLS983006 WVM983006:WVO983006 WBU983045:WBW983045 JA47:JC47 SW47:SY47 ACS47:ACU47 AMO47:AMQ47 AWK47:AWM47 BGG47:BGI47 BQC47:BQE47 BZY47:CAA47 CJU47:CJW47 CTQ47:CTS47 DDM47:DDO47 DNI47:DNK47 DXE47:DXG47 EHA47:EHC47 EQW47:EQY47 FAS47:FAU47 FKO47:FKQ47 FUK47:FUM47 GEG47:GEI47 GOC47:GOE47 GXY47:GYA47 HHU47:HHW47 HRQ47:HRS47 IBM47:IBO47 ILI47:ILK47 IVE47:IVG47 JFA47:JFC47 JOW47:JOY47 JYS47:JYU47 KIO47:KIQ47 KSK47:KSM47 LCG47:LCI47 LMC47:LME47 LVY47:LWA47 MFU47:MFW47 MPQ47:MPS47 MZM47:MZO47 NJI47:NJK47 NTE47:NTG47 ODA47:ODC47 OMW47:OMY47 OWS47:OWU47 PGO47:PGQ47 PQK47:PQM47 QAG47:QAI47 QKC47:QKE47 QTY47:QUA47 RDU47:RDW47 RNQ47:RNS47 RXM47:RXO47 SHI47:SHK47 SRE47:SRG47 TBA47:TBC47 TKW47:TKY47 TUS47:TUU47 UEO47:UEQ47 UOK47:UOM47 UYG47:UYI47 VIC47:VIE47 VRY47:VSA47 WBU47:WBW47 WLQ47:WLS47 WVM47:WVO47 G65515:I65515 JA65515:JC65515 SW65515:SY65515 ACS65515:ACU65515 AMO65515:AMQ65515 AWK65515:AWM65515 BGG65515:BGI65515 BQC65515:BQE65515 BZY65515:CAA65515 CJU65515:CJW65515 CTQ65515:CTS65515 DDM65515:DDO65515 DNI65515:DNK65515 DXE65515:DXG65515 EHA65515:EHC65515 EQW65515:EQY65515 FAS65515:FAU65515 FKO65515:FKQ65515 FUK65515:FUM65515 GEG65515:GEI65515 GOC65515:GOE65515 GXY65515:GYA65515 HHU65515:HHW65515 HRQ65515:HRS65515 IBM65515:IBO65515 ILI65515:ILK65515 IVE65515:IVG65515 JFA65515:JFC65515 JOW65515:JOY65515 JYS65515:JYU65515 KIO65515:KIQ65515 KSK65515:KSM65515 LCG65515:LCI65515 LMC65515:LME65515 LVY65515:LWA65515 MFU65515:MFW65515 MPQ65515:MPS65515 MZM65515:MZO65515 NJI65515:NJK65515 NTE65515:NTG65515 ODA65515:ODC65515 OMW65515:OMY65515 OWS65515:OWU65515 PGO65515:PGQ65515 PQK65515:PQM65515 QAG65515:QAI65515 QKC65515:QKE65515 QTY65515:QUA65515 RDU65515:RDW65515 RNQ65515:RNS65515 RXM65515:RXO65515 SHI65515:SHK65515 SRE65515:SRG65515 TBA65515:TBC65515 TKW65515:TKY65515 TUS65515:TUU65515 UEO65515:UEQ65515 UOK65515:UOM65515 UYG65515:UYI65515 VIC65515:VIE65515 VRY65515:VSA65515 WBU65515:WBW65515 WLQ65515:WLS65515 WVM65515:WVO65515 G131051:I131051 JA131051:JC131051 SW131051:SY131051 ACS131051:ACU131051 AMO131051:AMQ131051 AWK131051:AWM131051 BGG131051:BGI131051 BQC131051:BQE131051 BZY131051:CAA131051 CJU131051:CJW131051 CTQ131051:CTS131051 DDM131051:DDO131051 DNI131051:DNK131051 DXE131051:DXG131051 EHA131051:EHC131051 EQW131051:EQY131051 FAS131051:FAU131051 FKO131051:FKQ131051 FUK131051:FUM131051 GEG131051:GEI131051 GOC131051:GOE131051 GXY131051:GYA131051 HHU131051:HHW131051 HRQ131051:HRS131051 IBM131051:IBO131051 ILI131051:ILK131051 IVE131051:IVG131051 JFA131051:JFC131051 JOW131051:JOY131051 JYS131051:JYU131051 KIO131051:KIQ131051 KSK131051:KSM131051 LCG131051:LCI131051 LMC131051:LME131051 LVY131051:LWA131051 MFU131051:MFW131051 MPQ131051:MPS131051 MZM131051:MZO131051 NJI131051:NJK131051 NTE131051:NTG131051 ODA131051:ODC131051 OMW131051:OMY131051 OWS131051:OWU131051 PGO131051:PGQ131051 PQK131051:PQM131051 QAG131051:QAI131051 QKC131051:QKE131051 QTY131051:QUA131051 RDU131051:RDW131051 RNQ131051:RNS131051 RXM131051:RXO131051 SHI131051:SHK131051 SRE131051:SRG131051 TBA131051:TBC131051 TKW131051:TKY131051 TUS131051:TUU131051 UEO131051:UEQ131051 UOK131051:UOM131051 UYG131051:UYI131051 VIC131051:VIE131051 VRY131051:VSA131051 WBU131051:WBW131051 WLQ131051:WLS131051 WVM131051:WVO131051 G196587:I196587 JA196587:JC196587 SW196587:SY196587 ACS196587:ACU196587 AMO196587:AMQ196587 AWK196587:AWM196587 BGG196587:BGI196587 BQC196587:BQE196587 BZY196587:CAA196587 CJU196587:CJW196587 CTQ196587:CTS196587 DDM196587:DDO196587 DNI196587:DNK196587 DXE196587:DXG196587 EHA196587:EHC196587 EQW196587:EQY196587 FAS196587:FAU196587 FKO196587:FKQ196587 FUK196587:FUM196587 GEG196587:GEI196587 GOC196587:GOE196587 GXY196587:GYA196587 HHU196587:HHW196587 HRQ196587:HRS196587 IBM196587:IBO196587 ILI196587:ILK196587 IVE196587:IVG196587 JFA196587:JFC196587 JOW196587:JOY196587 JYS196587:JYU196587 KIO196587:KIQ196587 KSK196587:KSM196587 LCG196587:LCI196587 LMC196587:LME196587 LVY196587:LWA196587 MFU196587:MFW196587 MPQ196587:MPS196587 MZM196587:MZO196587 NJI196587:NJK196587 NTE196587:NTG196587 ODA196587:ODC196587 OMW196587:OMY196587 OWS196587:OWU196587 PGO196587:PGQ196587 PQK196587:PQM196587 QAG196587:QAI196587 QKC196587:QKE196587 QTY196587:QUA196587 RDU196587:RDW196587 RNQ196587:RNS196587 RXM196587:RXO196587 SHI196587:SHK196587 SRE196587:SRG196587 TBA196587:TBC196587 TKW196587:TKY196587 TUS196587:TUU196587 UEO196587:UEQ196587 UOK196587:UOM196587 UYG196587:UYI196587 VIC196587:VIE196587 VRY196587:VSA196587 WBU196587:WBW196587 WLQ196587:WLS196587 WVM196587:WVO196587 G262123:I262123 JA262123:JC262123 SW262123:SY262123 ACS262123:ACU262123 AMO262123:AMQ262123 AWK262123:AWM262123 BGG262123:BGI262123 BQC262123:BQE262123 BZY262123:CAA262123 CJU262123:CJW262123 CTQ262123:CTS262123 DDM262123:DDO262123 DNI262123:DNK262123 DXE262123:DXG262123 EHA262123:EHC262123 EQW262123:EQY262123 FAS262123:FAU262123 FKO262123:FKQ262123 FUK262123:FUM262123 GEG262123:GEI262123 GOC262123:GOE262123 GXY262123:GYA262123 HHU262123:HHW262123 HRQ262123:HRS262123 IBM262123:IBO262123 ILI262123:ILK262123 IVE262123:IVG262123 JFA262123:JFC262123 JOW262123:JOY262123 JYS262123:JYU262123 KIO262123:KIQ262123 KSK262123:KSM262123 LCG262123:LCI262123 LMC262123:LME262123 LVY262123:LWA262123 MFU262123:MFW262123 MPQ262123:MPS262123 MZM262123:MZO262123 NJI262123:NJK262123 NTE262123:NTG262123 ODA262123:ODC262123 OMW262123:OMY262123 OWS262123:OWU262123 PGO262123:PGQ262123 PQK262123:PQM262123 QAG262123:QAI262123 QKC262123:QKE262123 QTY262123:QUA262123 RDU262123:RDW262123 RNQ262123:RNS262123 RXM262123:RXO262123 SHI262123:SHK262123 SRE262123:SRG262123 TBA262123:TBC262123 TKW262123:TKY262123 TUS262123:TUU262123 UEO262123:UEQ262123 UOK262123:UOM262123 UYG262123:UYI262123 VIC262123:VIE262123 VRY262123:VSA262123 WBU262123:WBW262123 WLQ262123:WLS262123 WVM262123:WVO262123 G327659:I327659 JA327659:JC327659 SW327659:SY327659 ACS327659:ACU327659 AMO327659:AMQ327659 AWK327659:AWM327659 BGG327659:BGI327659 BQC327659:BQE327659 BZY327659:CAA327659 CJU327659:CJW327659 CTQ327659:CTS327659 DDM327659:DDO327659 DNI327659:DNK327659 DXE327659:DXG327659 EHA327659:EHC327659 EQW327659:EQY327659 FAS327659:FAU327659 FKO327659:FKQ327659 FUK327659:FUM327659 GEG327659:GEI327659 GOC327659:GOE327659 GXY327659:GYA327659 HHU327659:HHW327659 HRQ327659:HRS327659 IBM327659:IBO327659 ILI327659:ILK327659 IVE327659:IVG327659 JFA327659:JFC327659 JOW327659:JOY327659 JYS327659:JYU327659 KIO327659:KIQ327659 KSK327659:KSM327659 LCG327659:LCI327659 LMC327659:LME327659 LVY327659:LWA327659 MFU327659:MFW327659 MPQ327659:MPS327659 MZM327659:MZO327659 NJI327659:NJK327659 NTE327659:NTG327659 ODA327659:ODC327659 OMW327659:OMY327659 OWS327659:OWU327659 PGO327659:PGQ327659 PQK327659:PQM327659 QAG327659:QAI327659 QKC327659:QKE327659 QTY327659:QUA327659 RDU327659:RDW327659 RNQ327659:RNS327659 RXM327659:RXO327659 SHI327659:SHK327659 SRE327659:SRG327659 TBA327659:TBC327659 TKW327659:TKY327659 TUS327659:TUU327659 UEO327659:UEQ327659 UOK327659:UOM327659 UYG327659:UYI327659 VIC327659:VIE327659 VRY327659:VSA327659 WBU327659:WBW327659 WLQ327659:WLS327659 WVM327659:WVO327659 G393195:I393195 JA393195:JC393195 SW393195:SY393195 ACS393195:ACU393195 AMO393195:AMQ393195 AWK393195:AWM393195 BGG393195:BGI393195 BQC393195:BQE393195 BZY393195:CAA393195 CJU393195:CJW393195 CTQ393195:CTS393195 DDM393195:DDO393195 DNI393195:DNK393195 DXE393195:DXG393195 EHA393195:EHC393195 EQW393195:EQY393195 FAS393195:FAU393195 FKO393195:FKQ393195 FUK393195:FUM393195 GEG393195:GEI393195 GOC393195:GOE393195 GXY393195:GYA393195 HHU393195:HHW393195 HRQ393195:HRS393195 IBM393195:IBO393195 ILI393195:ILK393195 IVE393195:IVG393195 JFA393195:JFC393195 JOW393195:JOY393195 JYS393195:JYU393195 KIO393195:KIQ393195 KSK393195:KSM393195 LCG393195:LCI393195 LMC393195:LME393195 LVY393195:LWA393195 MFU393195:MFW393195 MPQ393195:MPS393195 MZM393195:MZO393195 NJI393195:NJK393195 NTE393195:NTG393195 ODA393195:ODC393195 OMW393195:OMY393195 OWS393195:OWU393195 PGO393195:PGQ393195 PQK393195:PQM393195 QAG393195:QAI393195 QKC393195:QKE393195 QTY393195:QUA393195 RDU393195:RDW393195 RNQ393195:RNS393195 RXM393195:RXO393195 SHI393195:SHK393195 SRE393195:SRG393195 TBA393195:TBC393195 TKW393195:TKY393195 TUS393195:TUU393195 UEO393195:UEQ393195 UOK393195:UOM393195 UYG393195:UYI393195 VIC393195:VIE393195 VRY393195:VSA393195 WBU393195:WBW393195 WLQ393195:WLS393195 WVM393195:WVO393195 G458731:I458731 JA458731:JC458731 SW458731:SY458731 ACS458731:ACU458731 AMO458731:AMQ458731 AWK458731:AWM458731 BGG458731:BGI458731 BQC458731:BQE458731 BZY458731:CAA458731 CJU458731:CJW458731 CTQ458731:CTS458731 DDM458731:DDO458731 DNI458731:DNK458731 DXE458731:DXG458731 EHA458731:EHC458731 EQW458731:EQY458731 FAS458731:FAU458731 FKO458731:FKQ458731 FUK458731:FUM458731 GEG458731:GEI458731 GOC458731:GOE458731 GXY458731:GYA458731 HHU458731:HHW458731 HRQ458731:HRS458731 IBM458731:IBO458731 ILI458731:ILK458731 IVE458731:IVG458731 JFA458731:JFC458731 JOW458731:JOY458731 JYS458731:JYU458731 KIO458731:KIQ458731 KSK458731:KSM458731 LCG458731:LCI458731 LMC458731:LME458731 LVY458731:LWA458731 MFU458731:MFW458731 MPQ458731:MPS458731 MZM458731:MZO458731 NJI458731:NJK458731 NTE458731:NTG458731 ODA458731:ODC458731 OMW458731:OMY458731 OWS458731:OWU458731 PGO458731:PGQ458731 PQK458731:PQM458731 QAG458731:QAI458731 QKC458731:QKE458731 QTY458731:QUA458731 RDU458731:RDW458731 RNQ458731:RNS458731 RXM458731:RXO458731 SHI458731:SHK458731 SRE458731:SRG458731 TBA458731:TBC458731 TKW458731:TKY458731 TUS458731:TUU458731 UEO458731:UEQ458731 UOK458731:UOM458731 UYG458731:UYI458731 VIC458731:VIE458731 VRY458731:VSA458731 WBU458731:WBW458731 WLQ458731:WLS458731 WVM458731:WVO458731 G524267:I524267 JA524267:JC524267 SW524267:SY524267 ACS524267:ACU524267 AMO524267:AMQ524267 AWK524267:AWM524267 BGG524267:BGI524267 BQC524267:BQE524267 BZY524267:CAA524267 CJU524267:CJW524267 CTQ524267:CTS524267 DDM524267:DDO524267 DNI524267:DNK524267 DXE524267:DXG524267 EHA524267:EHC524267 EQW524267:EQY524267 FAS524267:FAU524267 FKO524267:FKQ524267 FUK524267:FUM524267 GEG524267:GEI524267 GOC524267:GOE524267 GXY524267:GYA524267 HHU524267:HHW524267 HRQ524267:HRS524267 IBM524267:IBO524267 ILI524267:ILK524267 IVE524267:IVG524267 JFA524267:JFC524267 JOW524267:JOY524267 JYS524267:JYU524267 KIO524267:KIQ524267 KSK524267:KSM524267 LCG524267:LCI524267 LMC524267:LME524267 LVY524267:LWA524267 MFU524267:MFW524267 MPQ524267:MPS524267 MZM524267:MZO524267 NJI524267:NJK524267 NTE524267:NTG524267 ODA524267:ODC524267 OMW524267:OMY524267 OWS524267:OWU524267 PGO524267:PGQ524267 PQK524267:PQM524267 QAG524267:QAI524267 QKC524267:QKE524267 QTY524267:QUA524267 RDU524267:RDW524267 RNQ524267:RNS524267 RXM524267:RXO524267 SHI524267:SHK524267 SRE524267:SRG524267 TBA524267:TBC524267 TKW524267:TKY524267 TUS524267:TUU524267 UEO524267:UEQ524267 UOK524267:UOM524267 UYG524267:UYI524267 VIC524267:VIE524267 VRY524267:VSA524267 WBU524267:WBW524267 WLQ524267:WLS524267 WVM524267:WVO524267 G589803:I589803 JA589803:JC589803 SW589803:SY589803 ACS589803:ACU589803 AMO589803:AMQ589803 AWK589803:AWM589803 BGG589803:BGI589803 BQC589803:BQE589803 BZY589803:CAA589803 CJU589803:CJW589803 CTQ589803:CTS589803 DDM589803:DDO589803 DNI589803:DNK589803 DXE589803:DXG589803 EHA589803:EHC589803 EQW589803:EQY589803 FAS589803:FAU589803 FKO589803:FKQ589803 FUK589803:FUM589803 GEG589803:GEI589803 GOC589803:GOE589803 GXY589803:GYA589803 HHU589803:HHW589803 HRQ589803:HRS589803 IBM589803:IBO589803 ILI589803:ILK589803 IVE589803:IVG589803 JFA589803:JFC589803 JOW589803:JOY589803 JYS589803:JYU589803 KIO589803:KIQ589803 KSK589803:KSM589803 LCG589803:LCI589803 LMC589803:LME589803 LVY589803:LWA589803 MFU589803:MFW589803 MPQ589803:MPS589803 MZM589803:MZO589803 NJI589803:NJK589803 NTE589803:NTG589803 ODA589803:ODC589803 OMW589803:OMY589803 OWS589803:OWU589803 PGO589803:PGQ589803 PQK589803:PQM589803 QAG589803:QAI589803 QKC589803:QKE589803 QTY589803:QUA589803 RDU589803:RDW589803 RNQ589803:RNS589803 RXM589803:RXO589803 SHI589803:SHK589803 SRE589803:SRG589803 TBA589803:TBC589803 TKW589803:TKY589803 TUS589803:TUU589803 UEO589803:UEQ589803 UOK589803:UOM589803 UYG589803:UYI589803 VIC589803:VIE589803 VRY589803:VSA589803 WBU589803:WBW589803 WLQ589803:WLS589803 WVM589803:WVO589803 G655339:I655339 JA655339:JC655339 SW655339:SY655339 ACS655339:ACU655339 AMO655339:AMQ655339 AWK655339:AWM655339 BGG655339:BGI655339 BQC655339:BQE655339 BZY655339:CAA655339 CJU655339:CJW655339 CTQ655339:CTS655339 DDM655339:DDO655339 DNI655339:DNK655339 DXE655339:DXG655339 EHA655339:EHC655339 EQW655339:EQY655339 FAS655339:FAU655339 FKO655339:FKQ655339 FUK655339:FUM655339 GEG655339:GEI655339 GOC655339:GOE655339 GXY655339:GYA655339 HHU655339:HHW655339 HRQ655339:HRS655339 IBM655339:IBO655339 ILI655339:ILK655339 IVE655339:IVG655339 JFA655339:JFC655339 JOW655339:JOY655339 JYS655339:JYU655339 KIO655339:KIQ655339 KSK655339:KSM655339 LCG655339:LCI655339 LMC655339:LME655339 LVY655339:LWA655339 MFU655339:MFW655339 MPQ655339:MPS655339 MZM655339:MZO655339 NJI655339:NJK655339 NTE655339:NTG655339 ODA655339:ODC655339 OMW655339:OMY655339 OWS655339:OWU655339 PGO655339:PGQ655339 PQK655339:PQM655339 QAG655339:QAI655339 QKC655339:QKE655339 QTY655339:QUA655339 RDU655339:RDW655339 RNQ655339:RNS655339 RXM655339:RXO655339 SHI655339:SHK655339 SRE655339:SRG655339 TBA655339:TBC655339 TKW655339:TKY655339 TUS655339:TUU655339 UEO655339:UEQ655339 UOK655339:UOM655339 UYG655339:UYI655339 VIC655339:VIE655339 VRY655339:VSA655339 WBU655339:WBW655339 WLQ655339:WLS655339 WVM655339:WVO655339 G720875:I720875 JA720875:JC720875 SW720875:SY720875 ACS720875:ACU720875 AMO720875:AMQ720875 AWK720875:AWM720875 BGG720875:BGI720875 BQC720875:BQE720875 BZY720875:CAA720875 CJU720875:CJW720875 CTQ720875:CTS720875 DDM720875:DDO720875 DNI720875:DNK720875 DXE720875:DXG720875 EHA720875:EHC720875 EQW720875:EQY720875 FAS720875:FAU720875 FKO720875:FKQ720875 FUK720875:FUM720875 GEG720875:GEI720875 GOC720875:GOE720875 GXY720875:GYA720875 HHU720875:HHW720875 HRQ720875:HRS720875 IBM720875:IBO720875 ILI720875:ILK720875 IVE720875:IVG720875 JFA720875:JFC720875 JOW720875:JOY720875 JYS720875:JYU720875 KIO720875:KIQ720875 KSK720875:KSM720875 LCG720875:LCI720875 LMC720875:LME720875 LVY720875:LWA720875 MFU720875:MFW720875 MPQ720875:MPS720875 MZM720875:MZO720875 NJI720875:NJK720875 NTE720875:NTG720875 ODA720875:ODC720875 OMW720875:OMY720875 OWS720875:OWU720875 PGO720875:PGQ720875 PQK720875:PQM720875 QAG720875:QAI720875 QKC720875:QKE720875 QTY720875:QUA720875 RDU720875:RDW720875 RNQ720875:RNS720875 RXM720875:RXO720875 SHI720875:SHK720875 SRE720875:SRG720875 TBA720875:TBC720875 TKW720875:TKY720875 TUS720875:TUU720875 UEO720875:UEQ720875 UOK720875:UOM720875 UYG720875:UYI720875 VIC720875:VIE720875 VRY720875:VSA720875 WBU720875:WBW720875 WLQ720875:WLS720875 WVM720875:WVO720875 G786411:I786411 JA786411:JC786411 SW786411:SY786411 ACS786411:ACU786411 AMO786411:AMQ786411 AWK786411:AWM786411 BGG786411:BGI786411 BQC786411:BQE786411 BZY786411:CAA786411 CJU786411:CJW786411 CTQ786411:CTS786411 DDM786411:DDO786411 DNI786411:DNK786411 DXE786411:DXG786411 EHA786411:EHC786411 EQW786411:EQY786411 FAS786411:FAU786411 FKO786411:FKQ786411 FUK786411:FUM786411 GEG786411:GEI786411 GOC786411:GOE786411 GXY786411:GYA786411 HHU786411:HHW786411 HRQ786411:HRS786411 IBM786411:IBO786411 ILI786411:ILK786411 IVE786411:IVG786411 JFA786411:JFC786411 JOW786411:JOY786411 JYS786411:JYU786411 KIO786411:KIQ786411 KSK786411:KSM786411 LCG786411:LCI786411 LMC786411:LME786411 LVY786411:LWA786411 MFU786411:MFW786411 MPQ786411:MPS786411 MZM786411:MZO786411 NJI786411:NJK786411 NTE786411:NTG786411 ODA786411:ODC786411 OMW786411:OMY786411 OWS786411:OWU786411 PGO786411:PGQ786411 PQK786411:PQM786411 QAG786411:QAI786411 QKC786411:QKE786411 QTY786411:QUA786411 RDU786411:RDW786411 RNQ786411:RNS786411 RXM786411:RXO786411 SHI786411:SHK786411 SRE786411:SRG786411 TBA786411:TBC786411 TKW786411:TKY786411 TUS786411:TUU786411 UEO786411:UEQ786411 UOK786411:UOM786411 UYG786411:UYI786411 VIC786411:VIE786411 VRY786411:VSA786411 WBU786411:WBW786411 WLQ786411:WLS786411 WVM786411:WVO786411 G851947:I851947 JA851947:JC851947 SW851947:SY851947 ACS851947:ACU851947 AMO851947:AMQ851947 AWK851947:AWM851947 BGG851947:BGI851947 BQC851947:BQE851947 BZY851947:CAA851947 CJU851947:CJW851947 CTQ851947:CTS851947 DDM851947:DDO851947 DNI851947:DNK851947 DXE851947:DXG851947 EHA851947:EHC851947 EQW851947:EQY851947 FAS851947:FAU851947 FKO851947:FKQ851947 FUK851947:FUM851947 GEG851947:GEI851947 GOC851947:GOE851947 GXY851947:GYA851947 HHU851947:HHW851947 HRQ851947:HRS851947 IBM851947:IBO851947 ILI851947:ILK851947 IVE851947:IVG851947 JFA851947:JFC851947 JOW851947:JOY851947 JYS851947:JYU851947 KIO851947:KIQ851947 KSK851947:KSM851947 LCG851947:LCI851947 LMC851947:LME851947 LVY851947:LWA851947 MFU851947:MFW851947 MPQ851947:MPS851947 MZM851947:MZO851947 NJI851947:NJK851947 NTE851947:NTG851947 ODA851947:ODC851947 OMW851947:OMY851947 OWS851947:OWU851947 PGO851947:PGQ851947 PQK851947:PQM851947 QAG851947:QAI851947 QKC851947:QKE851947 QTY851947:QUA851947 RDU851947:RDW851947 RNQ851947:RNS851947 RXM851947:RXO851947 SHI851947:SHK851947 SRE851947:SRG851947 TBA851947:TBC851947 TKW851947:TKY851947 TUS851947:TUU851947 UEO851947:UEQ851947 UOK851947:UOM851947 UYG851947:UYI851947 VIC851947:VIE851947 VRY851947:VSA851947 WBU851947:WBW851947 WLQ851947:WLS851947 WVM851947:WVO851947 G917483:I917483 JA917483:JC917483 SW917483:SY917483 ACS917483:ACU917483 AMO917483:AMQ917483 AWK917483:AWM917483 BGG917483:BGI917483 BQC917483:BQE917483 BZY917483:CAA917483 CJU917483:CJW917483 CTQ917483:CTS917483 DDM917483:DDO917483 DNI917483:DNK917483 DXE917483:DXG917483 EHA917483:EHC917483 EQW917483:EQY917483 FAS917483:FAU917483 FKO917483:FKQ917483 FUK917483:FUM917483 GEG917483:GEI917483 GOC917483:GOE917483 GXY917483:GYA917483 HHU917483:HHW917483 HRQ917483:HRS917483 IBM917483:IBO917483 ILI917483:ILK917483 IVE917483:IVG917483 JFA917483:JFC917483 JOW917483:JOY917483 JYS917483:JYU917483 KIO917483:KIQ917483 KSK917483:KSM917483 LCG917483:LCI917483 LMC917483:LME917483 LVY917483:LWA917483 MFU917483:MFW917483 MPQ917483:MPS917483 MZM917483:MZO917483 NJI917483:NJK917483 NTE917483:NTG917483 ODA917483:ODC917483 OMW917483:OMY917483 OWS917483:OWU917483 PGO917483:PGQ917483 PQK917483:PQM917483 QAG917483:QAI917483 QKC917483:QKE917483 QTY917483:QUA917483 RDU917483:RDW917483 RNQ917483:RNS917483 RXM917483:RXO917483 SHI917483:SHK917483 SRE917483:SRG917483 TBA917483:TBC917483 TKW917483:TKY917483 TUS917483:TUU917483 UEO917483:UEQ917483 UOK917483:UOM917483 UYG917483:UYI917483 VIC917483:VIE917483 VRY917483:VSA917483 WBU917483:WBW917483 WLQ917483:WLS917483 WVM917483:WVO917483 G983019:I983019 JA983019:JC983019 SW983019:SY983019 ACS983019:ACU983019 AMO983019:AMQ983019 AWK983019:AWM983019 BGG983019:BGI983019 BQC983019:BQE983019 BZY983019:CAA983019 CJU983019:CJW983019 CTQ983019:CTS983019 DDM983019:DDO983019 DNI983019:DNK983019 DXE983019:DXG983019 EHA983019:EHC983019 EQW983019:EQY983019 FAS983019:FAU983019 FKO983019:FKQ983019 FUK983019:FUM983019 GEG983019:GEI983019 GOC983019:GOE983019 GXY983019:GYA983019 HHU983019:HHW983019 HRQ983019:HRS983019 IBM983019:IBO983019 ILI983019:ILK983019 IVE983019:IVG983019 JFA983019:JFC983019 JOW983019:JOY983019 JYS983019:JYU983019 KIO983019:KIQ983019 KSK983019:KSM983019 LCG983019:LCI983019 LMC983019:LME983019 LVY983019:LWA983019 MFU983019:MFW983019 MPQ983019:MPS983019 MZM983019:MZO983019 NJI983019:NJK983019 NTE983019:NTG983019 ODA983019:ODC983019 OMW983019:OMY983019 OWS983019:OWU983019 PGO983019:PGQ983019 PQK983019:PQM983019 QAG983019:QAI983019 QKC983019:QKE983019 QTY983019:QUA983019 RDU983019:RDW983019 RNQ983019:RNS983019 RXM983019:RXO983019 SHI983019:SHK983019 SRE983019:SRG983019 TBA983019:TBC983019 TKW983019:TKY983019 TUS983019:TUU983019 UEO983019:UEQ983019 UOK983019:UOM983019 UYG983019:UYI983019 VIC983019:VIE983019 VRY983019:VSA983019 WBU983019:WBW983019 WLQ983019:WLS983019 WVM983019:WVO983019 G65528:I65528 JA65528:JC65528 SW65528:SY65528 ACS65528:ACU65528 AMO65528:AMQ65528 AWK65528:AWM65528 BGG65528:BGI65528 BQC65528:BQE65528 BZY65528:CAA65528 CJU65528:CJW65528 CTQ65528:CTS65528 DDM65528:DDO65528 DNI65528:DNK65528 DXE65528:DXG65528 EHA65528:EHC65528 EQW65528:EQY65528 FAS65528:FAU65528 FKO65528:FKQ65528 FUK65528:FUM65528 GEG65528:GEI65528 GOC65528:GOE65528 GXY65528:GYA65528 HHU65528:HHW65528 HRQ65528:HRS65528 IBM65528:IBO65528 ILI65528:ILK65528 IVE65528:IVG65528 JFA65528:JFC65528 JOW65528:JOY65528 JYS65528:JYU65528 KIO65528:KIQ65528 KSK65528:KSM65528 LCG65528:LCI65528 LMC65528:LME65528 LVY65528:LWA65528 MFU65528:MFW65528 MPQ65528:MPS65528 MZM65528:MZO65528 NJI65528:NJK65528 NTE65528:NTG65528 ODA65528:ODC65528 OMW65528:OMY65528 OWS65528:OWU65528 PGO65528:PGQ65528 PQK65528:PQM65528 QAG65528:QAI65528 QKC65528:QKE65528 QTY65528:QUA65528 RDU65528:RDW65528 RNQ65528:RNS65528 RXM65528:RXO65528 SHI65528:SHK65528 SRE65528:SRG65528 TBA65528:TBC65528 TKW65528:TKY65528 TUS65528:TUU65528 UEO65528:UEQ65528 UOK65528:UOM65528 UYG65528:UYI65528 VIC65528:VIE65528 VRY65528:VSA65528 WBU65528:WBW65528 WLQ65528:WLS65528 WVM65528:WVO65528 G131064:I131064 JA131064:JC131064 SW131064:SY131064 ACS131064:ACU131064 AMO131064:AMQ131064 AWK131064:AWM131064 BGG131064:BGI131064 BQC131064:BQE131064 BZY131064:CAA131064 CJU131064:CJW131064 CTQ131064:CTS131064 DDM131064:DDO131064 DNI131064:DNK131064 DXE131064:DXG131064 EHA131064:EHC131064 EQW131064:EQY131064 FAS131064:FAU131064 FKO131064:FKQ131064 FUK131064:FUM131064 GEG131064:GEI131064 GOC131064:GOE131064 GXY131064:GYA131064 HHU131064:HHW131064 HRQ131064:HRS131064 IBM131064:IBO131064 ILI131064:ILK131064 IVE131064:IVG131064 JFA131064:JFC131064 JOW131064:JOY131064 JYS131064:JYU131064 KIO131064:KIQ131064 KSK131064:KSM131064 LCG131064:LCI131064 LMC131064:LME131064 LVY131064:LWA131064 MFU131064:MFW131064 MPQ131064:MPS131064 MZM131064:MZO131064 NJI131064:NJK131064 NTE131064:NTG131064 ODA131064:ODC131064 OMW131064:OMY131064 OWS131064:OWU131064 PGO131064:PGQ131064 PQK131064:PQM131064 QAG131064:QAI131064 QKC131064:QKE131064 QTY131064:QUA131064 RDU131064:RDW131064 RNQ131064:RNS131064 RXM131064:RXO131064 SHI131064:SHK131064 SRE131064:SRG131064 TBA131064:TBC131064 TKW131064:TKY131064 TUS131064:TUU131064 UEO131064:UEQ131064 UOK131064:UOM131064 UYG131064:UYI131064 VIC131064:VIE131064 VRY131064:VSA131064 WBU131064:WBW131064 WLQ131064:WLS131064 WVM131064:WVO131064 G196600:I196600 JA196600:JC196600 SW196600:SY196600 ACS196600:ACU196600 AMO196600:AMQ196600 AWK196600:AWM196600 BGG196600:BGI196600 BQC196600:BQE196600 BZY196600:CAA196600 CJU196600:CJW196600 CTQ196600:CTS196600 DDM196600:DDO196600 DNI196600:DNK196600 DXE196600:DXG196600 EHA196600:EHC196600 EQW196600:EQY196600 FAS196600:FAU196600 FKO196600:FKQ196600 FUK196600:FUM196600 GEG196600:GEI196600 GOC196600:GOE196600 GXY196600:GYA196600 HHU196600:HHW196600 HRQ196600:HRS196600 IBM196600:IBO196600 ILI196600:ILK196600 IVE196600:IVG196600 JFA196600:JFC196600 JOW196600:JOY196600 JYS196600:JYU196600 KIO196600:KIQ196600 KSK196600:KSM196600 LCG196600:LCI196600 LMC196600:LME196600 LVY196600:LWA196600 MFU196600:MFW196600 MPQ196600:MPS196600 MZM196600:MZO196600 NJI196600:NJK196600 NTE196600:NTG196600 ODA196600:ODC196600 OMW196600:OMY196600 OWS196600:OWU196600 PGO196600:PGQ196600 PQK196600:PQM196600 QAG196600:QAI196600 QKC196600:QKE196600 QTY196600:QUA196600 RDU196600:RDW196600 RNQ196600:RNS196600 RXM196600:RXO196600 SHI196600:SHK196600 SRE196600:SRG196600 TBA196600:TBC196600 TKW196600:TKY196600 TUS196600:TUU196600 UEO196600:UEQ196600 UOK196600:UOM196600 UYG196600:UYI196600 VIC196600:VIE196600 VRY196600:VSA196600 WBU196600:WBW196600 WLQ196600:WLS196600 WVM196600:WVO196600 G262136:I262136 JA262136:JC262136 SW262136:SY262136 ACS262136:ACU262136 AMO262136:AMQ262136 AWK262136:AWM262136 BGG262136:BGI262136 BQC262136:BQE262136 BZY262136:CAA262136 CJU262136:CJW262136 CTQ262136:CTS262136 DDM262136:DDO262136 DNI262136:DNK262136 DXE262136:DXG262136 EHA262136:EHC262136 EQW262136:EQY262136 FAS262136:FAU262136 FKO262136:FKQ262136 FUK262136:FUM262136 GEG262136:GEI262136 GOC262136:GOE262136 GXY262136:GYA262136 HHU262136:HHW262136 HRQ262136:HRS262136 IBM262136:IBO262136 ILI262136:ILK262136 IVE262136:IVG262136 JFA262136:JFC262136 JOW262136:JOY262136 JYS262136:JYU262136 KIO262136:KIQ262136 KSK262136:KSM262136 LCG262136:LCI262136 LMC262136:LME262136 LVY262136:LWA262136 MFU262136:MFW262136 MPQ262136:MPS262136 MZM262136:MZO262136 NJI262136:NJK262136 NTE262136:NTG262136 ODA262136:ODC262136 OMW262136:OMY262136 OWS262136:OWU262136 PGO262136:PGQ262136 PQK262136:PQM262136 QAG262136:QAI262136 QKC262136:QKE262136 QTY262136:QUA262136 RDU262136:RDW262136 RNQ262136:RNS262136 RXM262136:RXO262136 SHI262136:SHK262136 SRE262136:SRG262136 TBA262136:TBC262136 TKW262136:TKY262136 TUS262136:TUU262136 UEO262136:UEQ262136 UOK262136:UOM262136 UYG262136:UYI262136 VIC262136:VIE262136 VRY262136:VSA262136 WBU262136:WBW262136 WLQ262136:WLS262136 WVM262136:WVO262136 G327672:I327672 JA327672:JC327672 SW327672:SY327672 ACS327672:ACU327672 AMO327672:AMQ327672 AWK327672:AWM327672 BGG327672:BGI327672 BQC327672:BQE327672 BZY327672:CAA327672 CJU327672:CJW327672 CTQ327672:CTS327672 DDM327672:DDO327672 DNI327672:DNK327672 DXE327672:DXG327672 EHA327672:EHC327672 EQW327672:EQY327672 FAS327672:FAU327672 FKO327672:FKQ327672 FUK327672:FUM327672 GEG327672:GEI327672 GOC327672:GOE327672 GXY327672:GYA327672 HHU327672:HHW327672 HRQ327672:HRS327672 IBM327672:IBO327672 ILI327672:ILK327672 IVE327672:IVG327672 JFA327672:JFC327672 JOW327672:JOY327672 JYS327672:JYU327672 KIO327672:KIQ327672 KSK327672:KSM327672 LCG327672:LCI327672 LMC327672:LME327672 LVY327672:LWA327672 MFU327672:MFW327672 MPQ327672:MPS327672 MZM327672:MZO327672 NJI327672:NJK327672 NTE327672:NTG327672 ODA327672:ODC327672 OMW327672:OMY327672 OWS327672:OWU327672 PGO327672:PGQ327672 PQK327672:PQM327672 QAG327672:QAI327672 QKC327672:QKE327672 QTY327672:QUA327672 RDU327672:RDW327672 RNQ327672:RNS327672 RXM327672:RXO327672 SHI327672:SHK327672 SRE327672:SRG327672 TBA327672:TBC327672 TKW327672:TKY327672 TUS327672:TUU327672 UEO327672:UEQ327672 UOK327672:UOM327672 UYG327672:UYI327672 VIC327672:VIE327672 VRY327672:VSA327672 WBU327672:WBW327672 WLQ327672:WLS327672 WVM327672:WVO327672 G393208:I393208 JA393208:JC393208 SW393208:SY393208 ACS393208:ACU393208 AMO393208:AMQ393208 AWK393208:AWM393208 BGG393208:BGI393208 BQC393208:BQE393208 BZY393208:CAA393208 CJU393208:CJW393208 CTQ393208:CTS393208 DDM393208:DDO393208 DNI393208:DNK393208 DXE393208:DXG393208 EHA393208:EHC393208 EQW393208:EQY393208 FAS393208:FAU393208 FKO393208:FKQ393208 FUK393208:FUM393208 GEG393208:GEI393208 GOC393208:GOE393208 GXY393208:GYA393208 HHU393208:HHW393208 HRQ393208:HRS393208 IBM393208:IBO393208 ILI393208:ILK393208 IVE393208:IVG393208 JFA393208:JFC393208 JOW393208:JOY393208 JYS393208:JYU393208 KIO393208:KIQ393208 KSK393208:KSM393208 LCG393208:LCI393208 LMC393208:LME393208 LVY393208:LWA393208 MFU393208:MFW393208 MPQ393208:MPS393208 MZM393208:MZO393208 NJI393208:NJK393208 NTE393208:NTG393208 ODA393208:ODC393208 OMW393208:OMY393208 OWS393208:OWU393208 PGO393208:PGQ393208 PQK393208:PQM393208 QAG393208:QAI393208 QKC393208:QKE393208 QTY393208:QUA393208 RDU393208:RDW393208 RNQ393208:RNS393208 RXM393208:RXO393208 SHI393208:SHK393208 SRE393208:SRG393208 TBA393208:TBC393208 TKW393208:TKY393208 TUS393208:TUU393208 UEO393208:UEQ393208 UOK393208:UOM393208 UYG393208:UYI393208 VIC393208:VIE393208 VRY393208:VSA393208 WBU393208:WBW393208 WLQ393208:WLS393208 WVM393208:WVO393208 G458744:I458744 JA458744:JC458744 SW458744:SY458744 ACS458744:ACU458744 AMO458744:AMQ458744 AWK458744:AWM458744 BGG458744:BGI458744 BQC458744:BQE458744 BZY458744:CAA458744 CJU458744:CJW458744 CTQ458744:CTS458744 DDM458744:DDO458744 DNI458744:DNK458744 DXE458744:DXG458744 EHA458744:EHC458744 EQW458744:EQY458744 FAS458744:FAU458744 FKO458744:FKQ458744 FUK458744:FUM458744 GEG458744:GEI458744 GOC458744:GOE458744 GXY458744:GYA458744 HHU458744:HHW458744 HRQ458744:HRS458744 IBM458744:IBO458744 ILI458744:ILK458744 IVE458744:IVG458744 JFA458744:JFC458744 JOW458744:JOY458744 JYS458744:JYU458744 KIO458744:KIQ458744 KSK458744:KSM458744 LCG458744:LCI458744 LMC458744:LME458744 LVY458744:LWA458744 MFU458744:MFW458744 MPQ458744:MPS458744 MZM458744:MZO458744 NJI458744:NJK458744 NTE458744:NTG458744 ODA458744:ODC458744 OMW458744:OMY458744 OWS458744:OWU458744 PGO458744:PGQ458744 PQK458744:PQM458744 QAG458744:QAI458744 QKC458744:QKE458744 QTY458744:QUA458744 RDU458744:RDW458744 RNQ458744:RNS458744 RXM458744:RXO458744 SHI458744:SHK458744 SRE458744:SRG458744 TBA458744:TBC458744 TKW458744:TKY458744 TUS458744:TUU458744 UEO458744:UEQ458744 UOK458744:UOM458744 UYG458744:UYI458744 VIC458744:VIE458744 VRY458744:VSA458744 WBU458744:WBW458744 WLQ458744:WLS458744 WVM458744:WVO458744 G524280:I524280 JA524280:JC524280 SW524280:SY524280 ACS524280:ACU524280 AMO524280:AMQ524280 AWK524280:AWM524280 BGG524280:BGI524280 BQC524280:BQE524280 BZY524280:CAA524280 CJU524280:CJW524280 CTQ524280:CTS524280 DDM524280:DDO524280 DNI524280:DNK524280 DXE524280:DXG524280 EHA524280:EHC524280 EQW524280:EQY524280 FAS524280:FAU524280 FKO524280:FKQ524280 FUK524280:FUM524280 GEG524280:GEI524280 GOC524280:GOE524280 GXY524280:GYA524280 HHU524280:HHW524280 HRQ524280:HRS524280 IBM524280:IBO524280 ILI524280:ILK524280 IVE524280:IVG524280 JFA524280:JFC524280 JOW524280:JOY524280 JYS524280:JYU524280 KIO524280:KIQ524280 KSK524280:KSM524280 LCG524280:LCI524280 LMC524280:LME524280 LVY524280:LWA524280 MFU524280:MFW524280 MPQ524280:MPS524280 MZM524280:MZO524280 NJI524280:NJK524280 NTE524280:NTG524280 ODA524280:ODC524280 OMW524280:OMY524280 OWS524280:OWU524280 PGO524280:PGQ524280 PQK524280:PQM524280 QAG524280:QAI524280 QKC524280:QKE524280 QTY524280:QUA524280 RDU524280:RDW524280 RNQ524280:RNS524280 RXM524280:RXO524280 SHI524280:SHK524280 SRE524280:SRG524280 TBA524280:TBC524280 TKW524280:TKY524280 TUS524280:TUU524280 UEO524280:UEQ524280 UOK524280:UOM524280 UYG524280:UYI524280 VIC524280:VIE524280 VRY524280:VSA524280 WBU524280:WBW524280 WLQ524280:WLS524280 WVM524280:WVO524280 G589816:I589816 JA589816:JC589816 SW589816:SY589816 ACS589816:ACU589816 AMO589816:AMQ589816 AWK589816:AWM589816 BGG589816:BGI589816 BQC589816:BQE589816 BZY589816:CAA589816 CJU589816:CJW589816 CTQ589816:CTS589816 DDM589816:DDO589816 DNI589816:DNK589816 DXE589816:DXG589816 EHA589816:EHC589816 EQW589816:EQY589816 FAS589816:FAU589816 FKO589816:FKQ589816 FUK589816:FUM589816 GEG589816:GEI589816 GOC589816:GOE589816 GXY589816:GYA589816 HHU589816:HHW589816 HRQ589816:HRS589816 IBM589816:IBO589816 ILI589816:ILK589816 IVE589816:IVG589816 JFA589816:JFC589816 JOW589816:JOY589816 JYS589816:JYU589816 KIO589816:KIQ589816 KSK589816:KSM589816 LCG589816:LCI589816 LMC589816:LME589816 LVY589816:LWA589816 MFU589816:MFW589816 MPQ589816:MPS589816 MZM589816:MZO589816 NJI589816:NJK589816 NTE589816:NTG589816 ODA589816:ODC589816 OMW589816:OMY589816 OWS589816:OWU589816 PGO589816:PGQ589816 PQK589816:PQM589816 QAG589816:QAI589816 QKC589816:QKE589816 QTY589816:QUA589816 RDU589816:RDW589816 RNQ589816:RNS589816 RXM589816:RXO589816 SHI589816:SHK589816 SRE589816:SRG589816 TBA589816:TBC589816 TKW589816:TKY589816 TUS589816:TUU589816 UEO589816:UEQ589816 UOK589816:UOM589816 UYG589816:UYI589816 VIC589816:VIE589816 VRY589816:VSA589816 WBU589816:WBW589816 WLQ589816:WLS589816 WVM589816:WVO589816 G655352:I655352 JA655352:JC655352 SW655352:SY655352 ACS655352:ACU655352 AMO655352:AMQ655352 AWK655352:AWM655352 BGG655352:BGI655352 BQC655352:BQE655352 BZY655352:CAA655352 CJU655352:CJW655352 CTQ655352:CTS655352 DDM655352:DDO655352 DNI655352:DNK655352 DXE655352:DXG655352 EHA655352:EHC655352 EQW655352:EQY655352 FAS655352:FAU655352 FKO655352:FKQ655352 FUK655352:FUM655352 GEG655352:GEI655352 GOC655352:GOE655352 GXY655352:GYA655352 HHU655352:HHW655352 HRQ655352:HRS655352 IBM655352:IBO655352 ILI655352:ILK655352 IVE655352:IVG655352 JFA655352:JFC655352 JOW655352:JOY655352 JYS655352:JYU655352 KIO655352:KIQ655352 KSK655352:KSM655352 LCG655352:LCI655352 LMC655352:LME655352 LVY655352:LWA655352 MFU655352:MFW655352 MPQ655352:MPS655352 MZM655352:MZO655352 NJI655352:NJK655352 NTE655352:NTG655352 ODA655352:ODC655352 OMW655352:OMY655352 OWS655352:OWU655352 PGO655352:PGQ655352 PQK655352:PQM655352 QAG655352:QAI655352 QKC655352:QKE655352 QTY655352:QUA655352 RDU655352:RDW655352 RNQ655352:RNS655352 RXM655352:RXO655352 SHI655352:SHK655352 SRE655352:SRG655352 TBA655352:TBC655352 TKW655352:TKY655352 TUS655352:TUU655352 UEO655352:UEQ655352 UOK655352:UOM655352 UYG655352:UYI655352 VIC655352:VIE655352 VRY655352:VSA655352 WBU655352:WBW655352 WLQ655352:WLS655352 WVM655352:WVO655352 G720888:I720888 JA720888:JC720888 SW720888:SY720888 ACS720888:ACU720888 AMO720888:AMQ720888 AWK720888:AWM720888 BGG720888:BGI720888 BQC720888:BQE720888 BZY720888:CAA720888 CJU720888:CJW720888 CTQ720888:CTS720888 DDM720888:DDO720888 DNI720888:DNK720888 DXE720888:DXG720888 EHA720888:EHC720888 EQW720888:EQY720888 FAS720888:FAU720888 FKO720888:FKQ720888 FUK720888:FUM720888 GEG720888:GEI720888 GOC720888:GOE720888 GXY720888:GYA720888 HHU720888:HHW720888 HRQ720888:HRS720888 IBM720888:IBO720888 ILI720888:ILK720888 IVE720888:IVG720888 JFA720888:JFC720888 JOW720888:JOY720888 JYS720888:JYU720888 KIO720888:KIQ720888 KSK720888:KSM720888 LCG720888:LCI720888 LMC720888:LME720888 LVY720888:LWA720888 MFU720888:MFW720888 MPQ720888:MPS720888 MZM720888:MZO720888 NJI720888:NJK720888 NTE720888:NTG720888 ODA720888:ODC720888 OMW720888:OMY720888 OWS720888:OWU720888 PGO720888:PGQ720888 PQK720888:PQM720888 QAG720888:QAI720888 QKC720888:QKE720888 QTY720888:QUA720888 RDU720888:RDW720888 RNQ720888:RNS720888 RXM720888:RXO720888 SHI720888:SHK720888 SRE720888:SRG720888 TBA720888:TBC720888 TKW720888:TKY720888 TUS720888:TUU720888 UEO720888:UEQ720888 UOK720888:UOM720888 UYG720888:UYI720888 VIC720888:VIE720888 VRY720888:VSA720888 WBU720888:WBW720888 WLQ720888:WLS720888 WVM720888:WVO720888 G786424:I786424 JA786424:JC786424 SW786424:SY786424 ACS786424:ACU786424 AMO786424:AMQ786424 AWK786424:AWM786424 BGG786424:BGI786424 BQC786424:BQE786424 BZY786424:CAA786424 CJU786424:CJW786424 CTQ786424:CTS786424 DDM786424:DDO786424 DNI786424:DNK786424 DXE786424:DXG786424 EHA786424:EHC786424 EQW786424:EQY786424 FAS786424:FAU786424 FKO786424:FKQ786424 FUK786424:FUM786424 GEG786424:GEI786424 GOC786424:GOE786424 GXY786424:GYA786424 HHU786424:HHW786424 HRQ786424:HRS786424 IBM786424:IBO786424 ILI786424:ILK786424 IVE786424:IVG786424 JFA786424:JFC786424 JOW786424:JOY786424 JYS786424:JYU786424 KIO786424:KIQ786424 KSK786424:KSM786424 LCG786424:LCI786424 LMC786424:LME786424 LVY786424:LWA786424 MFU786424:MFW786424 MPQ786424:MPS786424 MZM786424:MZO786424 NJI786424:NJK786424 NTE786424:NTG786424 ODA786424:ODC786424 OMW786424:OMY786424 OWS786424:OWU786424 PGO786424:PGQ786424 PQK786424:PQM786424 QAG786424:QAI786424 QKC786424:QKE786424 QTY786424:QUA786424 RDU786424:RDW786424 RNQ786424:RNS786424 RXM786424:RXO786424 SHI786424:SHK786424 SRE786424:SRG786424 TBA786424:TBC786424 TKW786424:TKY786424 TUS786424:TUU786424 UEO786424:UEQ786424 UOK786424:UOM786424 UYG786424:UYI786424 VIC786424:VIE786424 VRY786424:VSA786424 WBU786424:WBW786424 WLQ786424:WLS786424 WVM786424:WVO786424 G851960:I851960 JA851960:JC851960 SW851960:SY851960 ACS851960:ACU851960 AMO851960:AMQ851960 AWK851960:AWM851960 BGG851960:BGI851960 BQC851960:BQE851960 BZY851960:CAA851960 CJU851960:CJW851960 CTQ851960:CTS851960 DDM851960:DDO851960 DNI851960:DNK851960 DXE851960:DXG851960 EHA851960:EHC851960 EQW851960:EQY851960 FAS851960:FAU851960 FKO851960:FKQ851960 FUK851960:FUM851960 GEG851960:GEI851960 GOC851960:GOE851960 GXY851960:GYA851960 HHU851960:HHW851960 HRQ851960:HRS851960 IBM851960:IBO851960 ILI851960:ILK851960 IVE851960:IVG851960 JFA851960:JFC851960 JOW851960:JOY851960 JYS851960:JYU851960 KIO851960:KIQ851960 KSK851960:KSM851960 LCG851960:LCI851960 LMC851960:LME851960 LVY851960:LWA851960 MFU851960:MFW851960 MPQ851960:MPS851960 MZM851960:MZO851960 NJI851960:NJK851960 NTE851960:NTG851960 ODA851960:ODC851960 OMW851960:OMY851960 OWS851960:OWU851960 PGO851960:PGQ851960 PQK851960:PQM851960 QAG851960:QAI851960 QKC851960:QKE851960 QTY851960:QUA851960 RDU851960:RDW851960 RNQ851960:RNS851960 RXM851960:RXO851960 SHI851960:SHK851960 SRE851960:SRG851960 TBA851960:TBC851960 TKW851960:TKY851960 TUS851960:TUU851960 UEO851960:UEQ851960 UOK851960:UOM851960 UYG851960:UYI851960 VIC851960:VIE851960 VRY851960:VSA851960 WBU851960:WBW851960 WLQ851960:WLS851960 WVM851960:WVO851960 G917496:I917496 JA917496:JC917496 SW917496:SY917496 ACS917496:ACU917496 AMO917496:AMQ917496 AWK917496:AWM917496 BGG917496:BGI917496 BQC917496:BQE917496 BZY917496:CAA917496 CJU917496:CJW917496 CTQ917496:CTS917496 DDM917496:DDO917496 DNI917496:DNK917496 DXE917496:DXG917496 EHA917496:EHC917496 EQW917496:EQY917496 FAS917496:FAU917496 FKO917496:FKQ917496 FUK917496:FUM917496 GEG917496:GEI917496 GOC917496:GOE917496 GXY917496:GYA917496 HHU917496:HHW917496 HRQ917496:HRS917496 IBM917496:IBO917496 ILI917496:ILK917496 IVE917496:IVG917496 JFA917496:JFC917496 JOW917496:JOY917496 JYS917496:JYU917496 KIO917496:KIQ917496 KSK917496:KSM917496 LCG917496:LCI917496 LMC917496:LME917496 LVY917496:LWA917496 MFU917496:MFW917496 MPQ917496:MPS917496 MZM917496:MZO917496 NJI917496:NJK917496 NTE917496:NTG917496 ODA917496:ODC917496 OMW917496:OMY917496 OWS917496:OWU917496 PGO917496:PGQ917496 PQK917496:PQM917496 QAG917496:QAI917496 QKC917496:QKE917496 QTY917496:QUA917496 RDU917496:RDW917496 RNQ917496:RNS917496 RXM917496:RXO917496 SHI917496:SHK917496 SRE917496:SRG917496 TBA917496:TBC917496 TKW917496:TKY917496 TUS917496:TUU917496 UEO917496:UEQ917496 UOK917496:UOM917496 UYG917496:UYI917496 VIC917496:VIE917496 VRY917496:VSA917496 WBU917496:WBW917496 WLQ917496:WLS917496 WVM917496:WVO917496 G983032:I983032 JA983032:JC983032 SW983032:SY983032 ACS983032:ACU983032 AMO983032:AMQ983032 AWK983032:AWM983032 BGG983032:BGI983032 BQC983032:BQE983032 BZY983032:CAA983032 CJU983032:CJW983032 CTQ983032:CTS983032 DDM983032:DDO983032 DNI983032:DNK983032 DXE983032:DXG983032 EHA983032:EHC983032 EQW983032:EQY983032 FAS983032:FAU983032 FKO983032:FKQ983032 FUK983032:FUM983032 GEG983032:GEI983032 GOC983032:GOE983032 GXY983032:GYA983032 HHU983032:HHW983032 HRQ983032:HRS983032 IBM983032:IBO983032 ILI983032:ILK983032 IVE983032:IVG983032 JFA983032:JFC983032 JOW983032:JOY983032 JYS983032:JYU983032 KIO983032:KIQ983032 KSK983032:KSM983032 LCG983032:LCI983032 LMC983032:LME983032 LVY983032:LWA983032 MFU983032:MFW983032 MPQ983032:MPS983032 MZM983032:MZO983032 NJI983032:NJK983032 NTE983032:NTG983032 ODA983032:ODC983032 OMW983032:OMY983032 OWS983032:OWU983032 PGO983032:PGQ983032 PQK983032:PQM983032 QAG983032:QAI983032 QKC983032:QKE983032 QTY983032:QUA983032 RDU983032:RDW983032 RNQ983032:RNS983032 RXM983032:RXO983032 SHI983032:SHK983032 SRE983032:SRG983032 TBA983032:TBC983032 TKW983032:TKY983032 TUS983032:TUU983032 UEO983032:UEQ983032 UOK983032:UOM983032 UYG983032:UYI983032 VIC983032:VIE983032 VRY983032:VSA983032 WBU983032:WBW983032 WLQ983032:WLS983032 WVM983032:WVO983032 G65541:I65541 JA65541:JC65541 SW65541:SY65541 ACS65541:ACU65541 AMO65541:AMQ65541 AWK65541:AWM65541 BGG65541:BGI65541 BQC65541:BQE65541 BZY65541:CAA65541 CJU65541:CJW65541 CTQ65541:CTS65541 DDM65541:DDO65541 DNI65541:DNK65541 DXE65541:DXG65541 EHA65541:EHC65541 EQW65541:EQY65541 FAS65541:FAU65541 FKO65541:FKQ65541 FUK65541:FUM65541 GEG65541:GEI65541 GOC65541:GOE65541 GXY65541:GYA65541 HHU65541:HHW65541 HRQ65541:HRS65541 IBM65541:IBO65541 ILI65541:ILK65541 IVE65541:IVG65541 JFA65541:JFC65541 JOW65541:JOY65541 JYS65541:JYU65541 KIO65541:KIQ65541 KSK65541:KSM65541 LCG65541:LCI65541 LMC65541:LME65541 LVY65541:LWA65541 MFU65541:MFW65541 MPQ65541:MPS65541 MZM65541:MZO65541 NJI65541:NJK65541 NTE65541:NTG65541 ODA65541:ODC65541 OMW65541:OMY65541 OWS65541:OWU65541 PGO65541:PGQ65541 PQK65541:PQM65541 QAG65541:QAI65541 QKC65541:QKE65541 QTY65541:QUA65541 RDU65541:RDW65541 RNQ65541:RNS65541 RXM65541:RXO65541 SHI65541:SHK65541 SRE65541:SRG65541 TBA65541:TBC65541 TKW65541:TKY65541 TUS65541:TUU65541 UEO65541:UEQ65541 UOK65541:UOM65541 UYG65541:UYI65541 VIC65541:VIE65541 VRY65541:VSA65541 WBU65541:WBW65541 WLQ65541:WLS65541 WVM65541:WVO65541 G131077:I131077 JA131077:JC131077 SW131077:SY131077 ACS131077:ACU131077 AMO131077:AMQ131077 AWK131077:AWM131077 BGG131077:BGI131077 BQC131077:BQE131077 BZY131077:CAA131077 CJU131077:CJW131077 CTQ131077:CTS131077 DDM131077:DDO131077 DNI131077:DNK131077 DXE131077:DXG131077 EHA131077:EHC131077 EQW131077:EQY131077 FAS131077:FAU131077 FKO131077:FKQ131077 FUK131077:FUM131077 GEG131077:GEI131077 GOC131077:GOE131077 GXY131077:GYA131077 HHU131077:HHW131077 HRQ131077:HRS131077 IBM131077:IBO131077 ILI131077:ILK131077 IVE131077:IVG131077 JFA131077:JFC131077 JOW131077:JOY131077 JYS131077:JYU131077 KIO131077:KIQ131077 KSK131077:KSM131077 LCG131077:LCI131077 LMC131077:LME131077 LVY131077:LWA131077 MFU131077:MFW131077 MPQ131077:MPS131077 MZM131077:MZO131077 NJI131077:NJK131077 NTE131077:NTG131077 ODA131077:ODC131077 OMW131077:OMY131077 OWS131077:OWU131077 PGO131077:PGQ131077 PQK131077:PQM131077 QAG131077:QAI131077 QKC131077:QKE131077 QTY131077:QUA131077 RDU131077:RDW131077 RNQ131077:RNS131077 RXM131077:RXO131077 SHI131077:SHK131077 SRE131077:SRG131077 TBA131077:TBC131077 TKW131077:TKY131077 TUS131077:TUU131077 UEO131077:UEQ131077 UOK131077:UOM131077 UYG131077:UYI131077 VIC131077:VIE131077 VRY131077:VSA131077 WBU131077:WBW131077 WLQ131077:WLS131077 WVM131077:WVO131077 G196613:I196613 JA196613:JC196613 SW196613:SY196613 ACS196613:ACU196613 AMO196613:AMQ196613 AWK196613:AWM196613 BGG196613:BGI196613 BQC196613:BQE196613 BZY196613:CAA196613 CJU196613:CJW196613 CTQ196613:CTS196613 DDM196613:DDO196613 DNI196613:DNK196613 DXE196613:DXG196613 EHA196613:EHC196613 EQW196613:EQY196613 FAS196613:FAU196613 FKO196613:FKQ196613 FUK196613:FUM196613 GEG196613:GEI196613 GOC196613:GOE196613 GXY196613:GYA196613 HHU196613:HHW196613 HRQ196613:HRS196613 IBM196613:IBO196613 ILI196613:ILK196613 IVE196613:IVG196613 JFA196613:JFC196613 JOW196613:JOY196613 JYS196613:JYU196613 KIO196613:KIQ196613 KSK196613:KSM196613 LCG196613:LCI196613 LMC196613:LME196613 LVY196613:LWA196613 MFU196613:MFW196613 MPQ196613:MPS196613 MZM196613:MZO196613 NJI196613:NJK196613 NTE196613:NTG196613 ODA196613:ODC196613 OMW196613:OMY196613 OWS196613:OWU196613 PGO196613:PGQ196613 PQK196613:PQM196613 QAG196613:QAI196613 QKC196613:QKE196613 QTY196613:QUA196613 RDU196613:RDW196613 RNQ196613:RNS196613 RXM196613:RXO196613 SHI196613:SHK196613 SRE196613:SRG196613 TBA196613:TBC196613 TKW196613:TKY196613 TUS196613:TUU196613 UEO196613:UEQ196613 UOK196613:UOM196613 UYG196613:UYI196613 VIC196613:VIE196613 VRY196613:VSA196613 WBU196613:WBW196613 WLQ196613:WLS196613 WVM196613:WVO196613 G262149:I262149 JA262149:JC262149 SW262149:SY262149 ACS262149:ACU262149 AMO262149:AMQ262149 AWK262149:AWM262149 BGG262149:BGI262149 BQC262149:BQE262149 BZY262149:CAA262149 CJU262149:CJW262149 CTQ262149:CTS262149 DDM262149:DDO262149 DNI262149:DNK262149 DXE262149:DXG262149 EHA262149:EHC262149 EQW262149:EQY262149 FAS262149:FAU262149 FKO262149:FKQ262149 FUK262149:FUM262149 GEG262149:GEI262149 GOC262149:GOE262149 GXY262149:GYA262149 HHU262149:HHW262149 HRQ262149:HRS262149 IBM262149:IBO262149 ILI262149:ILK262149 IVE262149:IVG262149 JFA262149:JFC262149 JOW262149:JOY262149 JYS262149:JYU262149 KIO262149:KIQ262149 KSK262149:KSM262149 LCG262149:LCI262149 LMC262149:LME262149 LVY262149:LWA262149 MFU262149:MFW262149 MPQ262149:MPS262149 MZM262149:MZO262149 NJI262149:NJK262149 NTE262149:NTG262149 ODA262149:ODC262149 OMW262149:OMY262149 OWS262149:OWU262149 PGO262149:PGQ262149 PQK262149:PQM262149 QAG262149:QAI262149 QKC262149:QKE262149 QTY262149:QUA262149 RDU262149:RDW262149 RNQ262149:RNS262149 RXM262149:RXO262149 SHI262149:SHK262149 SRE262149:SRG262149 TBA262149:TBC262149 TKW262149:TKY262149 TUS262149:TUU262149 UEO262149:UEQ262149 UOK262149:UOM262149 UYG262149:UYI262149 VIC262149:VIE262149 VRY262149:VSA262149 WBU262149:WBW262149 WLQ262149:WLS262149 WVM262149:WVO262149 G327685:I327685 JA327685:JC327685 SW327685:SY327685 ACS327685:ACU327685 AMO327685:AMQ327685 AWK327685:AWM327685 BGG327685:BGI327685 BQC327685:BQE327685 BZY327685:CAA327685 CJU327685:CJW327685 CTQ327685:CTS327685 DDM327685:DDO327685 DNI327685:DNK327685 DXE327685:DXG327685 EHA327685:EHC327685 EQW327685:EQY327685 FAS327685:FAU327685 FKO327685:FKQ327685 FUK327685:FUM327685 GEG327685:GEI327685 GOC327685:GOE327685 GXY327685:GYA327685 HHU327685:HHW327685 HRQ327685:HRS327685 IBM327685:IBO327685 ILI327685:ILK327685 IVE327685:IVG327685 JFA327685:JFC327685 JOW327685:JOY327685 JYS327685:JYU327685 KIO327685:KIQ327685 KSK327685:KSM327685 LCG327685:LCI327685 LMC327685:LME327685 LVY327685:LWA327685 MFU327685:MFW327685 MPQ327685:MPS327685 MZM327685:MZO327685 NJI327685:NJK327685 NTE327685:NTG327685 ODA327685:ODC327685 OMW327685:OMY327685 OWS327685:OWU327685 PGO327685:PGQ327685 PQK327685:PQM327685 QAG327685:QAI327685 QKC327685:QKE327685 QTY327685:QUA327685 RDU327685:RDW327685 RNQ327685:RNS327685 RXM327685:RXO327685 SHI327685:SHK327685 SRE327685:SRG327685 TBA327685:TBC327685 TKW327685:TKY327685 TUS327685:TUU327685 UEO327685:UEQ327685 UOK327685:UOM327685 UYG327685:UYI327685 VIC327685:VIE327685 VRY327685:VSA327685 WBU327685:WBW327685 WLQ327685:WLS327685 WVM327685:WVO327685 G393221:I393221 JA393221:JC393221 SW393221:SY393221 ACS393221:ACU393221 AMO393221:AMQ393221 AWK393221:AWM393221 BGG393221:BGI393221 BQC393221:BQE393221 BZY393221:CAA393221 CJU393221:CJW393221 CTQ393221:CTS393221 DDM393221:DDO393221 DNI393221:DNK393221 DXE393221:DXG393221 EHA393221:EHC393221 EQW393221:EQY393221 FAS393221:FAU393221 FKO393221:FKQ393221 FUK393221:FUM393221 GEG393221:GEI393221 GOC393221:GOE393221 GXY393221:GYA393221 HHU393221:HHW393221 HRQ393221:HRS393221 IBM393221:IBO393221 ILI393221:ILK393221 IVE393221:IVG393221 JFA393221:JFC393221 JOW393221:JOY393221 JYS393221:JYU393221 KIO393221:KIQ393221 KSK393221:KSM393221 LCG393221:LCI393221 LMC393221:LME393221 LVY393221:LWA393221 MFU393221:MFW393221 MPQ393221:MPS393221 MZM393221:MZO393221 NJI393221:NJK393221 NTE393221:NTG393221 ODA393221:ODC393221 OMW393221:OMY393221 OWS393221:OWU393221 PGO393221:PGQ393221 PQK393221:PQM393221 QAG393221:QAI393221 QKC393221:QKE393221 QTY393221:QUA393221 RDU393221:RDW393221 RNQ393221:RNS393221 RXM393221:RXO393221 SHI393221:SHK393221 SRE393221:SRG393221 TBA393221:TBC393221 TKW393221:TKY393221 TUS393221:TUU393221 UEO393221:UEQ393221 UOK393221:UOM393221 UYG393221:UYI393221 VIC393221:VIE393221 VRY393221:VSA393221 WBU393221:WBW393221 WLQ393221:WLS393221 WVM393221:WVO393221 G458757:I458757 JA458757:JC458757 SW458757:SY458757 ACS458757:ACU458757 AMO458757:AMQ458757 AWK458757:AWM458757 BGG458757:BGI458757 BQC458757:BQE458757 BZY458757:CAA458757 CJU458757:CJW458757 CTQ458757:CTS458757 DDM458757:DDO458757 DNI458757:DNK458757 DXE458757:DXG458757 EHA458757:EHC458757 EQW458757:EQY458757 FAS458757:FAU458757 FKO458757:FKQ458757 FUK458757:FUM458757 GEG458757:GEI458757 GOC458757:GOE458757 GXY458757:GYA458757 HHU458757:HHW458757 HRQ458757:HRS458757 IBM458757:IBO458757 ILI458757:ILK458757 IVE458757:IVG458757 JFA458757:JFC458757 JOW458757:JOY458757 JYS458757:JYU458757 KIO458757:KIQ458757 KSK458757:KSM458757 LCG458757:LCI458757 LMC458757:LME458757 LVY458757:LWA458757 MFU458757:MFW458757 MPQ458757:MPS458757 MZM458757:MZO458757 NJI458757:NJK458757 NTE458757:NTG458757 ODA458757:ODC458757 OMW458757:OMY458757 OWS458757:OWU458757 PGO458757:PGQ458757 PQK458757:PQM458757 QAG458757:QAI458757 QKC458757:QKE458757 QTY458757:QUA458757 RDU458757:RDW458757 RNQ458757:RNS458757 RXM458757:RXO458757 SHI458757:SHK458757 SRE458757:SRG458757 TBA458757:TBC458757 TKW458757:TKY458757 TUS458757:TUU458757 UEO458757:UEQ458757 UOK458757:UOM458757 UYG458757:UYI458757 VIC458757:VIE458757 VRY458757:VSA458757 WBU458757:WBW458757 WLQ458757:WLS458757 WVM458757:WVO458757 G524293:I524293 JA524293:JC524293 SW524293:SY524293 ACS524293:ACU524293 AMO524293:AMQ524293 AWK524293:AWM524293 BGG524293:BGI524293 BQC524293:BQE524293 BZY524293:CAA524293 CJU524293:CJW524293 CTQ524293:CTS524293 DDM524293:DDO524293 DNI524293:DNK524293 DXE524293:DXG524293 EHA524293:EHC524293 EQW524293:EQY524293 FAS524293:FAU524293 FKO524293:FKQ524293 FUK524293:FUM524293 GEG524293:GEI524293 GOC524293:GOE524293 GXY524293:GYA524293 HHU524293:HHW524293 HRQ524293:HRS524293 IBM524293:IBO524293 ILI524293:ILK524293 IVE524293:IVG524293 JFA524293:JFC524293 JOW524293:JOY524293 JYS524293:JYU524293 KIO524293:KIQ524293 KSK524293:KSM524293 LCG524293:LCI524293 LMC524293:LME524293 LVY524293:LWA524293 MFU524293:MFW524293 MPQ524293:MPS524293 MZM524293:MZO524293 NJI524293:NJK524293 NTE524293:NTG524293 ODA524293:ODC524293 OMW524293:OMY524293 OWS524293:OWU524293 PGO524293:PGQ524293 PQK524293:PQM524293 QAG524293:QAI524293 QKC524293:QKE524293 QTY524293:QUA524293 RDU524293:RDW524293 RNQ524293:RNS524293 RXM524293:RXO524293 SHI524293:SHK524293 SRE524293:SRG524293 TBA524293:TBC524293 TKW524293:TKY524293 TUS524293:TUU524293 UEO524293:UEQ524293 UOK524293:UOM524293 UYG524293:UYI524293 VIC524293:VIE524293 VRY524293:VSA524293 WBU524293:WBW524293 WLQ524293:WLS524293 WVM524293:WVO524293 G589829:I589829 JA589829:JC589829 SW589829:SY589829 ACS589829:ACU589829 AMO589829:AMQ589829 AWK589829:AWM589829 BGG589829:BGI589829 BQC589829:BQE589829 BZY589829:CAA589829 CJU589829:CJW589829 CTQ589829:CTS589829 DDM589829:DDO589829 DNI589829:DNK589829 DXE589829:DXG589829 EHA589829:EHC589829 EQW589829:EQY589829 FAS589829:FAU589829 FKO589829:FKQ589829 FUK589829:FUM589829 GEG589829:GEI589829 GOC589829:GOE589829 GXY589829:GYA589829 HHU589829:HHW589829 HRQ589829:HRS589829 IBM589829:IBO589829 ILI589829:ILK589829 IVE589829:IVG589829 JFA589829:JFC589829 JOW589829:JOY589829 JYS589829:JYU589829 KIO589829:KIQ589829 KSK589829:KSM589829 LCG589829:LCI589829 LMC589829:LME589829 LVY589829:LWA589829 MFU589829:MFW589829 MPQ589829:MPS589829 MZM589829:MZO589829 NJI589829:NJK589829 NTE589829:NTG589829 ODA589829:ODC589829 OMW589829:OMY589829 OWS589829:OWU589829 PGO589829:PGQ589829 PQK589829:PQM589829 QAG589829:QAI589829 QKC589829:QKE589829 QTY589829:QUA589829 RDU589829:RDW589829 RNQ589829:RNS589829 RXM589829:RXO589829 SHI589829:SHK589829 SRE589829:SRG589829 TBA589829:TBC589829 TKW589829:TKY589829 TUS589829:TUU589829 UEO589829:UEQ589829 UOK589829:UOM589829 UYG589829:UYI589829 VIC589829:VIE589829 VRY589829:VSA589829 WBU589829:WBW589829 WLQ589829:WLS589829 WVM589829:WVO589829 G655365:I655365 JA655365:JC655365 SW655365:SY655365 ACS655365:ACU655365 AMO655365:AMQ655365 AWK655365:AWM655365 BGG655365:BGI655365 BQC655365:BQE655365 BZY655365:CAA655365 CJU655365:CJW655365 CTQ655365:CTS655365 DDM655365:DDO655365 DNI655365:DNK655365 DXE655365:DXG655365 EHA655365:EHC655365 EQW655365:EQY655365 FAS655365:FAU655365 FKO655365:FKQ655365 FUK655365:FUM655365 GEG655365:GEI655365 GOC655365:GOE655365 GXY655365:GYA655365 HHU655365:HHW655365 HRQ655365:HRS655365 IBM655365:IBO655365 ILI655365:ILK655365 IVE655365:IVG655365 JFA655365:JFC655365 JOW655365:JOY655365 JYS655365:JYU655365 KIO655365:KIQ655365 KSK655365:KSM655365 LCG655365:LCI655365 LMC655365:LME655365 LVY655365:LWA655365 MFU655365:MFW655365 MPQ655365:MPS655365 MZM655365:MZO655365 NJI655365:NJK655365 NTE655365:NTG655365 ODA655365:ODC655365 OMW655365:OMY655365 OWS655365:OWU655365 PGO655365:PGQ655365 PQK655365:PQM655365 QAG655365:QAI655365 QKC655365:QKE655365 QTY655365:QUA655365 RDU655365:RDW655365 RNQ655365:RNS655365 RXM655365:RXO655365 SHI655365:SHK655365 SRE655365:SRG655365 TBA655365:TBC655365 TKW655365:TKY655365 TUS655365:TUU655365 UEO655365:UEQ655365 UOK655365:UOM655365 UYG655365:UYI655365 VIC655365:VIE655365 VRY655365:VSA655365 WBU655365:WBW655365 WLQ655365:WLS655365 WVM655365:WVO655365 G720901:I720901 JA720901:JC720901 SW720901:SY720901 ACS720901:ACU720901 AMO720901:AMQ720901 AWK720901:AWM720901 BGG720901:BGI720901 BQC720901:BQE720901 BZY720901:CAA720901 CJU720901:CJW720901 CTQ720901:CTS720901 DDM720901:DDO720901 DNI720901:DNK720901 DXE720901:DXG720901 EHA720901:EHC720901 EQW720901:EQY720901 FAS720901:FAU720901 FKO720901:FKQ720901 FUK720901:FUM720901 GEG720901:GEI720901 GOC720901:GOE720901 GXY720901:GYA720901 HHU720901:HHW720901 HRQ720901:HRS720901 IBM720901:IBO720901 ILI720901:ILK720901 IVE720901:IVG720901 JFA720901:JFC720901 JOW720901:JOY720901 JYS720901:JYU720901 KIO720901:KIQ720901 KSK720901:KSM720901 LCG720901:LCI720901 LMC720901:LME720901 LVY720901:LWA720901 MFU720901:MFW720901 MPQ720901:MPS720901 MZM720901:MZO720901 NJI720901:NJK720901 NTE720901:NTG720901 ODA720901:ODC720901 OMW720901:OMY720901 OWS720901:OWU720901 PGO720901:PGQ720901 PQK720901:PQM720901 QAG720901:QAI720901 QKC720901:QKE720901 QTY720901:QUA720901 RDU720901:RDW720901 RNQ720901:RNS720901 RXM720901:RXO720901 SHI720901:SHK720901 SRE720901:SRG720901 TBA720901:TBC720901 TKW720901:TKY720901 TUS720901:TUU720901 UEO720901:UEQ720901 UOK720901:UOM720901 UYG720901:UYI720901 VIC720901:VIE720901 VRY720901:VSA720901 WBU720901:WBW720901 WLQ720901:WLS720901 WVM720901:WVO720901 G786437:I786437 JA786437:JC786437 SW786437:SY786437 ACS786437:ACU786437 AMO786437:AMQ786437 AWK786437:AWM786437 BGG786437:BGI786437 BQC786437:BQE786437 BZY786437:CAA786437 CJU786437:CJW786437 CTQ786437:CTS786437 DDM786437:DDO786437 DNI786437:DNK786437 DXE786437:DXG786437 EHA786437:EHC786437 EQW786437:EQY786437 FAS786437:FAU786437 FKO786437:FKQ786437 FUK786437:FUM786437 GEG786437:GEI786437 GOC786437:GOE786437 GXY786437:GYA786437 HHU786437:HHW786437 HRQ786437:HRS786437 IBM786437:IBO786437 ILI786437:ILK786437 IVE786437:IVG786437 JFA786437:JFC786437 JOW786437:JOY786437 JYS786437:JYU786437 KIO786437:KIQ786437 KSK786437:KSM786437 LCG786437:LCI786437 LMC786437:LME786437 LVY786437:LWA786437 MFU786437:MFW786437 MPQ786437:MPS786437 MZM786437:MZO786437 NJI786437:NJK786437 NTE786437:NTG786437 ODA786437:ODC786437 OMW786437:OMY786437 OWS786437:OWU786437 PGO786437:PGQ786437 PQK786437:PQM786437 QAG786437:QAI786437 QKC786437:QKE786437 QTY786437:QUA786437 RDU786437:RDW786437 RNQ786437:RNS786437 RXM786437:RXO786437 SHI786437:SHK786437 SRE786437:SRG786437 TBA786437:TBC786437 TKW786437:TKY786437 TUS786437:TUU786437 UEO786437:UEQ786437 UOK786437:UOM786437 UYG786437:UYI786437 VIC786437:VIE786437 VRY786437:VSA786437 WBU786437:WBW786437 WLQ786437:WLS786437 WVM786437:WVO786437 G851973:I851973 JA851973:JC851973 SW851973:SY851973 ACS851973:ACU851973 AMO851973:AMQ851973 AWK851973:AWM851973 BGG851973:BGI851973 BQC851973:BQE851973 BZY851973:CAA851973 CJU851973:CJW851973 CTQ851973:CTS851973 DDM851973:DDO851973 DNI851973:DNK851973 DXE851973:DXG851973 EHA851973:EHC851973 EQW851973:EQY851973 FAS851973:FAU851973 FKO851973:FKQ851973 FUK851973:FUM851973 GEG851973:GEI851973 GOC851973:GOE851973 GXY851973:GYA851973 HHU851973:HHW851973 HRQ851973:HRS851973 IBM851973:IBO851973 ILI851973:ILK851973 IVE851973:IVG851973 JFA851973:JFC851973 JOW851973:JOY851973 JYS851973:JYU851973 KIO851973:KIQ851973 KSK851973:KSM851973 LCG851973:LCI851973 LMC851973:LME851973 LVY851973:LWA851973 MFU851973:MFW851973 MPQ851973:MPS851973 MZM851973:MZO851973 NJI851973:NJK851973 NTE851973:NTG851973 ODA851973:ODC851973 OMW851973:OMY851973 OWS851973:OWU851973 PGO851973:PGQ851973 PQK851973:PQM851973 QAG851973:QAI851973 QKC851973:QKE851973 QTY851973:QUA851973 RDU851973:RDW851973 RNQ851973:RNS851973 RXM851973:RXO851973 SHI851973:SHK851973 SRE851973:SRG851973 TBA851973:TBC851973 TKW851973:TKY851973 TUS851973:TUU851973 UEO851973:UEQ851973 UOK851973:UOM851973 UYG851973:UYI851973 VIC851973:VIE851973 VRY851973:VSA851973 WBU851973:WBW851973 WLQ851973:WLS851973 WVM851973:WVO851973 G917509:I917509 JA917509:JC917509 SW917509:SY917509 ACS917509:ACU917509 AMO917509:AMQ917509 AWK917509:AWM917509 BGG917509:BGI917509 BQC917509:BQE917509 BZY917509:CAA917509 CJU917509:CJW917509 CTQ917509:CTS917509 DDM917509:DDO917509 DNI917509:DNK917509 DXE917509:DXG917509 EHA917509:EHC917509 EQW917509:EQY917509 FAS917509:FAU917509 FKO917509:FKQ917509 FUK917509:FUM917509 GEG917509:GEI917509 GOC917509:GOE917509 GXY917509:GYA917509 HHU917509:HHW917509 HRQ917509:HRS917509 IBM917509:IBO917509 ILI917509:ILK917509 IVE917509:IVG917509 JFA917509:JFC917509 JOW917509:JOY917509 JYS917509:JYU917509 KIO917509:KIQ917509 KSK917509:KSM917509 LCG917509:LCI917509 LMC917509:LME917509 LVY917509:LWA917509 MFU917509:MFW917509 MPQ917509:MPS917509 MZM917509:MZO917509 NJI917509:NJK917509 NTE917509:NTG917509 ODA917509:ODC917509 OMW917509:OMY917509 OWS917509:OWU917509 PGO917509:PGQ917509 PQK917509:PQM917509 QAG917509:QAI917509 QKC917509:QKE917509 QTY917509:QUA917509 RDU917509:RDW917509 RNQ917509:RNS917509 RXM917509:RXO917509 SHI917509:SHK917509 SRE917509:SRG917509 TBA917509:TBC917509 TKW917509:TKY917509 TUS917509:TUU917509 UEO917509:UEQ917509 UOK917509:UOM917509 UYG917509:UYI917509 VIC917509:VIE917509 VRY917509:VSA917509 WBU917509:WBW917509 WLQ917509:WLS917509 WVM917509:WVO917509 G983045:I983045 JA983045:JC983045 SW983045:SY983045 ACS983045:ACU983045 AMO983045:AMQ983045 AWK983045:AWM983045 BGG983045:BGI983045 BQC983045:BQE983045 BZY983045:CAA983045 CJU983045:CJW983045 CTQ983045:CTS983045 DDM983045:DDO983045 DNI983045:DNK983045 DXE983045:DXG983045 EHA983045:EHC983045 EQW983045:EQY983045 FAS983045:FAU983045 FKO983045:FKQ983045 FUK983045:FUM983045 GEG983045:GEI983045 GOC983045:GOE983045 GXY983045:GYA983045 HHU983045:HHW983045 HRQ983045:HRS983045 IBM983045:IBO983045 ILI983045:ILK983045 IVE983045:IVG983045 JFA983045:JFC983045 JOW983045:JOY983045 JYS983045:JYU983045 KIO983045:KIQ983045 KSK983045:KSM983045 LCG983045:LCI983045 LMC983045:LME983045 LVY983045:LWA983045 MFU983045:MFW983045 MPQ983045:MPS983045 MZM983045:MZO983045 NJI983045:NJK983045 NTE983045:NTG983045 ODA983045:ODC983045 OMW983045:OMY983045 OWS983045:OWU983045 PGO983045:PGQ983045 PQK983045:PQM983045 QAG983045:QAI983045 QKC983045:QKE983045 QTY983045:QUA983045 RDU983045:RDW983045 RNQ983045:RNS983045 RXM983045:RXO983045 SHI983045:SHK983045 SRE983045:SRG983045 TBA983045:TBC983045 TKW983045:TKY983045 TUS983045:TUU983045 UEO983045:UEQ983045 UOK983045:UOM983045 UYG983045:UYI983045 VIC983045:VIE983045 VRY983045:VSA983045" xr:uid="{00000000-0002-0000-0F00-000002000000}">
      <formula1>Accnt_Holder</formula1>
    </dataValidation>
    <dataValidation type="list" allowBlank="1" showInputMessage="1" showErrorMessage="1" sqref="J12:K12" xr:uid="{00000000-0002-0000-0F00-000003000000}">
      <formula1>"Current Account, CC/OD Account"</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WC99"/>
  <sheetViews>
    <sheetView showGridLines="0" workbookViewId="0">
      <selection activeCell="J21" sqref="J21"/>
    </sheetView>
  </sheetViews>
  <sheetFormatPr defaultColWidth="0" defaultRowHeight="12" zeroHeight="1"/>
  <cols>
    <col min="1" max="1" width="5.28515625" style="321" customWidth="1"/>
    <col min="2" max="2" width="9.140625" style="327" customWidth="1"/>
    <col min="3" max="3" width="12.7109375" style="327" customWidth="1"/>
    <col min="4" max="4" width="13.28515625" style="327" customWidth="1"/>
    <col min="5" max="5" width="12.140625" style="327" customWidth="1"/>
    <col min="6" max="6" width="12" style="327" customWidth="1"/>
    <col min="7" max="12" width="9.140625" style="327" customWidth="1"/>
    <col min="13" max="13" width="13" style="327" customWidth="1"/>
    <col min="14" max="14" width="11.85546875" style="327" customWidth="1"/>
    <col min="15" max="15" width="13.28515625" style="325" customWidth="1"/>
    <col min="16" max="17" width="9.140625" style="325" customWidth="1"/>
    <col min="18" max="19" width="9.140625" style="320" customWidth="1"/>
    <col min="20" max="27" width="0" style="321" hidden="1" customWidth="1"/>
    <col min="28" max="255" width="9.140625" style="321" hidden="1"/>
    <col min="256" max="256" width="8.28515625" style="321" customWidth="1"/>
    <col min="257" max="257" width="12.7109375" style="321" customWidth="1"/>
    <col min="258" max="258" width="13.28515625" style="321" customWidth="1"/>
    <col min="259" max="259" width="12.140625" style="321" customWidth="1"/>
    <col min="260" max="260" width="12" style="321" customWidth="1"/>
    <col min="261" max="266" width="9.140625" style="321" customWidth="1"/>
    <col min="267" max="267" width="13" style="321" customWidth="1"/>
    <col min="268" max="268" width="11.85546875" style="321" customWidth="1"/>
    <col min="269" max="269" width="13.28515625" style="321" customWidth="1"/>
    <col min="270" max="275" width="9.140625" style="321" customWidth="1"/>
    <col min="276" max="283" width="9.140625" style="321" hidden="1" customWidth="1"/>
    <col min="284" max="511" width="9.140625" style="321" hidden="1"/>
    <col min="512" max="512" width="8.28515625" style="321" customWidth="1"/>
    <col min="513" max="513" width="12.7109375" style="321" customWidth="1"/>
    <col min="514" max="514" width="13.28515625" style="321" customWidth="1"/>
    <col min="515" max="515" width="12.140625" style="321" customWidth="1"/>
    <col min="516" max="516" width="12" style="321" customWidth="1"/>
    <col min="517" max="522" width="9.140625" style="321" customWidth="1"/>
    <col min="523" max="523" width="13" style="321" customWidth="1"/>
    <col min="524" max="524" width="11.85546875" style="321" customWidth="1"/>
    <col min="525" max="525" width="13.28515625" style="321" customWidth="1"/>
    <col min="526" max="531" width="9.140625" style="321" customWidth="1"/>
    <col min="532" max="539" width="9.140625" style="321" hidden="1" customWidth="1"/>
    <col min="540" max="767" width="9.140625" style="321" hidden="1"/>
    <col min="768" max="768" width="8.28515625" style="321" customWidth="1"/>
    <col min="769" max="769" width="12.7109375" style="321" customWidth="1"/>
    <col min="770" max="770" width="13.28515625" style="321" customWidth="1"/>
    <col min="771" max="771" width="12.140625" style="321" customWidth="1"/>
    <col min="772" max="772" width="12" style="321" customWidth="1"/>
    <col min="773" max="778" width="9.140625" style="321" customWidth="1"/>
    <col min="779" max="779" width="13" style="321" customWidth="1"/>
    <col min="780" max="780" width="11.85546875" style="321" customWidth="1"/>
    <col min="781" max="781" width="13.28515625" style="321" customWidth="1"/>
    <col min="782" max="787" width="9.140625" style="321" customWidth="1"/>
    <col min="788" max="795" width="9.140625" style="321" hidden="1" customWidth="1"/>
    <col min="796" max="1023" width="9.140625" style="321" hidden="1"/>
    <col min="1024" max="1024" width="8.28515625" style="321" customWidth="1"/>
    <col min="1025" max="1025" width="12.7109375" style="321" customWidth="1"/>
    <col min="1026" max="1026" width="13.28515625" style="321" customWidth="1"/>
    <col min="1027" max="1027" width="12.140625" style="321" customWidth="1"/>
    <col min="1028" max="1028" width="12" style="321" customWidth="1"/>
    <col min="1029" max="1034" width="9.140625" style="321" customWidth="1"/>
    <col min="1035" max="1035" width="13" style="321" customWidth="1"/>
    <col min="1036" max="1036" width="11.85546875" style="321" customWidth="1"/>
    <col min="1037" max="1037" width="13.28515625" style="321" customWidth="1"/>
    <col min="1038" max="1043" width="9.140625" style="321" customWidth="1"/>
    <col min="1044" max="1051" width="9.140625" style="321" hidden="1" customWidth="1"/>
    <col min="1052" max="1279" width="9.140625" style="321" hidden="1"/>
    <col min="1280" max="1280" width="8.28515625" style="321" customWidth="1"/>
    <col min="1281" max="1281" width="12.7109375" style="321" customWidth="1"/>
    <col min="1282" max="1282" width="13.28515625" style="321" customWidth="1"/>
    <col min="1283" max="1283" width="12.140625" style="321" customWidth="1"/>
    <col min="1284" max="1284" width="12" style="321" customWidth="1"/>
    <col min="1285" max="1290" width="9.140625" style="321" customWidth="1"/>
    <col min="1291" max="1291" width="13" style="321" customWidth="1"/>
    <col min="1292" max="1292" width="11.85546875" style="321" customWidth="1"/>
    <col min="1293" max="1293" width="13.28515625" style="321" customWidth="1"/>
    <col min="1294" max="1299" width="9.140625" style="321" customWidth="1"/>
    <col min="1300" max="1307" width="9.140625" style="321" hidden="1" customWidth="1"/>
    <col min="1308" max="1535" width="9.140625" style="321" hidden="1"/>
    <col min="1536" max="1536" width="8.28515625" style="321" customWidth="1"/>
    <col min="1537" max="1537" width="12.7109375" style="321" customWidth="1"/>
    <col min="1538" max="1538" width="13.28515625" style="321" customWidth="1"/>
    <col min="1539" max="1539" width="12.140625" style="321" customWidth="1"/>
    <col min="1540" max="1540" width="12" style="321" customWidth="1"/>
    <col min="1541" max="1546" width="9.140625" style="321" customWidth="1"/>
    <col min="1547" max="1547" width="13" style="321" customWidth="1"/>
    <col min="1548" max="1548" width="11.85546875" style="321" customWidth="1"/>
    <col min="1549" max="1549" width="13.28515625" style="321" customWidth="1"/>
    <col min="1550" max="1555" width="9.140625" style="321" customWidth="1"/>
    <col min="1556" max="1563" width="9.140625" style="321" hidden="1" customWidth="1"/>
    <col min="1564" max="1791" width="9.140625" style="321" hidden="1"/>
    <col min="1792" max="1792" width="8.28515625" style="321" customWidth="1"/>
    <col min="1793" max="1793" width="12.7109375" style="321" customWidth="1"/>
    <col min="1794" max="1794" width="13.28515625" style="321" customWidth="1"/>
    <col min="1795" max="1795" width="12.140625" style="321" customWidth="1"/>
    <col min="1796" max="1796" width="12" style="321" customWidth="1"/>
    <col min="1797" max="1802" width="9.140625" style="321" customWidth="1"/>
    <col min="1803" max="1803" width="13" style="321" customWidth="1"/>
    <col min="1804" max="1804" width="11.85546875" style="321" customWidth="1"/>
    <col min="1805" max="1805" width="13.28515625" style="321" customWidth="1"/>
    <col min="1806" max="1811" width="9.140625" style="321" customWidth="1"/>
    <col min="1812" max="1819" width="9.140625" style="321" hidden="1" customWidth="1"/>
    <col min="1820" max="2047" width="9.140625" style="321" hidden="1"/>
    <col min="2048" max="2048" width="8.28515625" style="321" customWidth="1"/>
    <col min="2049" max="2049" width="12.7109375" style="321" customWidth="1"/>
    <col min="2050" max="2050" width="13.28515625" style="321" customWidth="1"/>
    <col min="2051" max="2051" width="12.140625" style="321" customWidth="1"/>
    <col min="2052" max="2052" width="12" style="321" customWidth="1"/>
    <col min="2053" max="2058" width="9.140625" style="321" customWidth="1"/>
    <col min="2059" max="2059" width="13" style="321" customWidth="1"/>
    <col min="2060" max="2060" width="11.85546875" style="321" customWidth="1"/>
    <col min="2061" max="2061" width="13.28515625" style="321" customWidth="1"/>
    <col min="2062" max="2067" width="9.140625" style="321" customWidth="1"/>
    <col min="2068" max="2075" width="9.140625" style="321" hidden="1" customWidth="1"/>
    <col min="2076" max="2303" width="9.140625" style="321" hidden="1"/>
    <col min="2304" max="2304" width="8.28515625" style="321" customWidth="1"/>
    <col min="2305" max="2305" width="12.7109375" style="321" customWidth="1"/>
    <col min="2306" max="2306" width="13.28515625" style="321" customWidth="1"/>
    <col min="2307" max="2307" width="12.140625" style="321" customWidth="1"/>
    <col min="2308" max="2308" width="12" style="321" customWidth="1"/>
    <col min="2309" max="2314" width="9.140625" style="321" customWidth="1"/>
    <col min="2315" max="2315" width="13" style="321" customWidth="1"/>
    <col min="2316" max="2316" width="11.85546875" style="321" customWidth="1"/>
    <col min="2317" max="2317" width="13.28515625" style="321" customWidth="1"/>
    <col min="2318" max="2323" width="9.140625" style="321" customWidth="1"/>
    <col min="2324" max="2331" width="9.140625" style="321" hidden="1" customWidth="1"/>
    <col min="2332" max="2559" width="9.140625" style="321" hidden="1"/>
    <col min="2560" max="2560" width="8.28515625" style="321" customWidth="1"/>
    <col min="2561" max="2561" width="12.7109375" style="321" customWidth="1"/>
    <col min="2562" max="2562" width="13.28515625" style="321" customWidth="1"/>
    <col min="2563" max="2563" width="12.140625" style="321" customWidth="1"/>
    <col min="2564" max="2564" width="12" style="321" customWidth="1"/>
    <col min="2565" max="2570" width="9.140625" style="321" customWidth="1"/>
    <col min="2571" max="2571" width="13" style="321" customWidth="1"/>
    <col min="2572" max="2572" width="11.85546875" style="321" customWidth="1"/>
    <col min="2573" max="2573" width="13.28515625" style="321" customWidth="1"/>
    <col min="2574" max="2579" width="9.140625" style="321" customWidth="1"/>
    <col min="2580" max="2587" width="9.140625" style="321" hidden="1" customWidth="1"/>
    <col min="2588" max="2815" width="9.140625" style="321" hidden="1"/>
    <col min="2816" max="2816" width="8.28515625" style="321" customWidth="1"/>
    <col min="2817" max="2817" width="12.7109375" style="321" customWidth="1"/>
    <col min="2818" max="2818" width="13.28515625" style="321" customWidth="1"/>
    <col min="2819" max="2819" width="12.140625" style="321" customWidth="1"/>
    <col min="2820" max="2820" width="12" style="321" customWidth="1"/>
    <col min="2821" max="2826" width="9.140625" style="321" customWidth="1"/>
    <col min="2827" max="2827" width="13" style="321" customWidth="1"/>
    <col min="2828" max="2828" width="11.85546875" style="321" customWidth="1"/>
    <col min="2829" max="2829" width="13.28515625" style="321" customWidth="1"/>
    <col min="2830" max="2835" width="9.140625" style="321" customWidth="1"/>
    <col min="2836" max="2843" width="9.140625" style="321" hidden="1" customWidth="1"/>
    <col min="2844" max="3071" width="9.140625" style="321" hidden="1"/>
    <col min="3072" max="3072" width="8.28515625" style="321" customWidth="1"/>
    <col min="3073" max="3073" width="12.7109375" style="321" customWidth="1"/>
    <col min="3074" max="3074" width="13.28515625" style="321" customWidth="1"/>
    <col min="3075" max="3075" width="12.140625" style="321" customWidth="1"/>
    <col min="3076" max="3076" width="12" style="321" customWidth="1"/>
    <col min="3077" max="3082" width="9.140625" style="321" customWidth="1"/>
    <col min="3083" max="3083" width="13" style="321" customWidth="1"/>
    <col min="3084" max="3084" width="11.85546875" style="321" customWidth="1"/>
    <col min="3085" max="3085" width="13.28515625" style="321" customWidth="1"/>
    <col min="3086" max="3091" width="9.140625" style="321" customWidth="1"/>
    <col min="3092" max="3099" width="9.140625" style="321" hidden="1" customWidth="1"/>
    <col min="3100" max="3327" width="9.140625" style="321" hidden="1"/>
    <col min="3328" max="3328" width="8.28515625" style="321" customWidth="1"/>
    <col min="3329" max="3329" width="12.7109375" style="321" customWidth="1"/>
    <col min="3330" max="3330" width="13.28515625" style="321" customWidth="1"/>
    <col min="3331" max="3331" width="12.140625" style="321" customWidth="1"/>
    <col min="3332" max="3332" width="12" style="321" customWidth="1"/>
    <col min="3333" max="3338" width="9.140625" style="321" customWidth="1"/>
    <col min="3339" max="3339" width="13" style="321" customWidth="1"/>
    <col min="3340" max="3340" width="11.85546875" style="321" customWidth="1"/>
    <col min="3341" max="3341" width="13.28515625" style="321" customWidth="1"/>
    <col min="3342" max="3347" width="9.140625" style="321" customWidth="1"/>
    <col min="3348" max="3355" width="9.140625" style="321" hidden="1" customWidth="1"/>
    <col min="3356" max="3583" width="9.140625" style="321" hidden="1"/>
    <col min="3584" max="3584" width="8.28515625" style="321" customWidth="1"/>
    <col min="3585" max="3585" width="12.7109375" style="321" customWidth="1"/>
    <col min="3586" max="3586" width="13.28515625" style="321" customWidth="1"/>
    <col min="3587" max="3587" width="12.140625" style="321" customWidth="1"/>
    <col min="3588" max="3588" width="12" style="321" customWidth="1"/>
    <col min="3589" max="3594" width="9.140625" style="321" customWidth="1"/>
    <col min="3595" max="3595" width="13" style="321" customWidth="1"/>
    <col min="3596" max="3596" width="11.85546875" style="321" customWidth="1"/>
    <col min="3597" max="3597" width="13.28515625" style="321" customWidth="1"/>
    <col min="3598" max="3603" width="9.140625" style="321" customWidth="1"/>
    <col min="3604" max="3611" width="9.140625" style="321" hidden="1" customWidth="1"/>
    <col min="3612" max="3839" width="9.140625" style="321" hidden="1"/>
    <col min="3840" max="3840" width="8.28515625" style="321" customWidth="1"/>
    <col min="3841" max="3841" width="12.7109375" style="321" customWidth="1"/>
    <col min="3842" max="3842" width="13.28515625" style="321" customWidth="1"/>
    <col min="3843" max="3843" width="12.140625" style="321" customWidth="1"/>
    <col min="3844" max="3844" width="12" style="321" customWidth="1"/>
    <col min="3845" max="3850" width="9.140625" style="321" customWidth="1"/>
    <col min="3851" max="3851" width="13" style="321" customWidth="1"/>
    <col min="3852" max="3852" width="11.85546875" style="321" customWidth="1"/>
    <col min="3853" max="3853" width="13.28515625" style="321" customWidth="1"/>
    <col min="3854" max="3859" width="9.140625" style="321" customWidth="1"/>
    <col min="3860" max="3867" width="9.140625" style="321" hidden="1" customWidth="1"/>
    <col min="3868" max="4095" width="9.140625" style="321" hidden="1"/>
    <col min="4096" max="4096" width="8.28515625" style="321" customWidth="1"/>
    <col min="4097" max="4097" width="12.7109375" style="321" customWidth="1"/>
    <col min="4098" max="4098" width="13.28515625" style="321" customWidth="1"/>
    <col min="4099" max="4099" width="12.140625" style="321" customWidth="1"/>
    <col min="4100" max="4100" width="12" style="321" customWidth="1"/>
    <col min="4101" max="4106" width="9.140625" style="321" customWidth="1"/>
    <col min="4107" max="4107" width="13" style="321" customWidth="1"/>
    <col min="4108" max="4108" width="11.85546875" style="321" customWidth="1"/>
    <col min="4109" max="4109" width="13.28515625" style="321" customWidth="1"/>
    <col min="4110" max="4115" width="9.140625" style="321" customWidth="1"/>
    <col min="4116" max="4123" width="9.140625" style="321" hidden="1" customWidth="1"/>
    <col min="4124" max="4351" width="9.140625" style="321" hidden="1"/>
    <col min="4352" max="4352" width="8.28515625" style="321" customWidth="1"/>
    <col min="4353" max="4353" width="12.7109375" style="321" customWidth="1"/>
    <col min="4354" max="4354" width="13.28515625" style="321" customWidth="1"/>
    <col min="4355" max="4355" width="12.140625" style="321" customWidth="1"/>
    <col min="4356" max="4356" width="12" style="321" customWidth="1"/>
    <col min="4357" max="4362" width="9.140625" style="321" customWidth="1"/>
    <col min="4363" max="4363" width="13" style="321" customWidth="1"/>
    <col min="4364" max="4364" width="11.85546875" style="321" customWidth="1"/>
    <col min="4365" max="4365" width="13.28515625" style="321" customWidth="1"/>
    <col min="4366" max="4371" width="9.140625" style="321" customWidth="1"/>
    <col min="4372" max="4379" width="9.140625" style="321" hidden="1" customWidth="1"/>
    <col min="4380" max="4607" width="9.140625" style="321" hidden="1"/>
    <col min="4608" max="4608" width="8.28515625" style="321" customWidth="1"/>
    <col min="4609" max="4609" width="12.7109375" style="321" customWidth="1"/>
    <col min="4610" max="4610" width="13.28515625" style="321" customWidth="1"/>
    <col min="4611" max="4611" width="12.140625" style="321" customWidth="1"/>
    <col min="4612" max="4612" width="12" style="321" customWidth="1"/>
    <col min="4613" max="4618" width="9.140625" style="321" customWidth="1"/>
    <col min="4619" max="4619" width="13" style="321" customWidth="1"/>
    <col min="4620" max="4620" width="11.85546875" style="321" customWidth="1"/>
    <col min="4621" max="4621" width="13.28515625" style="321" customWidth="1"/>
    <col min="4622" max="4627" width="9.140625" style="321" customWidth="1"/>
    <col min="4628" max="4635" width="9.140625" style="321" hidden="1" customWidth="1"/>
    <col min="4636" max="4863" width="9.140625" style="321" hidden="1"/>
    <col min="4864" max="4864" width="8.28515625" style="321" customWidth="1"/>
    <col min="4865" max="4865" width="12.7109375" style="321" customWidth="1"/>
    <col min="4866" max="4866" width="13.28515625" style="321" customWidth="1"/>
    <col min="4867" max="4867" width="12.140625" style="321" customWidth="1"/>
    <col min="4868" max="4868" width="12" style="321" customWidth="1"/>
    <col min="4869" max="4874" width="9.140625" style="321" customWidth="1"/>
    <col min="4875" max="4875" width="13" style="321" customWidth="1"/>
    <col min="4876" max="4876" width="11.85546875" style="321" customWidth="1"/>
    <col min="4877" max="4877" width="13.28515625" style="321" customWidth="1"/>
    <col min="4878" max="4883" width="9.140625" style="321" customWidth="1"/>
    <col min="4884" max="4891" width="9.140625" style="321" hidden="1" customWidth="1"/>
    <col min="4892" max="5119" width="9.140625" style="321" hidden="1"/>
    <col min="5120" max="5120" width="8.28515625" style="321" customWidth="1"/>
    <col min="5121" max="5121" width="12.7109375" style="321" customWidth="1"/>
    <col min="5122" max="5122" width="13.28515625" style="321" customWidth="1"/>
    <col min="5123" max="5123" width="12.140625" style="321" customWidth="1"/>
    <col min="5124" max="5124" width="12" style="321" customWidth="1"/>
    <col min="5125" max="5130" width="9.140625" style="321" customWidth="1"/>
    <col min="5131" max="5131" width="13" style="321" customWidth="1"/>
    <col min="5132" max="5132" width="11.85546875" style="321" customWidth="1"/>
    <col min="5133" max="5133" width="13.28515625" style="321" customWidth="1"/>
    <col min="5134" max="5139" width="9.140625" style="321" customWidth="1"/>
    <col min="5140" max="5147" width="9.140625" style="321" hidden="1" customWidth="1"/>
    <col min="5148" max="5375" width="9.140625" style="321" hidden="1"/>
    <col min="5376" max="5376" width="8.28515625" style="321" customWidth="1"/>
    <col min="5377" max="5377" width="12.7109375" style="321" customWidth="1"/>
    <col min="5378" max="5378" width="13.28515625" style="321" customWidth="1"/>
    <col min="5379" max="5379" width="12.140625" style="321" customWidth="1"/>
    <col min="5380" max="5380" width="12" style="321" customWidth="1"/>
    <col min="5381" max="5386" width="9.140625" style="321" customWidth="1"/>
    <col min="5387" max="5387" width="13" style="321" customWidth="1"/>
    <col min="5388" max="5388" width="11.85546875" style="321" customWidth="1"/>
    <col min="5389" max="5389" width="13.28515625" style="321" customWidth="1"/>
    <col min="5390" max="5395" width="9.140625" style="321" customWidth="1"/>
    <col min="5396" max="5403" width="9.140625" style="321" hidden="1" customWidth="1"/>
    <col min="5404" max="5631" width="9.140625" style="321" hidden="1"/>
    <col min="5632" max="5632" width="8.28515625" style="321" customWidth="1"/>
    <col min="5633" max="5633" width="12.7109375" style="321" customWidth="1"/>
    <col min="5634" max="5634" width="13.28515625" style="321" customWidth="1"/>
    <col min="5635" max="5635" width="12.140625" style="321" customWidth="1"/>
    <col min="5636" max="5636" width="12" style="321" customWidth="1"/>
    <col min="5637" max="5642" width="9.140625" style="321" customWidth="1"/>
    <col min="5643" max="5643" width="13" style="321" customWidth="1"/>
    <col min="5644" max="5644" width="11.85546875" style="321" customWidth="1"/>
    <col min="5645" max="5645" width="13.28515625" style="321" customWidth="1"/>
    <col min="5646" max="5651" width="9.140625" style="321" customWidth="1"/>
    <col min="5652" max="5659" width="9.140625" style="321" hidden="1" customWidth="1"/>
    <col min="5660" max="5887" width="9.140625" style="321" hidden="1"/>
    <col min="5888" max="5888" width="8.28515625" style="321" customWidth="1"/>
    <col min="5889" max="5889" width="12.7109375" style="321" customWidth="1"/>
    <col min="5890" max="5890" width="13.28515625" style="321" customWidth="1"/>
    <col min="5891" max="5891" width="12.140625" style="321" customWidth="1"/>
    <col min="5892" max="5892" width="12" style="321" customWidth="1"/>
    <col min="5893" max="5898" width="9.140625" style="321" customWidth="1"/>
    <col min="5899" max="5899" width="13" style="321" customWidth="1"/>
    <col min="5900" max="5900" width="11.85546875" style="321" customWidth="1"/>
    <col min="5901" max="5901" width="13.28515625" style="321" customWidth="1"/>
    <col min="5902" max="5907" width="9.140625" style="321" customWidth="1"/>
    <col min="5908" max="5915" width="9.140625" style="321" hidden="1" customWidth="1"/>
    <col min="5916" max="6143" width="9.140625" style="321" hidden="1"/>
    <col min="6144" max="6144" width="8.28515625" style="321" customWidth="1"/>
    <col min="6145" max="6145" width="12.7109375" style="321" customWidth="1"/>
    <col min="6146" max="6146" width="13.28515625" style="321" customWidth="1"/>
    <col min="6147" max="6147" width="12.140625" style="321" customWidth="1"/>
    <col min="6148" max="6148" width="12" style="321" customWidth="1"/>
    <col min="6149" max="6154" width="9.140625" style="321" customWidth="1"/>
    <col min="6155" max="6155" width="13" style="321" customWidth="1"/>
    <col min="6156" max="6156" width="11.85546875" style="321" customWidth="1"/>
    <col min="6157" max="6157" width="13.28515625" style="321" customWidth="1"/>
    <col min="6158" max="6163" width="9.140625" style="321" customWidth="1"/>
    <col min="6164" max="6171" width="9.140625" style="321" hidden="1" customWidth="1"/>
    <col min="6172" max="6399" width="9.140625" style="321" hidden="1"/>
    <col min="6400" max="6400" width="8.28515625" style="321" customWidth="1"/>
    <col min="6401" max="6401" width="12.7109375" style="321" customWidth="1"/>
    <col min="6402" max="6402" width="13.28515625" style="321" customWidth="1"/>
    <col min="6403" max="6403" width="12.140625" style="321" customWidth="1"/>
    <col min="6404" max="6404" width="12" style="321" customWidth="1"/>
    <col min="6405" max="6410" width="9.140625" style="321" customWidth="1"/>
    <col min="6411" max="6411" width="13" style="321" customWidth="1"/>
    <col min="6412" max="6412" width="11.85546875" style="321" customWidth="1"/>
    <col min="6413" max="6413" width="13.28515625" style="321" customWidth="1"/>
    <col min="6414" max="6419" width="9.140625" style="321" customWidth="1"/>
    <col min="6420" max="6427" width="9.140625" style="321" hidden="1" customWidth="1"/>
    <col min="6428" max="6655" width="9.140625" style="321" hidden="1"/>
    <col min="6656" max="6656" width="8.28515625" style="321" customWidth="1"/>
    <col min="6657" max="6657" width="12.7109375" style="321" customWidth="1"/>
    <col min="6658" max="6658" width="13.28515625" style="321" customWidth="1"/>
    <col min="6659" max="6659" width="12.140625" style="321" customWidth="1"/>
    <col min="6660" max="6660" width="12" style="321" customWidth="1"/>
    <col min="6661" max="6666" width="9.140625" style="321" customWidth="1"/>
    <col min="6667" max="6667" width="13" style="321" customWidth="1"/>
    <col min="6668" max="6668" width="11.85546875" style="321" customWidth="1"/>
    <col min="6669" max="6669" width="13.28515625" style="321" customWidth="1"/>
    <col min="6670" max="6675" width="9.140625" style="321" customWidth="1"/>
    <col min="6676" max="6683" width="9.140625" style="321" hidden="1" customWidth="1"/>
    <col min="6684" max="6911" width="9.140625" style="321" hidden="1"/>
    <col min="6912" max="6912" width="8.28515625" style="321" customWidth="1"/>
    <col min="6913" max="6913" width="12.7109375" style="321" customWidth="1"/>
    <col min="6914" max="6914" width="13.28515625" style="321" customWidth="1"/>
    <col min="6915" max="6915" width="12.140625" style="321" customWidth="1"/>
    <col min="6916" max="6916" width="12" style="321" customWidth="1"/>
    <col min="6917" max="6922" width="9.140625" style="321" customWidth="1"/>
    <col min="6923" max="6923" width="13" style="321" customWidth="1"/>
    <col min="6924" max="6924" width="11.85546875" style="321" customWidth="1"/>
    <col min="6925" max="6925" width="13.28515625" style="321" customWidth="1"/>
    <col min="6926" max="6931" width="9.140625" style="321" customWidth="1"/>
    <col min="6932" max="6939" width="9.140625" style="321" hidden="1" customWidth="1"/>
    <col min="6940" max="7167" width="9.140625" style="321" hidden="1"/>
    <col min="7168" max="7168" width="8.28515625" style="321" customWidth="1"/>
    <col min="7169" max="7169" width="12.7109375" style="321" customWidth="1"/>
    <col min="7170" max="7170" width="13.28515625" style="321" customWidth="1"/>
    <col min="7171" max="7171" width="12.140625" style="321" customWidth="1"/>
    <col min="7172" max="7172" width="12" style="321" customWidth="1"/>
    <col min="7173" max="7178" width="9.140625" style="321" customWidth="1"/>
    <col min="7179" max="7179" width="13" style="321" customWidth="1"/>
    <col min="7180" max="7180" width="11.85546875" style="321" customWidth="1"/>
    <col min="7181" max="7181" width="13.28515625" style="321" customWidth="1"/>
    <col min="7182" max="7187" width="9.140625" style="321" customWidth="1"/>
    <col min="7188" max="7195" width="9.140625" style="321" hidden="1" customWidth="1"/>
    <col min="7196" max="7423" width="9.140625" style="321" hidden="1"/>
    <col min="7424" max="7424" width="8.28515625" style="321" customWidth="1"/>
    <col min="7425" max="7425" width="12.7109375" style="321" customWidth="1"/>
    <col min="7426" max="7426" width="13.28515625" style="321" customWidth="1"/>
    <col min="7427" max="7427" width="12.140625" style="321" customWidth="1"/>
    <col min="7428" max="7428" width="12" style="321" customWidth="1"/>
    <col min="7429" max="7434" width="9.140625" style="321" customWidth="1"/>
    <col min="7435" max="7435" width="13" style="321" customWidth="1"/>
    <col min="7436" max="7436" width="11.85546875" style="321" customWidth="1"/>
    <col min="7437" max="7437" width="13.28515625" style="321" customWidth="1"/>
    <col min="7438" max="7443" width="9.140625" style="321" customWidth="1"/>
    <col min="7444" max="7451" width="9.140625" style="321" hidden="1" customWidth="1"/>
    <col min="7452" max="7679" width="9.140625" style="321" hidden="1"/>
    <col min="7680" max="7680" width="8.28515625" style="321" customWidth="1"/>
    <col min="7681" max="7681" width="12.7109375" style="321" customWidth="1"/>
    <col min="7682" max="7682" width="13.28515625" style="321" customWidth="1"/>
    <col min="7683" max="7683" width="12.140625" style="321" customWidth="1"/>
    <col min="7684" max="7684" width="12" style="321" customWidth="1"/>
    <col min="7685" max="7690" width="9.140625" style="321" customWidth="1"/>
    <col min="7691" max="7691" width="13" style="321" customWidth="1"/>
    <col min="7692" max="7692" width="11.85546875" style="321" customWidth="1"/>
    <col min="7693" max="7693" width="13.28515625" style="321" customWidth="1"/>
    <col min="7694" max="7699" width="9.140625" style="321" customWidth="1"/>
    <col min="7700" max="7707" width="9.140625" style="321" hidden="1" customWidth="1"/>
    <col min="7708" max="7935" width="9.140625" style="321" hidden="1"/>
    <col min="7936" max="7936" width="8.28515625" style="321" customWidth="1"/>
    <col min="7937" max="7937" width="12.7109375" style="321" customWidth="1"/>
    <col min="7938" max="7938" width="13.28515625" style="321" customWidth="1"/>
    <col min="7939" max="7939" width="12.140625" style="321" customWidth="1"/>
    <col min="7940" max="7940" width="12" style="321" customWidth="1"/>
    <col min="7941" max="7946" width="9.140625" style="321" customWidth="1"/>
    <col min="7947" max="7947" width="13" style="321" customWidth="1"/>
    <col min="7948" max="7948" width="11.85546875" style="321" customWidth="1"/>
    <col min="7949" max="7949" width="13.28515625" style="321" customWidth="1"/>
    <col min="7950" max="7955" width="9.140625" style="321" customWidth="1"/>
    <col min="7956" max="7963" width="9.140625" style="321" hidden="1" customWidth="1"/>
    <col min="7964" max="8191" width="9.140625" style="321" hidden="1"/>
    <col min="8192" max="8192" width="8.28515625" style="321" customWidth="1"/>
    <col min="8193" max="8193" width="12.7109375" style="321" customWidth="1"/>
    <col min="8194" max="8194" width="13.28515625" style="321" customWidth="1"/>
    <col min="8195" max="8195" width="12.140625" style="321" customWidth="1"/>
    <col min="8196" max="8196" width="12" style="321" customWidth="1"/>
    <col min="8197" max="8202" width="9.140625" style="321" customWidth="1"/>
    <col min="8203" max="8203" width="13" style="321" customWidth="1"/>
    <col min="8204" max="8204" width="11.85546875" style="321" customWidth="1"/>
    <col min="8205" max="8205" width="13.28515625" style="321" customWidth="1"/>
    <col min="8206" max="8211" width="9.140625" style="321" customWidth="1"/>
    <col min="8212" max="8219" width="9.140625" style="321" hidden="1" customWidth="1"/>
    <col min="8220" max="8447" width="9.140625" style="321" hidden="1"/>
    <col min="8448" max="8448" width="8.28515625" style="321" customWidth="1"/>
    <col min="8449" max="8449" width="12.7109375" style="321" customWidth="1"/>
    <col min="8450" max="8450" width="13.28515625" style="321" customWidth="1"/>
    <col min="8451" max="8451" width="12.140625" style="321" customWidth="1"/>
    <col min="8452" max="8452" width="12" style="321" customWidth="1"/>
    <col min="8453" max="8458" width="9.140625" style="321" customWidth="1"/>
    <col min="8459" max="8459" width="13" style="321" customWidth="1"/>
    <col min="8460" max="8460" width="11.85546875" style="321" customWidth="1"/>
    <col min="8461" max="8461" width="13.28515625" style="321" customWidth="1"/>
    <col min="8462" max="8467" width="9.140625" style="321" customWidth="1"/>
    <col min="8468" max="8475" width="9.140625" style="321" hidden="1" customWidth="1"/>
    <col min="8476" max="8703" width="9.140625" style="321" hidden="1"/>
    <col min="8704" max="8704" width="8.28515625" style="321" customWidth="1"/>
    <col min="8705" max="8705" width="12.7109375" style="321" customWidth="1"/>
    <col min="8706" max="8706" width="13.28515625" style="321" customWidth="1"/>
    <col min="8707" max="8707" width="12.140625" style="321" customWidth="1"/>
    <col min="8708" max="8708" width="12" style="321" customWidth="1"/>
    <col min="8709" max="8714" width="9.140625" style="321" customWidth="1"/>
    <col min="8715" max="8715" width="13" style="321" customWidth="1"/>
    <col min="8716" max="8716" width="11.85546875" style="321" customWidth="1"/>
    <col min="8717" max="8717" width="13.28515625" style="321" customWidth="1"/>
    <col min="8718" max="8723" width="9.140625" style="321" customWidth="1"/>
    <col min="8724" max="8731" width="9.140625" style="321" hidden="1" customWidth="1"/>
    <col min="8732" max="8959" width="9.140625" style="321" hidden="1"/>
    <col min="8960" max="8960" width="8.28515625" style="321" customWidth="1"/>
    <col min="8961" max="8961" width="12.7109375" style="321" customWidth="1"/>
    <col min="8962" max="8962" width="13.28515625" style="321" customWidth="1"/>
    <col min="8963" max="8963" width="12.140625" style="321" customWidth="1"/>
    <col min="8964" max="8964" width="12" style="321" customWidth="1"/>
    <col min="8965" max="8970" width="9.140625" style="321" customWidth="1"/>
    <col min="8971" max="8971" width="13" style="321" customWidth="1"/>
    <col min="8972" max="8972" width="11.85546875" style="321" customWidth="1"/>
    <col min="8973" max="8973" width="13.28515625" style="321" customWidth="1"/>
    <col min="8974" max="8979" width="9.140625" style="321" customWidth="1"/>
    <col min="8980" max="8987" width="9.140625" style="321" hidden="1" customWidth="1"/>
    <col min="8988" max="9215" width="9.140625" style="321" hidden="1"/>
    <col min="9216" max="9216" width="8.28515625" style="321" customWidth="1"/>
    <col min="9217" max="9217" width="12.7109375" style="321" customWidth="1"/>
    <col min="9218" max="9218" width="13.28515625" style="321" customWidth="1"/>
    <col min="9219" max="9219" width="12.140625" style="321" customWidth="1"/>
    <col min="9220" max="9220" width="12" style="321" customWidth="1"/>
    <col min="9221" max="9226" width="9.140625" style="321" customWidth="1"/>
    <col min="9227" max="9227" width="13" style="321" customWidth="1"/>
    <col min="9228" max="9228" width="11.85546875" style="321" customWidth="1"/>
    <col min="9229" max="9229" width="13.28515625" style="321" customWidth="1"/>
    <col min="9230" max="9235" width="9.140625" style="321" customWidth="1"/>
    <col min="9236" max="9243" width="9.140625" style="321" hidden="1" customWidth="1"/>
    <col min="9244" max="9471" width="9.140625" style="321" hidden="1"/>
    <col min="9472" max="9472" width="8.28515625" style="321" customWidth="1"/>
    <col min="9473" max="9473" width="12.7109375" style="321" customWidth="1"/>
    <col min="9474" max="9474" width="13.28515625" style="321" customWidth="1"/>
    <col min="9475" max="9475" width="12.140625" style="321" customWidth="1"/>
    <col min="9476" max="9476" width="12" style="321" customWidth="1"/>
    <col min="9477" max="9482" width="9.140625" style="321" customWidth="1"/>
    <col min="9483" max="9483" width="13" style="321" customWidth="1"/>
    <col min="9484" max="9484" width="11.85546875" style="321" customWidth="1"/>
    <col min="9485" max="9485" width="13.28515625" style="321" customWidth="1"/>
    <col min="9486" max="9491" width="9.140625" style="321" customWidth="1"/>
    <col min="9492" max="9499" width="9.140625" style="321" hidden="1" customWidth="1"/>
    <col min="9500" max="9727" width="9.140625" style="321" hidden="1"/>
    <col min="9728" max="9728" width="8.28515625" style="321" customWidth="1"/>
    <col min="9729" max="9729" width="12.7109375" style="321" customWidth="1"/>
    <col min="9730" max="9730" width="13.28515625" style="321" customWidth="1"/>
    <col min="9731" max="9731" width="12.140625" style="321" customWidth="1"/>
    <col min="9732" max="9732" width="12" style="321" customWidth="1"/>
    <col min="9733" max="9738" width="9.140625" style="321" customWidth="1"/>
    <col min="9739" max="9739" width="13" style="321" customWidth="1"/>
    <col min="9740" max="9740" width="11.85546875" style="321" customWidth="1"/>
    <col min="9741" max="9741" width="13.28515625" style="321" customWidth="1"/>
    <col min="9742" max="9747" width="9.140625" style="321" customWidth="1"/>
    <col min="9748" max="9755" width="9.140625" style="321" hidden="1" customWidth="1"/>
    <col min="9756" max="9983" width="9.140625" style="321" hidden="1"/>
    <col min="9984" max="9984" width="8.28515625" style="321" customWidth="1"/>
    <col min="9985" max="9985" width="12.7109375" style="321" customWidth="1"/>
    <col min="9986" max="9986" width="13.28515625" style="321" customWidth="1"/>
    <col min="9987" max="9987" width="12.140625" style="321" customWidth="1"/>
    <col min="9988" max="9988" width="12" style="321" customWidth="1"/>
    <col min="9989" max="9994" width="9.140625" style="321" customWidth="1"/>
    <col min="9995" max="9995" width="13" style="321" customWidth="1"/>
    <col min="9996" max="9996" width="11.85546875" style="321" customWidth="1"/>
    <col min="9997" max="9997" width="13.28515625" style="321" customWidth="1"/>
    <col min="9998" max="10003" width="9.140625" style="321" customWidth="1"/>
    <col min="10004" max="10011" width="9.140625" style="321" hidden="1" customWidth="1"/>
    <col min="10012" max="10239" width="9.140625" style="321" hidden="1"/>
    <col min="10240" max="10240" width="8.28515625" style="321" customWidth="1"/>
    <col min="10241" max="10241" width="12.7109375" style="321" customWidth="1"/>
    <col min="10242" max="10242" width="13.28515625" style="321" customWidth="1"/>
    <col min="10243" max="10243" width="12.140625" style="321" customWidth="1"/>
    <col min="10244" max="10244" width="12" style="321" customWidth="1"/>
    <col min="10245" max="10250" width="9.140625" style="321" customWidth="1"/>
    <col min="10251" max="10251" width="13" style="321" customWidth="1"/>
    <col min="10252" max="10252" width="11.85546875" style="321" customWidth="1"/>
    <col min="10253" max="10253" width="13.28515625" style="321" customWidth="1"/>
    <col min="10254" max="10259" width="9.140625" style="321" customWidth="1"/>
    <col min="10260" max="10267" width="9.140625" style="321" hidden="1" customWidth="1"/>
    <col min="10268" max="10495" width="9.140625" style="321" hidden="1"/>
    <col min="10496" max="10496" width="8.28515625" style="321" customWidth="1"/>
    <col min="10497" max="10497" width="12.7109375" style="321" customWidth="1"/>
    <col min="10498" max="10498" width="13.28515625" style="321" customWidth="1"/>
    <col min="10499" max="10499" width="12.140625" style="321" customWidth="1"/>
    <col min="10500" max="10500" width="12" style="321" customWidth="1"/>
    <col min="10501" max="10506" width="9.140625" style="321" customWidth="1"/>
    <col min="10507" max="10507" width="13" style="321" customWidth="1"/>
    <col min="10508" max="10508" width="11.85546875" style="321" customWidth="1"/>
    <col min="10509" max="10509" width="13.28515625" style="321" customWidth="1"/>
    <col min="10510" max="10515" width="9.140625" style="321" customWidth="1"/>
    <col min="10516" max="10523" width="9.140625" style="321" hidden="1" customWidth="1"/>
    <col min="10524" max="10751" width="9.140625" style="321" hidden="1"/>
    <col min="10752" max="10752" width="8.28515625" style="321" customWidth="1"/>
    <col min="10753" max="10753" width="12.7109375" style="321" customWidth="1"/>
    <col min="10754" max="10754" width="13.28515625" style="321" customWidth="1"/>
    <col min="10755" max="10755" width="12.140625" style="321" customWidth="1"/>
    <col min="10756" max="10756" width="12" style="321" customWidth="1"/>
    <col min="10757" max="10762" width="9.140625" style="321" customWidth="1"/>
    <col min="10763" max="10763" width="13" style="321" customWidth="1"/>
    <col min="10764" max="10764" width="11.85546875" style="321" customWidth="1"/>
    <col min="10765" max="10765" width="13.28515625" style="321" customWidth="1"/>
    <col min="10766" max="10771" width="9.140625" style="321" customWidth="1"/>
    <col min="10772" max="10779" width="9.140625" style="321" hidden="1" customWidth="1"/>
    <col min="10780" max="11007" width="9.140625" style="321" hidden="1"/>
    <col min="11008" max="11008" width="8.28515625" style="321" customWidth="1"/>
    <col min="11009" max="11009" width="12.7109375" style="321" customWidth="1"/>
    <col min="11010" max="11010" width="13.28515625" style="321" customWidth="1"/>
    <col min="11011" max="11011" width="12.140625" style="321" customWidth="1"/>
    <col min="11012" max="11012" width="12" style="321" customWidth="1"/>
    <col min="11013" max="11018" width="9.140625" style="321" customWidth="1"/>
    <col min="11019" max="11019" width="13" style="321" customWidth="1"/>
    <col min="11020" max="11020" width="11.85546875" style="321" customWidth="1"/>
    <col min="11021" max="11021" width="13.28515625" style="321" customWidth="1"/>
    <col min="11022" max="11027" width="9.140625" style="321" customWidth="1"/>
    <col min="11028" max="11035" width="9.140625" style="321" hidden="1" customWidth="1"/>
    <col min="11036" max="11263" width="9.140625" style="321" hidden="1"/>
    <col min="11264" max="11264" width="8.28515625" style="321" customWidth="1"/>
    <col min="11265" max="11265" width="12.7109375" style="321" customWidth="1"/>
    <col min="11266" max="11266" width="13.28515625" style="321" customWidth="1"/>
    <col min="11267" max="11267" width="12.140625" style="321" customWidth="1"/>
    <col min="11268" max="11268" width="12" style="321" customWidth="1"/>
    <col min="11269" max="11274" width="9.140625" style="321" customWidth="1"/>
    <col min="11275" max="11275" width="13" style="321" customWidth="1"/>
    <col min="11276" max="11276" width="11.85546875" style="321" customWidth="1"/>
    <col min="11277" max="11277" width="13.28515625" style="321" customWidth="1"/>
    <col min="11278" max="11283" width="9.140625" style="321" customWidth="1"/>
    <col min="11284" max="11291" width="9.140625" style="321" hidden="1" customWidth="1"/>
    <col min="11292" max="11519" width="9.140625" style="321" hidden="1"/>
    <col min="11520" max="11520" width="8.28515625" style="321" customWidth="1"/>
    <col min="11521" max="11521" width="12.7109375" style="321" customWidth="1"/>
    <col min="11522" max="11522" width="13.28515625" style="321" customWidth="1"/>
    <col min="11523" max="11523" width="12.140625" style="321" customWidth="1"/>
    <col min="11524" max="11524" width="12" style="321" customWidth="1"/>
    <col min="11525" max="11530" width="9.140625" style="321" customWidth="1"/>
    <col min="11531" max="11531" width="13" style="321" customWidth="1"/>
    <col min="11532" max="11532" width="11.85546875" style="321" customWidth="1"/>
    <col min="11533" max="11533" width="13.28515625" style="321" customWidth="1"/>
    <col min="11534" max="11539" width="9.140625" style="321" customWidth="1"/>
    <col min="11540" max="11547" width="9.140625" style="321" hidden="1" customWidth="1"/>
    <col min="11548" max="11775" width="9.140625" style="321" hidden="1"/>
    <col min="11776" max="11776" width="8.28515625" style="321" customWidth="1"/>
    <col min="11777" max="11777" width="12.7109375" style="321" customWidth="1"/>
    <col min="11778" max="11778" width="13.28515625" style="321" customWidth="1"/>
    <col min="11779" max="11779" width="12.140625" style="321" customWidth="1"/>
    <col min="11780" max="11780" width="12" style="321" customWidth="1"/>
    <col min="11781" max="11786" width="9.140625" style="321" customWidth="1"/>
    <col min="11787" max="11787" width="13" style="321" customWidth="1"/>
    <col min="11788" max="11788" width="11.85546875" style="321" customWidth="1"/>
    <col min="11789" max="11789" width="13.28515625" style="321" customWidth="1"/>
    <col min="11790" max="11795" width="9.140625" style="321" customWidth="1"/>
    <col min="11796" max="11803" width="9.140625" style="321" hidden="1" customWidth="1"/>
    <col min="11804" max="12031" width="9.140625" style="321" hidden="1"/>
    <col min="12032" max="12032" width="8.28515625" style="321" customWidth="1"/>
    <col min="12033" max="12033" width="12.7109375" style="321" customWidth="1"/>
    <col min="12034" max="12034" width="13.28515625" style="321" customWidth="1"/>
    <col min="12035" max="12035" width="12.140625" style="321" customWidth="1"/>
    <col min="12036" max="12036" width="12" style="321" customWidth="1"/>
    <col min="12037" max="12042" width="9.140625" style="321" customWidth="1"/>
    <col min="12043" max="12043" width="13" style="321" customWidth="1"/>
    <col min="12044" max="12044" width="11.85546875" style="321" customWidth="1"/>
    <col min="12045" max="12045" width="13.28515625" style="321" customWidth="1"/>
    <col min="12046" max="12051" width="9.140625" style="321" customWidth="1"/>
    <col min="12052" max="12059" width="9.140625" style="321" hidden="1" customWidth="1"/>
    <col min="12060" max="12287" width="9.140625" style="321" hidden="1"/>
    <col min="12288" max="12288" width="8.28515625" style="321" customWidth="1"/>
    <col min="12289" max="12289" width="12.7109375" style="321" customWidth="1"/>
    <col min="12290" max="12290" width="13.28515625" style="321" customWidth="1"/>
    <col min="12291" max="12291" width="12.140625" style="321" customWidth="1"/>
    <col min="12292" max="12292" width="12" style="321" customWidth="1"/>
    <col min="12293" max="12298" width="9.140625" style="321" customWidth="1"/>
    <col min="12299" max="12299" width="13" style="321" customWidth="1"/>
    <col min="12300" max="12300" width="11.85546875" style="321" customWidth="1"/>
    <col min="12301" max="12301" width="13.28515625" style="321" customWidth="1"/>
    <col min="12302" max="12307" width="9.140625" style="321" customWidth="1"/>
    <col min="12308" max="12315" width="9.140625" style="321" hidden="1" customWidth="1"/>
    <col min="12316" max="12543" width="9.140625" style="321" hidden="1"/>
    <col min="12544" max="12544" width="8.28515625" style="321" customWidth="1"/>
    <col min="12545" max="12545" width="12.7109375" style="321" customWidth="1"/>
    <col min="12546" max="12546" width="13.28515625" style="321" customWidth="1"/>
    <col min="12547" max="12547" width="12.140625" style="321" customWidth="1"/>
    <col min="12548" max="12548" width="12" style="321" customWidth="1"/>
    <col min="12549" max="12554" width="9.140625" style="321" customWidth="1"/>
    <col min="12555" max="12555" width="13" style="321" customWidth="1"/>
    <col min="12556" max="12556" width="11.85546875" style="321" customWidth="1"/>
    <col min="12557" max="12557" width="13.28515625" style="321" customWidth="1"/>
    <col min="12558" max="12563" width="9.140625" style="321" customWidth="1"/>
    <col min="12564" max="12571" width="9.140625" style="321" hidden="1" customWidth="1"/>
    <col min="12572" max="12799" width="9.140625" style="321" hidden="1"/>
    <col min="12800" max="12800" width="8.28515625" style="321" customWidth="1"/>
    <col min="12801" max="12801" width="12.7109375" style="321" customWidth="1"/>
    <col min="12802" max="12802" width="13.28515625" style="321" customWidth="1"/>
    <col min="12803" max="12803" width="12.140625" style="321" customWidth="1"/>
    <col min="12804" max="12804" width="12" style="321" customWidth="1"/>
    <col min="12805" max="12810" width="9.140625" style="321" customWidth="1"/>
    <col min="12811" max="12811" width="13" style="321" customWidth="1"/>
    <col min="12812" max="12812" width="11.85546875" style="321" customWidth="1"/>
    <col min="12813" max="12813" width="13.28515625" style="321" customWidth="1"/>
    <col min="12814" max="12819" width="9.140625" style="321" customWidth="1"/>
    <col min="12820" max="12827" width="9.140625" style="321" hidden="1" customWidth="1"/>
    <col min="12828" max="13055" width="9.140625" style="321" hidden="1"/>
    <col min="13056" max="13056" width="8.28515625" style="321" customWidth="1"/>
    <col min="13057" max="13057" width="12.7109375" style="321" customWidth="1"/>
    <col min="13058" max="13058" width="13.28515625" style="321" customWidth="1"/>
    <col min="13059" max="13059" width="12.140625" style="321" customWidth="1"/>
    <col min="13060" max="13060" width="12" style="321" customWidth="1"/>
    <col min="13061" max="13066" width="9.140625" style="321" customWidth="1"/>
    <col min="13067" max="13067" width="13" style="321" customWidth="1"/>
    <col min="13068" max="13068" width="11.85546875" style="321" customWidth="1"/>
    <col min="13069" max="13069" width="13.28515625" style="321" customWidth="1"/>
    <col min="13070" max="13075" width="9.140625" style="321" customWidth="1"/>
    <col min="13076" max="13083" width="9.140625" style="321" hidden="1" customWidth="1"/>
    <col min="13084" max="13311" width="9.140625" style="321" hidden="1"/>
    <col min="13312" max="13312" width="8.28515625" style="321" customWidth="1"/>
    <col min="13313" max="13313" width="12.7109375" style="321" customWidth="1"/>
    <col min="13314" max="13314" width="13.28515625" style="321" customWidth="1"/>
    <col min="13315" max="13315" width="12.140625" style="321" customWidth="1"/>
    <col min="13316" max="13316" width="12" style="321" customWidth="1"/>
    <col min="13317" max="13322" width="9.140625" style="321" customWidth="1"/>
    <col min="13323" max="13323" width="13" style="321" customWidth="1"/>
    <col min="13324" max="13324" width="11.85546875" style="321" customWidth="1"/>
    <col min="13325" max="13325" width="13.28515625" style="321" customWidth="1"/>
    <col min="13326" max="13331" width="9.140625" style="321" customWidth="1"/>
    <col min="13332" max="13339" width="9.140625" style="321" hidden="1" customWidth="1"/>
    <col min="13340" max="13567" width="9.140625" style="321" hidden="1"/>
    <col min="13568" max="13568" width="8.28515625" style="321" customWidth="1"/>
    <col min="13569" max="13569" width="12.7109375" style="321" customWidth="1"/>
    <col min="13570" max="13570" width="13.28515625" style="321" customWidth="1"/>
    <col min="13571" max="13571" width="12.140625" style="321" customWidth="1"/>
    <col min="13572" max="13572" width="12" style="321" customWidth="1"/>
    <col min="13573" max="13578" width="9.140625" style="321" customWidth="1"/>
    <col min="13579" max="13579" width="13" style="321" customWidth="1"/>
    <col min="13580" max="13580" width="11.85546875" style="321" customWidth="1"/>
    <col min="13581" max="13581" width="13.28515625" style="321" customWidth="1"/>
    <col min="13582" max="13587" width="9.140625" style="321" customWidth="1"/>
    <col min="13588" max="13595" width="9.140625" style="321" hidden="1" customWidth="1"/>
    <col min="13596" max="13823" width="9.140625" style="321" hidden="1"/>
    <col min="13824" max="13824" width="8.28515625" style="321" customWidth="1"/>
    <col min="13825" max="13825" width="12.7109375" style="321" customWidth="1"/>
    <col min="13826" max="13826" width="13.28515625" style="321" customWidth="1"/>
    <col min="13827" max="13827" width="12.140625" style="321" customWidth="1"/>
    <col min="13828" max="13828" width="12" style="321" customWidth="1"/>
    <col min="13829" max="13834" width="9.140625" style="321" customWidth="1"/>
    <col min="13835" max="13835" width="13" style="321" customWidth="1"/>
    <col min="13836" max="13836" width="11.85546875" style="321" customWidth="1"/>
    <col min="13837" max="13837" width="13.28515625" style="321" customWidth="1"/>
    <col min="13838" max="13843" width="9.140625" style="321" customWidth="1"/>
    <col min="13844" max="13851" width="9.140625" style="321" hidden="1" customWidth="1"/>
    <col min="13852" max="14079" width="9.140625" style="321" hidden="1"/>
    <col min="14080" max="14080" width="8.28515625" style="321" customWidth="1"/>
    <col min="14081" max="14081" width="12.7109375" style="321" customWidth="1"/>
    <col min="14082" max="14082" width="13.28515625" style="321" customWidth="1"/>
    <col min="14083" max="14083" width="12.140625" style="321" customWidth="1"/>
    <col min="14084" max="14084" width="12" style="321" customWidth="1"/>
    <col min="14085" max="14090" width="9.140625" style="321" customWidth="1"/>
    <col min="14091" max="14091" width="13" style="321" customWidth="1"/>
    <col min="14092" max="14092" width="11.85546875" style="321" customWidth="1"/>
    <col min="14093" max="14093" width="13.28515625" style="321" customWidth="1"/>
    <col min="14094" max="14099" width="9.140625" style="321" customWidth="1"/>
    <col min="14100" max="14107" width="9.140625" style="321" hidden="1" customWidth="1"/>
    <col min="14108" max="14335" width="9.140625" style="321" hidden="1"/>
    <col min="14336" max="14336" width="8.28515625" style="321" customWidth="1"/>
    <col min="14337" max="14337" width="12.7109375" style="321" customWidth="1"/>
    <col min="14338" max="14338" width="13.28515625" style="321" customWidth="1"/>
    <col min="14339" max="14339" width="12.140625" style="321" customWidth="1"/>
    <col min="14340" max="14340" width="12" style="321" customWidth="1"/>
    <col min="14341" max="14346" width="9.140625" style="321" customWidth="1"/>
    <col min="14347" max="14347" width="13" style="321" customWidth="1"/>
    <col min="14348" max="14348" width="11.85546875" style="321" customWidth="1"/>
    <col min="14349" max="14349" width="13.28515625" style="321" customWidth="1"/>
    <col min="14350" max="14355" width="9.140625" style="321" customWidth="1"/>
    <col min="14356" max="14363" width="9.140625" style="321" hidden="1" customWidth="1"/>
    <col min="14364" max="14591" width="9.140625" style="321" hidden="1"/>
    <col min="14592" max="14592" width="8.28515625" style="321" customWidth="1"/>
    <col min="14593" max="14593" width="12.7109375" style="321" customWidth="1"/>
    <col min="14594" max="14594" width="13.28515625" style="321" customWidth="1"/>
    <col min="14595" max="14595" width="12.140625" style="321" customWidth="1"/>
    <col min="14596" max="14596" width="12" style="321" customWidth="1"/>
    <col min="14597" max="14602" width="9.140625" style="321" customWidth="1"/>
    <col min="14603" max="14603" width="13" style="321" customWidth="1"/>
    <col min="14604" max="14604" width="11.85546875" style="321" customWidth="1"/>
    <col min="14605" max="14605" width="13.28515625" style="321" customWidth="1"/>
    <col min="14606" max="14611" width="9.140625" style="321" customWidth="1"/>
    <col min="14612" max="14619" width="9.140625" style="321" hidden="1" customWidth="1"/>
    <col min="14620" max="14847" width="9.140625" style="321" hidden="1"/>
    <col min="14848" max="14848" width="8.28515625" style="321" customWidth="1"/>
    <col min="14849" max="14849" width="12.7109375" style="321" customWidth="1"/>
    <col min="14850" max="14850" width="13.28515625" style="321" customWidth="1"/>
    <col min="14851" max="14851" width="12.140625" style="321" customWidth="1"/>
    <col min="14852" max="14852" width="12" style="321" customWidth="1"/>
    <col min="14853" max="14858" width="9.140625" style="321" customWidth="1"/>
    <col min="14859" max="14859" width="13" style="321" customWidth="1"/>
    <col min="14860" max="14860" width="11.85546875" style="321" customWidth="1"/>
    <col min="14861" max="14861" width="13.28515625" style="321" customWidth="1"/>
    <col min="14862" max="14867" width="9.140625" style="321" customWidth="1"/>
    <col min="14868" max="14875" width="9.140625" style="321" hidden="1" customWidth="1"/>
    <col min="14876" max="15103" width="9.140625" style="321" hidden="1"/>
    <col min="15104" max="15104" width="8.28515625" style="321" customWidth="1"/>
    <col min="15105" max="15105" width="12.7109375" style="321" customWidth="1"/>
    <col min="15106" max="15106" width="13.28515625" style="321" customWidth="1"/>
    <col min="15107" max="15107" width="12.140625" style="321" customWidth="1"/>
    <col min="15108" max="15108" width="12" style="321" customWidth="1"/>
    <col min="15109" max="15114" width="9.140625" style="321" customWidth="1"/>
    <col min="15115" max="15115" width="13" style="321" customWidth="1"/>
    <col min="15116" max="15116" width="11.85546875" style="321" customWidth="1"/>
    <col min="15117" max="15117" width="13.28515625" style="321" customWidth="1"/>
    <col min="15118" max="15123" width="9.140625" style="321" customWidth="1"/>
    <col min="15124" max="15131" width="9.140625" style="321" hidden="1" customWidth="1"/>
    <col min="15132" max="15359" width="9.140625" style="321" hidden="1"/>
    <col min="15360" max="15360" width="8.28515625" style="321" customWidth="1"/>
    <col min="15361" max="15361" width="12.7109375" style="321" customWidth="1"/>
    <col min="15362" max="15362" width="13.28515625" style="321" customWidth="1"/>
    <col min="15363" max="15363" width="12.140625" style="321" customWidth="1"/>
    <col min="15364" max="15364" width="12" style="321" customWidth="1"/>
    <col min="15365" max="15370" width="9.140625" style="321" customWidth="1"/>
    <col min="15371" max="15371" width="13" style="321" customWidth="1"/>
    <col min="15372" max="15372" width="11.85546875" style="321" customWidth="1"/>
    <col min="15373" max="15373" width="13.28515625" style="321" customWidth="1"/>
    <col min="15374" max="15379" width="9.140625" style="321" customWidth="1"/>
    <col min="15380" max="15387" width="9.140625" style="321" hidden="1" customWidth="1"/>
    <col min="15388" max="15615" width="9.140625" style="321" hidden="1"/>
    <col min="15616" max="15616" width="8.28515625" style="321" customWidth="1"/>
    <col min="15617" max="15617" width="12.7109375" style="321" customWidth="1"/>
    <col min="15618" max="15618" width="13.28515625" style="321" customWidth="1"/>
    <col min="15619" max="15619" width="12.140625" style="321" customWidth="1"/>
    <col min="15620" max="15620" width="12" style="321" customWidth="1"/>
    <col min="15621" max="15626" width="9.140625" style="321" customWidth="1"/>
    <col min="15627" max="15627" width="13" style="321" customWidth="1"/>
    <col min="15628" max="15628" width="11.85546875" style="321" customWidth="1"/>
    <col min="15629" max="15629" width="13.28515625" style="321" customWidth="1"/>
    <col min="15630" max="15635" width="9.140625" style="321" customWidth="1"/>
    <col min="15636" max="15643" width="9.140625" style="321" hidden="1" customWidth="1"/>
    <col min="15644" max="15871" width="9.140625" style="321" hidden="1"/>
    <col min="15872" max="15872" width="8.28515625" style="321" customWidth="1"/>
    <col min="15873" max="15873" width="12.7109375" style="321" customWidth="1"/>
    <col min="15874" max="15874" width="13.28515625" style="321" customWidth="1"/>
    <col min="15875" max="15875" width="12.140625" style="321" customWidth="1"/>
    <col min="15876" max="15876" width="12" style="321" customWidth="1"/>
    <col min="15877" max="15882" width="9.140625" style="321" customWidth="1"/>
    <col min="15883" max="15883" width="13" style="321" customWidth="1"/>
    <col min="15884" max="15884" width="11.85546875" style="321" customWidth="1"/>
    <col min="15885" max="15885" width="13.28515625" style="321" customWidth="1"/>
    <col min="15886" max="15891" width="9.140625" style="321" customWidth="1"/>
    <col min="15892" max="15899" width="9.140625" style="321" hidden="1" customWidth="1"/>
    <col min="15900" max="16127" width="9.140625" style="321" hidden="1"/>
    <col min="16128" max="16128" width="8.28515625" style="321" customWidth="1"/>
    <col min="16129" max="16129" width="12.7109375" style="321" customWidth="1"/>
    <col min="16130" max="16130" width="13.28515625" style="321" customWidth="1"/>
    <col min="16131" max="16131" width="12.140625" style="321" customWidth="1"/>
    <col min="16132" max="16132" width="12" style="321" customWidth="1"/>
    <col min="16133" max="16138" width="9.140625" style="321" customWidth="1"/>
    <col min="16139" max="16139" width="13" style="321" customWidth="1"/>
    <col min="16140" max="16140" width="11.85546875" style="321" customWidth="1"/>
    <col min="16141" max="16141" width="13.28515625" style="321" customWidth="1"/>
    <col min="16142" max="16147" width="9.140625" style="321" customWidth="1"/>
    <col min="16148" max="16149" width="0" style="321" hidden="1" customWidth="1"/>
    <col min="16150" max="16155" width="9.140625" style="321" hidden="1" customWidth="1"/>
    <col min="16156" max="16384" width="9.140625" style="321" hidden="1"/>
  </cols>
  <sheetData>
    <row r="1" spans="2:27"/>
    <row r="2" spans="2:27" s="310" customFormat="1" ht="15">
      <c r="B2" s="307" t="s">
        <v>858</v>
      </c>
      <c r="C2" s="308"/>
      <c r="D2" s="308"/>
      <c r="E2" s="308"/>
      <c r="F2" s="308"/>
      <c r="G2" s="308"/>
      <c r="H2" s="308"/>
      <c r="I2" s="308"/>
      <c r="J2" s="308"/>
      <c r="K2" s="308"/>
      <c r="L2" s="308"/>
      <c r="M2" s="308"/>
      <c r="N2" s="308"/>
      <c r="O2" s="308"/>
      <c r="P2" s="308"/>
      <c r="Q2" s="308"/>
      <c r="R2" s="309"/>
      <c r="S2" s="309"/>
    </row>
    <row r="3" spans="2:27" s="315" customFormat="1" ht="36">
      <c r="B3" s="311" t="s">
        <v>9</v>
      </c>
      <c r="C3" s="312" t="s">
        <v>859</v>
      </c>
      <c r="D3" s="313" t="s">
        <v>682</v>
      </c>
      <c r="E3" s="313" t="s">
        <v>860</v>
      </c>
      <c r="F3" s="313" t="s">
        <v>861</v>
      </c>
      <c r="G3" s="463" t="s">
        <v>862</v>
      </c>
      <c r="H3" s="463" t="s">
        <v>863</v>
      </c>
      <c r="I3" s="1020" t="s">
        <v>864</v>
      </c>
      <c r="J3" s="1020"/>
      <c r="K3" s="1020" t="s">
        <v>865</v>
      </c>
      <c r="L3" s="1020"/>
      <c r="M3" s="463" t="s">
        <v>866</v>
      </c>
      <c r="N3" s="463" t="s">
        <v>867</v>
      </c>
      <c r="O3" s="463" t="s">
        <v>868</v>
      </c>
      <c r="P3" s="463" t="s">
        <v>869</v>
      </c>
      <c r="Q3" s="463" t="s">
        <v>870</v>
      </c>
      <c r="R3" s="1020" t="s">
        <v>1064</v>
      </c>
      <c r="S3" s="1020"/>
    </row>
    <row r="4" spans="2:27">
      <c r="B4" s="316">
        <v>1</v>
      </c>
      <c r="C4" s="457">
        <f>G11</f>
        <v>0</v>
      </c>
      <c r="D4" s="457">
        <f>C12</f>
        <v>0</v>
      </c>
      <c r="E4" s="317">
        <f>F12</f>
        <v>0</v>
      </c>
      <c r="F4" s="457">
        <f>J12</f>
        <v>0</v>
      </c>
      <c r="G4" s="457" t="str">
        <f>IF(F4="CC/OD Account",N12,"")</f>
        <v/>
      </c>
      <c r="H4" s="318" t="str">
        <f>IF(F4="CC/OD Account",MAX(F14:F24),"")</f>
        <v/>
      </c>
      <c r="I4" s="1034" t="str">
        <f>IF(SUM(C14:C24)=0,"",AVERAGE(C14:C24))</f>
        <v/>
      </c>
      <c r="J4" s="1035"/>
      <c r="K4" s="1036" t="str">
        <f>IF(SUM(G14:G24)=0,"",ROUND(AVERAGE(G14:G24),))</f>
        <v/>
      </c>
      <c r="L4" s="1037"/>
      <c r="M4" s="319" t="str">
        <f>IF(H25&lt;=0,"",I25/H25)</f>
        <v/>
      </c>
      <c r="N4" s="319" t="str">
        <f>IF(G25&lt;=0,"",J25/G25)</f>
        <v/>
      </c>
      <c r="O4" s="456">
        <f>MIN(N14:N24)</f>
        <v>0</v>
      </c>
      <c r="P4" s="456">
        <f>MAX(N14:N24)</f>
        <v>0</v>
      </c>
      <c r="Q4" s="457">
        <f>N11</f>
        <v>0</v>
      </c>
      <c r="R4" s="1044" t="e">
        <f>I4*12</f>
        <v>#VALUE!</v>
      </c>
      <c r="S4" s="1045"/>
    </row>
    <row r="5" spans="2:27">
      <c r="B5" s="316">
        <v>2</v>
      </c>
      <c r="C5" s="457">
        <f>G28</f>
        <v>0</v>
      </c>
      <c r="D5" s="457">
        <f>C29</f>
        <v>0</v>
      </c>
      <c r="E5" s="317">
        <f>F29</f>
        <v>0</v>
      </c>
      <c r="F5" s="457">
        <f>J29</f>
        <v>0</v>
      </c>
      <c r="G5" s="457" t="str">
        <f>IF(F5="CC/OD Account",N29,"")</f>
        <v/>
      </c>
      <c r="H5" s="318" t="str">
        <f>IF(F5="CC/OD Account",MAX(F31:F41),"")</f>
        <v/>
      </c>
      <c r="I5" s="1034" t="str">
        <f>IF(SUM(C31:C41)=0,"",AVERAGE(C31:C41))</f>
        <v/>
      </c>
      <c r="J5" s="1035"/>
      <c r="K5" s="1036" t="str">
        <f>IF(SUM(G31:G41)=0,"",ROUND(AVERAGE(G31:G41),))</f>
        <v/>
      </c>
      <c r="L5" s="1037"/>
      <c r="M5" s="319" t="str">
        <f>IF(H42&lt;=0,"",I42/H42)</f>
        <v/>
      </c>
      <c r="N5" s="319" t="str">
        <f>IF(G42&lt;=0,"",J42/G42)</f>
        <v/>
      </c>
      <c r="O5" s="456">
        <f>MIN(N31:N41)</f>
        <v>0</v>
      </c>
      <c r="P5" s="456">
        <f>MAX(N31:N41)</f>
        <v>0</v>
      </c>
      <c r="Q5" s="457">
        <f>N28</f>
        <v>0</v>
      </c>
      <c r="R5" s="1044" t="e">
        <f>I5*12</f>
        <v>#VALUE!</v>
      </c>
      <c r="S5" s="1045"/>
    </row>
    <row r="6" spans="2:27">
      <c r="B6" s="458">
        <v>3</v>
      </c>
      <c r="C6" s="457">
        <f>G45</f>
        <v>0</v>
      </c>
      <c r="D6" s="457">
        <f>C46</f>
        <v>0</v>
      </c>
      <c r="E6" s="459">
        <f>F46</f>
        <v>0</v>
      </c>
      <c r="F6" s="452">
        <f>J46</f>
        <v>0</v>
      </c>
      <c r="G6" s="457" t="str">
        <f>IF(F6="CC/OD Account",N46,"")</f>
        <v/>
      </c>
      <c r="H6" s="318" t="str">
        <f>IF(F6="CC/OD Account",MAX(F48:F53),"")</f>
        <v/>
      </c>
      <c r="I6" s="1034" t="str">
        <f>IF(SUM(C48:C53)=0,"",AVERAGE(C48:C53))</f>
        <v/>
      </c>
      <c r="J6" s="1035"/>
      <c r="K6" s="1036" t="str">
        <f>IF(SUM(G48:G53)=0,"",ROUND(AVERAGE(G48:G53),))</f>
        <v/>
      </c>
      <c r="L6" s="1037"/>
      <c r="M6" s="461" t="str">
        <f>IF(H53&lt;=0,"",I53/H53)</f>
        <v/>
      </c>
      <c r="N6" s="319" t="str">
        <f>IF(G53&lt;=0,"",J53/G53)</f>
        <v/>
      </c>
      <c r="O6" s="460">
        <f>MIN(N48:N53)</f>
        <v>0</v>
      </c>
      <c r="P6" s="460">
        <f>MAX(N48:N53)</f>
        <v>0</v>
      </c>
      <c r="Q6" s="452">
        <f>N45</f>
        <v>0</v>
      </c>
      <c r="R6" s="1044">
        <v>0</v>
      </c>
      <c r="S6" s="1045"/>
    </row>
    <row r="7" spans="2:27" s="309" customFormat="1">
      <c r="B7" s="322"/>
      <c r="C7" s="322"/>
      <c r="D7" s="322"/>
      <c r="E7" s="322"/>
      <c r="F7" s="322"/>
      <c r="G7" s="322"/>
      <c r="H7" s="322"/>
      <c r="I7" s="322"/>
      <c r="J7" s="322"/>
      <c r="K7" s="322"/>
      <c r="L7" s="322"/>
      <c r="M7" s="322"/>
      <c r="N7" s="322"/>
      <c r="O7" s="322"/>
      <c r="P7" s="322"/>
      <c r="Q7" s="322"/>
    </row>
    <row r="8" spans="2:27" s="309" customFormat="1">
      <c r="B8" s="322"/>
      <c r="C8" s="322"/>
      <c r="D8" s="322"/>
      <c r="E8" s="322"/>
      <c r="F8" s="322"/>
      <c r="G8" s="322"/>
      <c r="H8" s="322"/>
      <c r="I8" s="322"/>
      <c r="J8" s="322"/>
      <c r="K8" s="322"/>
      <c r="L8" s="322"/>
      <c r="M8" s="322"/>
      <c r="N8" s="322"/>
      <c r="O8" s="322"/>
      <c r="P8" s="322"/>
      <c r="Q8" s="322"/>
    </row>
    <row r="9" spans="2:27" s="320" customFormat="1" ht="15">
      <c r="B9" s="323" t="s">
        <v>871</v>
      </c>
      <c r="C9" s="324"/>
      <c r="D9" s="324"/>
      <c r="E9" s="325"/>
      <c r="F9" s="325"/>
      <c r="G9" s="325"/>
      <c r="H9" s="325"/>
      <c r="I9" s="325"/>
      <c r="J9" s="325"/>
      <c r="K9" s="325"/>
      <c r="L9" s="325"/>
      <c r="M9" s="325"/>
      <c r="N9" s="325"/>
      <c r="O9" s="325"/>
      <c r="P9" s="325"/>
      <c r="Q9" s="325"/>
    </row>
    <row r="10" spans="2:27" s="320" customFormat="1">
      <c r="B10" s="325"/>
      <c r="C10" s="325"/>
      <c r="D10" s="325"/>
      <c r="E10" s="325"/>
      <c r="F10" s="325"/>
      <c r="G10" s="325"/>
      <c r="H10" s="325"/>
      <c r="I10" s="325"/>
      <c r="J10" s="325"/>
      <c r="K10" s="325"/>
      <c r="L10" s="325"/>
      <c r="M10" s="325"/>
      <c r="N10" s="325"/>
      <c r="O10" s="325"/>
      <c r="P10" s="325"/>
      <c r="Q10" s="325"/>
    </row>
    <row r="11" spans="2:27" ht="12.75" thickBot="1">
      <c r="B11" s="326" t="s">
        <v>872</v>
      </c>
      <c r="C11" s="321"/>
      <c r="D11" s="1031" t="s">
        <v>873</v>
      </c>
      <c r="E11" s="1031"/>
      <c r="F11" s="1031"/>
      <c r="G11" s="1046"/>
      <c r="H11" s="1046"/>
      <c r="I11" s="1046"/>
      <c r="K11" s="1033"/>
      <c r="L11" s="1033"/>
      <c r="M11" s="1033"/>
      <c r="N11" s="322"/>
      <c r="O11" s="320"/>
    </row>
    <row r="12" spans="2:27" ht="15" customHeight="1" thickBot="1">
      <c r="B12" s="328" t="s">
        <v>682</v>
      </c>
      <c r="C12" s="321"/>
      <c r="D12" s="462" t="s">
        <v>873</v>
      </c>
      <c r="E12" s="464" t="s">
        <v>860</v>
      </c>
      <c r="F12" s="1047"/>
      <c r="G12" s="1048"/>
      <c r="H12" s="1028" t="s">
        <v>875</v>
      </c>
      <c r="I12" s="1028"/>
      <c r="J12" s="1049"/>
      <c r="K12" s="1049"/>
      <c r="L12" s="1028" t="s">
        <v>877</v>
      </c>
      <c r="M12" s="1028"/>
      <c r="N12" s="330"/>
      <c r="O12" s="331"/>
      <c r="P12" s="331"/>
    </row>
    <row r="13" spans="2:27" s="334" customFormat="1" ht="24">
      <c r="B13" s="347" t="s">
        <v>878</v>
      </c>
      <c r="C13" s="348" t="s">
        <v>879</v>
      </c>
      <c r="D13" s="348" t="s">
        <v>880</v>
      </c>
      <c r="E13" s="348" t="s">
        <v>862</v>
      </c>
      <c r="F13" s="348" t="s">
        <v>881</v>
      </c>
      <c r="G13" s="348" t="s">
        <v>882</v>
      </c>
      <c r="H13" s="348" t="s">
        <v>883</v>
      </c>
      <c r="I13" s="348" t="s">
        <v>866</v>
      </c>
      <c r="J13" s="348" t="s">
        <v>867</v>
      </c>
      <c r="K13" s="348" t="s">
        <v>884</v>
      </c>
      <c r="L13" s="348" t="s">
        <v>885</v>
      </c>
      <c r="M13" s="348" t="s">
        <v>886</v>
      </c>
      <c r="N13" s="349" t="s">
        <v>887</v>
      </c>
      <c r="O13" s="332"/>
      <c r="P13" s="332"/>
      <c r="Q13" s="332"/>
      <c r="R13" s="333"/>
      <c r="S13" s="333"/>
      <c r="Y13" s="310" t="s">
        <v>888</v>
      </c>
    </row>
    <row r="14" spans="2:27">
      <c r="B14" s="335">
        <v>43282</v>
      </c>
      <c r="C14" s="446"/>
      <c r="D14" s="431"/>
      <c r="E14" s="337"/>
      <c r="F14" s="318" t="str">
        <f t="shared" ref="F14:F24" si="0">IF($J$12="CC/OD Account",IF(D14="","",D14/E14),"")</f>
        <v/>
      </c>
      <c r="G14" s="447"/>
      <c r="H14" s="447"/>
      <c r="I14" s="447"/>
      <c r="J14" s="447"/>
      <c r="K14" s="446"/>
      <c r="L14" s="446"/>
      <c r="M14" s="446"/>
      <c r="N14" s="338" t="str">
        <f t="shared" ref="N14:N24" si="1">IF(SUM(K14:M14)=0,"",IF($J$12="CC/OD Account",(E14-AVERAGE(K14:M14)),AVERAGE(K14:M14)))</f>
        <v/>
      </c>
      <c r="Y14" s="339" t="s">
        <v>876</v>
      </c>
      <c r="AA14" s="321" t="s">
        <v>874</v>
      </c>
    </row>
    <row r="15" spans="2:27">
      <c r="B15" s="340">
        <f>EDATE(B14,-1)</f>
        <v>43252</v>
      </c>
      <c r="C15" s="446"/>
      <c r="D15" s="431"/>
      <c r="E15" s="337"/>
      <c r="F15" s="318" t="str">
        <f t="shared" si="0"/>
        <v/>
      </c>
      <c r="G15" s="447"/>
      <c r="H15" s="447"/>
      <c r="I15" s="447"/>
      <c r="J15" s="447"/>
      <c r="K15" s="446"/>
      <c r="L15" s="446"/>
      <c r="M15" s="446"/>
      <c r="N15" s="338" t="str">
        <f t="shared" si="1"/>
        <v/>
      </c>
      <c r="Y15" s="321" t="s">
        <v>889</v>
      </c>
      <c r="AA15" s="321" t="s">
        <v>890</v>
      </c>
    </row>
    <row r="16" spans="2:27">
      <c r="B16" s="340">
        <f>EDATE(B15,-1)</f>
        <v>43221</v>
      </c>
      <c r="C16" s="446"/>
      <c r="D16" s="431"/>
      <c r="E16" s="337"/>
      <c r="F16" s="318" t="str">
        <f t="shared" si="0"/>
        <v/>
      </c>
      <c r="G16" s="447"/>
      <c r="H16" s="447"/>
      <c r="I16" s="447"/>
      <c r="J16" s="447"/>
      <c r="K16" s="446"/>
      <c r="L16" s="446"/>
      <c r="M16" s="446"/>
      <c r="N16" s="338" t="str">
        <f t="shared" si="1"/>
        <v/>
      </c>
    </row>
    <row r="17" spans="2:19">
      <c r="B17" s="340">
        <f>EDATE(B16,-1)</f>
        <v>43191</v>
      </c>
      <c r="C17" s="446"/>
      <c r="D17" s="431"/>
      <c r="E17" s="337"/>
      <c r="F17" s="318" t="str">
        <f t="shared" si="0"/>
        <v/>
      </c>
      <c r="G17" s="447"/>
      <c r="H17" s="447"/>
      <c r="I17" s="447"/>
      <c r="J17" s="447"/>
      <c r="K17" s="446"/>
      <c r="L17" s="446"/>
      <c r="M17" s="446"/>
      <c r="N17" s="338" t="str">
        <f t="shared" si="1"/>
        <v/>
      </c>
    </row>
    <row r="18" spans="2:19">
      <c r="B18" s="340">
        <f>EDATE(B17,-1)</f>
        <v>43160</v>
      </c>
      <c r="C18" s="446"/>
      <c r="D18" s="431"/>
      <c r="E18" s="337"/>
      <c r="F18" s="318" t="str">
        <f t="shared" si="0"/>
        <v/>
      </c>
      <c r="G18" s="447"/>
      <c r="H18" s="447"/>
      <c r="I18" s="447"/>
      <c r="J18" s="447"/>
      <c r="K18" s="446"/>
      <c r="L18" s="446"/>
      <c r="M18" s="446"/>
      <c r="N18" s="338" t="str">
        <f t="shared" si="1"/>
        <v/>
      </c>
    </row>
    <row r="19" spans="2:19">
      <c r="B19" s="340">
        <f>EDATE(B18,-1)</f>
        <v>43132</v>
      </c>
      <c r="C19" s="446"/>
      <c r="D19" s="431"/>
      <c r="E19" s="337"/>
      <c r="F19" s="318" t="str">
        <f t="shared" si="0"/>
        <v/>
      </c>
      <c r="G19" s="447"/>
      <c r="H19" s="447"/>
      <c r="I19" s="447"/>
      <c r="J19" s="447"/>
      <c r="K19" s="446"/>
      <c r="L19" s="446"/>
      <c r="M19" s="446"/>
      <c r="N19" s="338" t="str">
        <f t="shared" si="1"/>
        <v/>
      </c>
    </row>
    <row r="20" spans="2:19">
      <c r="B20" s="340">
        <f t="shared" ref="B20:B24" si="2">EDATE(B19,-1)</f>
        <v>43101</v>
      </c>
      <c r="C20" s="432"/>
      <c r="D20" s="431"/>
      <c r="E20" s="337"/>
      <c r="F20" s="318" t="str">
        <f t="shared" si="0"/>
        <v/>
      </c>
      <c r="G20" s="337"/>
      <c r="H20" s="337"/>
      <c r="I20" s="337"/>
      <c r="J20" s="337"/>
      <c r="K20" s="336"/>
      <c r="L20" s="336"/>
      <c r="M20" s="336"/>
      <c r="N20" s="338" t="str">
        <f t="shared" si="1"/>
        <v/>
      </c>
    </row>
    <row r="21" spans="2:19">
      <c r="B21" s="340">
        <f t="shared" si="2"/>
        <v>43070</v>
      </c>
      <c r="C21" s="432"/>
      <c r="D21" s="431"/>
      <c r="E21" s="337"/>
      <c r="F21" s="318" t="str">
        <f t="shared" si="0"/>
        <v/>
      </c>
      <c r="G21" s="337"/>
      <c r="H21" s="337"/>
      <c r="I21" s="337"/>
      <c r="J21" s="337"/>
      <c r="K21" s="336"/>
      <c r="L21" s="336"/>
      <c r="M21" s="336"/>
      <c r="N21" s="338" t="str">
        <f t="shared" si="1"/>
        <v/>
      </c>
    </row>
    <row r="22" spans="2:19">
      <c r="B22" s="340">
        <f t="shared" si="2"/>
        <v>43040</v>
      </c>
      <c r="C22" s="432"/>
      <c r="D22" s="431"/>
      <c r="E22" s="337"/>
      <c r="F22" s="318" t="str">
        <f t="shared" si="0"/>
        <v/>
      </c>
      <c r="G22" s="337"/>
      <c r="H22" s="337"/>
      <c r="I22" s="337"/>
      <c r="J22" s="337"/>
      <c r="K22" s="336"/>
      <c r="L22" s="336"/>
      <c r="M22" s="336"/>
      <c r="N22" s="338" t="str">
        <f t="shared" si="1"/>
        <v/>
      </c>
    </row>
    <row r="23" spans="2:19">
      <c r="B23" s="340">
        <f t="shared" si="2"/>
        <v>43009</v>
      </c>
      <c r="C23" s="432"/>
      <c r="D23" s="431"/>
      <c r="E23" s="337"/>
      <c r="F23" s="318" t="str">
        <f t="shared" si="0"/>
        <v/>
      </c>
      <c r="G23" s="337"/>
      <c r="H23" s="337"/>
      <c r="I23" s="337"/>
      <c r="J23" s="337"/>
      <c r="K23" s="336"/>
      <c r="L23" s="336"/>
      <c r="M23" s="336"/>
      <c r="N23" s="338" t="str">
        <f t="shared" si="1"/>
        <v/>
      </c>
    </row>
    <row r="24" spans="2:19">
      <c r="B24" s="340">
        <f t="shared" si="2"/>
        <v>42979</v>
      </c>
      <c r="C24" s="432"/>
      <c r="D24" s="431"/>
      <c r="E24" s="337"/>
      <c r="F24" s="318" t="str">
        <f t="shared" si="0"/>
        <v/>
      </c>
      <c r="G24" s="337"/>
      <c r="H24" s="337"/>
      <c r="I24" s="337"/>
      <c r="J24" s="337"/>
      <c r="K24" s="336"/>
      <c r="L24" s="336"/>
      <c r="M24" s="336"/>
      <c r="N24" s="338" t="str">
        <f t="shared" si="1"/>
        <v/>
      </c>
    </row>
    <row r="25" spans="2:19" ht="12.75" thickBot="1">
      <c r="B25" s="341" t="s">
        <v>3</v>
      </c>
      <c r="C25" s="343">
        <f>SUM(C14:C24)</f>
        <v>0</v>
      </c>
      <c r="D25" s="342"/>
      <c r="E25" s="342"/>
      <c r="F25" s="342"/>
      <c r="G25" s="343">
        <f>SUM(G14:G24)</f>
        <v>0</v>
      </c>
      <c r="H25" s="343">
        <f>SUM(H14:H24)</f>
        <v>0</v>
      </c>
      <c r="I25" s="343">
        <f>SUM(I14:I24)</f>
        <v>0</v>
      </c>
      <c r="J25" s="343">
        <f>SUM(J14:J24)</f>
        <v>0</v>
      </c>
      <c r="K25" s="342"/>
      <c r="L25" s="342"/>
      <c r="M25" s="342"/>
      <c r="N25" s="350"/>
    </row>
    <row r="26" spans="2:19" s="310" customFormat="1">
      <c r="B26" s="344"/>
      <c r="C26" s="345"/>
      <c r="D26" s="344"/>
      <c r="E26" s="344"/>
      <c r="F26" s="344"/>
      <c r="G26" s="344"/>
      <c r="H26" s="344"/>
      <c r="I26" s="344"/>
      <c r="J26" s="344"/>
      <c r="K26" s="344"/>
      <c r="L26" s="344"/>
      <c r="M26" s="344"/>
      <c r="N26" s="344"/>
      <c r="O26" s="322"/>
      <c r="P26" s="322"/>
      <c r="Q26" s="322"/>
      <c r="R26" s="309"/>
      <c r="S26" s="309"/>
    </row>
    <row r="27" spans="2:19" s="310" customFormat="1">
      <c r="B27" s="322"/>
      <c r="C27" s="322"/>
      <c r="D27" s="322"/>
      <c r="E27" s="322"/>
      <c r="F27" s="322"/>
      <c r="G27" s="322"/>
      <c r="H27" s="322"/>
      <c r="I27" s="322"/>
      <c r="J27" s="322"/>
      <c r="K27" s="322"/>
      <c r="L27" s="322"/>
      <c r="M27" s="322"/>
      <c r="N27" s="322"/>
      <c r="O27" s="322"/>
      <c r="P27" s="322"/>
      <c r="Q27" s="322"/>
      <c r="R27" s="309"/>
      <c r="S27" s="309"/>
    </row>
    <row r="28" spans="2:19" ht="12.75" thickBot="1">
      <c r="B28" s="326" t="s">
        <v>891</v>
      </c>
      <c r="C28" s="321"/>
      <c r="D28" s="1031" t="s">
        <v>873</v>
      </c>
      <c r="E28" s="1031"/>
      <c r="F28" s="1031"/>
      <c r="G28" s="1041"/>
      <c r="H28" s="1041"/>
      <c r="I28" s="1041"/>
      <c r="K28" s="1033"/>
      <c r="L28" s="1033"/>
      <c r="M28" s="1033"/>
      <c r="N28" s="325"/>
      <c r="O28" s="320"/>
    </row>
    <row r="29" spans="2:19" ht="12.75" thickBot="1">
      <c r="B29" s="328" t="s">
        <v>682</v>
      </c>
      <c r="C29" s="321"/>
      <c r="D29" s="462" t="s">
        <v>873</v>
      </c>
      <c r="E29" s="464" t="s">
        <v>860</v>
      </c>
      <c r="F29" s="1039"/>
      <c r="G29" s="1040"/>
      <c r="H29" s="1028" t="s">
        <v>875</v>
      </c>
      <c r="I29" s="1028"/>
      <c r="J29" s="1032"/>
      <c r="K29" s="1032"/>
      <c r="L29" s="1028" t="s">
        <v>877</v>
      </c>
      <c r="M29" s="1028"/>
      <c r="N29" s="330"/>
      <c r="O29" s="320"/>
    </row>
    <row r="30" spans="2:19" s="310" customFormat="1" ht="24">
      <c r="B30" s="347" t="s">
        <v>878</v>
      </c>
      <c r="C30" s="348" t="s">
        <v>879</v>
      </c>
      <c r="D30" s="348" t="s">
        <v>880</v>
      </c>
      <c r="E30" s="348" t="s">
        <v>862</v>
      </c>
      <c r="F30" s="348" t="s">
        <v>881</v>
      </c>
      <c r="G30" s="348" t="s">
        <v>882</v>
      </c>
      <c r="H30" s="348" t="s">
        <v>883</v>
      </c>
      <c r="I30" s="348" t="s">
        <v>866</v>
      </c>
      <c r="J30" s="348" t="s">
        <v>867</v>
      </c>
      <c r="K30" s="348" t="s">
        <v>884</v>
      </c>
      <c r="L30" s="348" t="s">
        <v>885</v>
      </c>
      <c r="M30" s="348" t="s">
        <v>886</v>
      </c>
      <c r="N30" s="349" t="s">
        <v>887</v>
      </c>
      <c r="O30" s="320"/>
      <c r="P30" s="325"/>
      <c r="Q30" s="322"/>
      <c r="R30" s="309"/>
      <c r="S30" s="309"/>
    </row>
    <row r="31" spans="2:19">
      <c r="B31" s="340">
        <f>B14</f>
        <v>43282</v>
      </c>
      <c r="C31" s="446"/>
      <c r="D31" s="337"/>
      <c r="E31" s="337"/>
      <c r="F31" s="318" t="str">
        <f t="shared" ref="F31:F41" si="3">IF($J$29="CC/OD Account",IF(D31="","",D31/E31),"")</f>
        <v/>
      </c>
      <c r="G31" s="447"/>
      <c r="H31" s="447"/>
      <c r="I31" s="447"/>
      <c r="J31" s="447"/>
      <c r="K31" s="446"/>
      <c r="L31" s="444"/>
      <c r="M31" s="444"/>
      <c r="N31" s="338" t="str">
        <f t="shared" ref="N31:N41" si="4">IF(SUM(K31:M31)=0,"",IF($J$12="CC/OD Account",(E31-AVERAGE(K31:M31)),AVERAGE(K31:M31)))</f>
        <v/>
      </c>
    </row>
    <row r="32" spans="2:19">
      <c r="B32" s="340">
        <f>EDATE(B31,-1)</f>
        <v>43252</v>
      </c>
      <c r="C32" s="446"/>
      <c r="D32" s="337"/>
      <c r="E32" s="337"/>
      <c r="F32" s="318" t="str">
        <f t="shared" si="3"/>
        <v/>
      </c>
      <c r="G32" s="447"/>
      <c r="H32" s="447"/>
      <c r="I32" s="447"/>
      <c r="J32" s="447"/>
      <c r="K32" s="446"/>
      <c r="L32" s="446"/>
      <c r="M32" s="446"/>
      <c r="N32" s="338" t="str">
        <f t="shared" si="4"/>
        <v/>
      </c>
    </row>
    <row r="33" spans="2:19">
      <c r="B33" s="340">
        <f>EDATE(B32,-1)</f>
        <v>43221</v>
      </c>
      <c r="C33" s="446"/>
      <c r="D33" s="337"/>
      <c r="E33" s="337"/>
      <c r="F33" s="318" t="str">
        <f t="shared" si="3"/>
        <v/>
      </c>
      <c r="G33" s="447"/>
      <c r="H33" s="447"/>
      <c r="I33" s="447"/>
      <c r="J33" s="447"/>
      <c r="K33" s="446"/>
      <c r="L33" s="446"/>
      <c r="M33" s="446"/>
      <c r="N33" s="338" t="str">
        <f t="shared" si="4"/>
        <v/>
      </c>
    </row>
    <row r="34" spans="2:19">
      <c r="B34" s="340">
        <f>EDATE(B33,-1)</f>
        <v>43191</v>
      </c>
      <c r="C34" s="446"/>
      <c r="D34" s="337"/>
      <c r="E34" s="337"/>
      <c r="F34" s="318" t="str">
        <f t="shared" si="3"/>
        <v/>
      </c>
      <c r="G34" s="447"/>
      <c r="H34" s="447"/>
      <c r="I34" s="447"/>
      <c r="J34" s="447"/>
      <c r="K34" s="446"/>
      <c r="L34" s="446"/>
      <c r="M34" s="446"/>
      <c r="N34" s="338" t="str">
        <f t="shared" si="4"/>
        <v/>
      </c>
    </row>
    <row r="35" spans="2:19">
      <c r="B35" s="340">
        <f>EDATE(B34,-1)</f>
        <v>43160</v>
      </c>
      <c r="C35" s="446"/>
      <c r="D35" s="337"/>
      <c r="E35" s="337"/>
      <c r="F35" s="318" t="str">
        <f t="shared" si="3"/>
        <v/>
      </c>
      <c r="G35" s="447"/>
      <c r="H35" s="447"/>
      <c r="I35" s="447"/>
      <c r="J35" s="447"/>
      <c r="K35" s="446"/>
      <c r="L35" s="446"/>
      <c r="M35" s="446"/>
      <c r="N35" s="338" t="str">
        <f t="shared" si="4"/>
        <v/>
      </c>
    </row>
    <row r="36" spans="2:19">
      <c r="B36" s="340">
        <f>EDATE(B35,-1)</f>
        <v>43132</v>
      </c>
      <c r="C36" s="446"/>
      <c r="D36" s="435"/>
      <c r="E36" s="435"/>
      <c r="F36" s="318" t="str">
        <f t="shared" si="3"/>
        <v/>
      </c>
      <c r="G36" s="447"/>
      <c r="H36" s="447"/>
      <c r="I36" s="447"/>
      <c r="J36" s="447"/>
      <c r="K36" s="446"/>
      <c r="L36" s="446"/>
      <c r="M36" s="446"/>
      <c r="N36" s="338" t="str">
        <f t="shared" si="4"/>
        <v/>
      </c>
    </row>
    <row r="37" spans="2:19">
      <c r="B37" s="340">
        <f t="shared" ref="B37:B41" si="5">EDATE(B36,-1)</f>
        <v>43101</v>
      </c>
      <c r="C37" s="437"/>
      <c r="D37" s="435"/>
      <c r="E37" s="435"/>
      <c r="F37" s="318" t="str">
        <f t="shared" si="3"/>
        <v/>
      </c>
      <c r="G37" s="436"/>
      <c r="H37" s="436"/>
      <c r="I37" s="436"/>
      <c r="J37" s="436"/>
      <c r="K37" s="434"/>
      <c r="L37" s="434"/>
      <c r="M37" s="434"/>
      <c r="N37" s="338" t="str">
        <f t="shared" si="4"/>
        <v/>
      </c>
    </row>
    <row r="38" spans="2:19">
      <c r="B38" s="340">
        <f t="shared" si="5"/>
        <v>43070</v>
      </c>
      <c r="C38" s="437"/>
      <c r="D38" s="435"/>
      <c r="E38" s="435"/>
      <c r="F38" s="318" t="str">
        <f t="shared" si="3"/>
        <v/>
      </c>
      <c r="G38" s="436"/>
      <c r="H38" s="436"/>
      <c r="I38" s="436"/>
      <c r="J38" s="436"/>
      <c r="K38" s="434"/>
      <c r="L38" s="434"/>
      <c r="M38" s="434"/>
      <c r="N38" s="338" t="str">
        <f t="shared" si="4"/>
        <v/>
      </c>
    </row>
    <row r="39" spans="2:19">
      <c r="B39" s="340">
        <f t="shared" si="5"/>
        <v>43040</v>
      </c>
      <c r="C39" s="437"/>
      <c r="D39" s="435"/>
      <c r="E39" s="435"/>
      <c r="F39" s="318" t="str">
        <f t="shared" si="3"/>
        <v/>
      </c>
      <c r="G39" s="436"/>
      <c r="H39" s="436"/>
      <c r="I39" s="436"/>
      <c r="J39" s="436"/>
      <c r="K39" s="434"/>
      <c r="L39" s="434"/>
      <c r="M39" s="434"/>
      <c r="N39" s="338" t="str">
        <f t="shared" si="4"/>
        <v/>
      </c>
    </row>
    <row r="40" spans="2:19">
      <c r="B40" s="340">
        <f t="shared" si="5"/>
        <v>43009</v>
      </c>
      <c r="C40" s="437"/>
      <c r="D40" s="435"/>
      <c r="E40" s="435"/>
      <c r="F40" s="318" t="str">
        <f t="shared" si="3"/>
        <v/>
      </c>
      <c r="G40" s="436"/>
      <c r="H40" s="436"/>
      <c r="I40" s="436"/>
      <c r="J40" s="436"/>
      <c r="K40" s="434"/>
      <c r="L40" s="434"/>
      <c r="M40" s="434"/>
      <c r="N40" s="338" t="str">
        <f t="shared" si="4"/>
        <v/>
      </c>
    </row>
    <row r="41" spans="2:19">
      <c r="B41" s="340">
        <f t="shared" si="5"/>
        <v>42979</v>
      </c>
      <c r="C41" s="437"/>
      <c r="D41" s="435"/>
      <c r="E41" s="435"/>
      <c r="F41" s="318" t="str">
        <f t="shared" si="3"/>
        <v/>
      </c>
      <c r="G41" s="436"/>
      <c r="H41" s="436"/>
      <c r="I41" s="436"/>
      <c r="J41" s="436"/>
      <c r="K41" s="434"/>
      <c r="L41" s="434"/>
      <c r="M41" s="434"/>
      <c r="N41" s="338" t="str">
        <f t="shared" si="4"/>
        <v/>
      </c>
    </row>
    <row r="42" spans="2:19" s="310" customFormat="1" ht="12.75" thickBot="1">
      <c r="B42" s="341" t="s">
        <v>3</v>
      </c>
      <c r="C42" s="433">
        <f>SUM(C31:C41)</f>
        <v>0</v>
      </c>
      <c r="D42" s="346"/>
      <c r="E42" s="346"/>
      <c r="F42" s="346"/>
      <c r="G42" s="343">
        <f>SUM(G31:G41)</f>
        <v>0</v>
      </c>
      <c r="H42" s="343">
        <f>SUM(H31:H41)</f>
        <v>0</v>
      </c>
      <c r="I42" s="343">
        <f>SUM(I31:I41)</f>
        <v>0</v>
      </c>
      <c r="J42" s="343">
        <f>SUM(J31:J41)</f>
        <v>0</v>
      </c>
      <c r="K42" s="346"/>
      <c r="L42" s="346"/>
      <c r="M42" s="346"/>
      <c r="N42" s="350"/>
      <c r="O42" s="322"/>
      <c r="P42" s="322"/>
      <c r="Q42" s="322"/>
      <c r="R42" s="309"/>
      <c r="S42" s="309"/>
    </row>
    <row r="43" spans="2:19" s="310" customFormat="1">
      <c r="B43" s="322"/>
      <c r="C43" s="322"/>
      <c r="D43" s="322"/>
      <c r="E43" s="322"/>
      <c r="F43" s="322"/>
      <c r="G43" s="322"/>
      <c r="H43" s="322"/>
      <c r="I43" s="322"/>
      <c r="J43" s="322"/>
      <c r="K43" s="322"/>
      <c r="L43" s="322"/>
      <c r="M43" s="322"/>
      <c r="N43" s="322"/>
      <c r="O43" s="322"/>
      <c r="P43" s="322"/>
      <c r="Q43" s="322"/>
      <c r="R43" s="309"/>
      <c r="S43" s="309"/>
    </row>
    <row r="44" spans="2:19" s="310" customFormat="1">
      <c r="B44" s="322"/>
      <c r="C44" s="322"/>
      <c r="D44" s="322"/>
      <c r="E44" s="322"/>
      <c r="F44" s="322"/>
      <c r="G44" s="322"/>
      <c r="H44" s="322"/>
      <c r="I44" s="322"/>
      <c r="J44" s="322"/>
      <c r="K44" s="322"/>
      <c r="L44" s="322"/>
      <c r="M44" s="322"/>
      <c r="N44" s="322"/>
      <c r="O44" s="322"/>
      <c r="P44" s="322"/>
      <c r="Q44" s="322"/>
      <c r="R44" s="309"/>
      <c r="S44" s="309"/>
    </row>
    <row r="45" spans="2:19" ht="12.75" thickBot="1">
      <c r="B45" s="326" t="s">
        <v>892</v>
      </c>
      <c r="D45" s="1031" t="s">
        <v>873</v>
      </c>
      <c r="E45" s="1031"/>
      <c r="F45" s="1031"/>
      <c r="G45" s="1041"/>
      <c r="H45" s="1041"/>
      <c r="I45" s="1041"/>
      <c r="K45" s="1033"/>
      <c r="L45" s="1033"/>
      <c r="M45" s="1033"/>
      <c r="N45" s="325"/>
      <c r="O45" s="320"/>
    </row>
    <row r="46" spans="2:19" ht="12.75" thickBot="1">
      <c r="B46" s="328" t="s">
        <v>682</v>
      </c>
      <c r="C46" s="1038"/>
      <c r="D46" s="1038"/>
      <c r="E46" s="464" t="s">
        <v>860</v>
      </c>
      <c r="F46" s="1039"/>
      <c r="G46" s="1040"/>
      <c r="H46" s="1028" t="s">
        <v>875</v>
      </c>
      <c r="I46" s="1028"/>
      <c r="J46" s="1032"/>
      <c r="K46" s="1032"/>
      <c r="L46" s="1028" t="s">
        <v>877</v>
      </c>
      <c r="M46" s="1028"/>
      <c r="N46" s="330"/>
    </row>
    <row r="47" spans="2:19" s="310" customFormat="1" ht="24">
      <c r="B47" s="347" t="s">
        <v>878</v>
      </c>
      <c r="C47" s="348" t="s">
        <v>879</v>
      </c>
      <c r="D47" s="348" t="s">
        <v>880</v>
      </c>
      <c r="E47" s="348" t="s">
        <v>862</v>
      </c>
      <c r="F47" s="348" t="s">
        <v>881</v>
      </c>
      <c r="G47" s="348" t="s">
        <v>882</v>
      </c>
      <c r="H47" s="348" t="s">
        <v>883</v>
      </c>
      <c r="I47" s="348" t="s">
        <v>866</v>
      </c>
      <c r="J47" s="348" t="s">
        <v>867</v>
      </c>
      <c r="K47" s="348" t="s">
        <v>884</v>
      </c>
      <c r="L47" s="348" t="s">
        <v>885</v>
      </c>
      <c r="M47" s="348" t="s">
        <v>886</v>
      </c>
      <c r="N47" s="349" t="s">
        <v>887</v>
      </c>
      <c r="O47" s="322"/>
      <c r="P47" s="322"/>
      <c r="Q47" s="322"/>
      <c r="R47" s="309"/>
      <c r="S47" s="309"/>
    </row>
    <row r="48" spans="2:19">
      <c r="B48" s="340">
        <f>B31</f>
        <v>43282</v>
      </c>
      <c r="C48" s="446"/>
      <c r="D48" s="337"/>
      <c r="E48" s="337"/>
      <c r="F48" s="318" t="str">
        <f t="shared" ref="F48:F53" si="6">IF($J$29="CC/OD Account",IF(D48="","",D48/E48),"")</f>
        <v/>
      </c>
      <c r="G48" s="447"/>
      <c r="H48" s="447"/>
      <c r="I48" s="447"/>
      <c r="J48" s="447"/>
      <c r="K48" s="444"/>
      <c r="L48" s="444"/>
      <c r="M48" s="444"/>
      <c r="N48" s="338" t="str">
        <f t="shared" ref="N48:N53" si="7">IF(SUM(K48:M48)=0,"",IF($J$12="CC/OD Account",(E48-AVERAGE(K48:M48)),AVERAGE(K48:M48)))</f>
        <v/>
      </c>
    </row>
    <row r="49" spans="2:19">
      <c r="B49" s="340">
        <f>EDATE(B48,-1)</f>
        <v>43252</v>
      </c>
      <c r="C49" s="446"/>
      <c r="D49" s="337"/>
      <c r="E49" s="337"/>
      <c r="F49" s="318" t="str">
        <f t="shared" si="6"/>
        <v/>
      </c>
      <c r="G49" s="447"/>
      <c r="H49" s="447"/>
      <c r="I49" s="447"/>
      <c r="J49" s="447"/>
      <c r="K49" s="446"/>
      <c r="L49" s="446"/>
      <c r="M49" s="446"/>
      <c r="N49" s="338" t="str">
        <f t="shared" si="7"/>
        <v/>
      </c>
    </row>
    <row r="50" spans="2:19">
      <c r="B50" s="340">
        <f>EDATE(B49,-1)</f>
        <v>43221</v>
      </c>
      <c r="C50" s="446"/>
      <c r="D50" s="337"/>
      <c r="E50" s="337"/>
      <c r="F50" s="318" t="str">
        <f t="shared" si="6"/>
        <v/>
      </c>
      <c r="G50" s="447"/>
      <c r="H50" s="447"/>
      <c r="I50" s="447"/>
      <c r="J50" s="447"/>
      <c r="K50" s="446"/>
      <c r="L50" s="446"/>
      <c r="M50" s="446"/>
      <c r="N50" s="338" t="str">
        <f t="shared" si="7"/>
        <v/>
      </c>
    </row>
    <row r="51" spans="2:19">
      <c r="B51" s="340">
        <f>EDATE(B50,-1)</f>
        <v>43191</v>
      </c>
      <c r="C51" s="446"/>
      <c r="D51" s="337"/>
      <c r="E51" s="337"/>
      <c r="F51" s="318" t="str">
        <f t="shared" si="6"/>
        <v/>
      </c>
      <c r="G51" s="447"/>
      <c r="H51" s="447"/>
      <c r="I51" s="447"/>
      <c r="J51" s="447"/>
      <c r="K51" s="446"/>
      <c r="L51" s="446"/>
      <c r="M51" s="446"/>
      <c r="N51" s="338" t="str">
        <f t="shared" si="7"/>
        <v/>
      </c>
    </row>
    <row r="52" spans="2:19">
      <c r="B52" s="340">
        <f>EDATE(B51,-1)</f>
        <v>43160</v>
      </c>
      <c r="C52" s="446"/>
      <c r="D52" s="337"/>
      <c r="E52" s="337"/>
      <c r="F52" s="318" t="str">
        <f t="shared" si="6"/>
        <v/>
      </c>
      <c r="G52" s="447"/>
      <c r="H52" s="447"/>
      <c r="I52" s="447"/>
      <c r="J52" s="447"/>
      <c r="K52" s="446"/>
      <c r="L52" s="446"/>
      <c r="M52" s="446"/>
      <c r="N52" s="338" t="str">
        <f t="shared" si="7"/>
        <v/>
      </c>
    </row>
    <row r="53" spans="2:19">
      <c r="B53" s="340">
        <f>EDATE(B52,-1)</f>
        <v>43132</v>
      </c>
      <c r="C53" s="446"/>
      <c r="D53" s="435"/>
      <c r="E53" s="435"/>
      <c r="F53" s="318" t="str">
        <f t="shared" si="6"/>
        <v/>
      </c>
      <c r="G53" s="447"/>
      <c r="H53" s="447"/>
      <c r="I53" s="447"/>
      <c r="J53" s="447"/>
      <c r="K53" s="446"/>
      <c r="L53" s="446"/>
      <c r="M53" s="446"/>
      <c r="N53" s="338" t="str">
        <f t="shared" si="7"/>
        <v/>
      </c>
    </row>
    <row r="54" spans="2:19" s="325" customFormat="1" ht="12.75" thickBot="1">
      <c r="B54" s="341" t="s">
        <v>3</v>
      </c>
      <c r="C54" s="433">
        <f>SUM(C48:C53)</f>
        <v>0</v>
      </c>
      <c r="D54" s="346"/>
      <c r="E54" s="346"/>
      <c r="F54" s="346"/>
      <c r="G54" s="343">
        <f>SUM(G48:G53)</f>
        <v>0</v>
      </c>
      <c r="H54" s="343">
        <f>SUM(H48:H53)</f>
        <v>0</v>
      </c>
      <c r="I54" s="343">
        <f>SUM(I48:I53)</f>
        <v>0</v>
      </c>
      <c r="J54" s="343">
        <f>SUM(J48:J53)</f>
        <v>0</v>
      </c>
      <c r="K54" s="346"/>
      <c r="L54" s="346"/>
      <c r="M54" s="346"/>
      <c r="N54" s="350"/>
      <c r="R54" s="320"/>
      <c r="S54" s="320"/>
    </row>
    <row r="55" spans="2:19"/>
    <row r="56" spans="2:19"/>
    <row r="57" spans="2:19"/>
    <row r="58" spans="2:19"/>
    <row r="59" spans="2:19"/>
    <row r="60" spans="2:19"/>
    <row r="61" spans="2:19"/>
    <row r="62" spans="2:19"/>
    <row r="63" spans="2:19"/>
    <row r="64" spans="2:19"/>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sheetData>
  <mergeCells count="34">
    <mergeCell ref="D45:F45"/>
    <mergeCell ref="G45:I45"/>
    <mergeCell ref="K45:M45"/>
    <mergeCell ref="C46:D46"/>
    <mergeCell ref="F46:G46"/>
    <mergeCell ref="H46:I46"/>
    <mergeCell ref="J46:K46"/>
    <mergeCell ref="L46:M46"/>
    <mergeCell ref="D28:F28"/>
    <mergeCell ref="G28:I28"/>
    <mergeCell ref="K28:M28"/>
    <mergeCell ref="F29:G29"/>
    <mergeCell ref="H29:I29"/>
    <mergeCell ref="J29:K29"/>
    <mergeCell ref="L29:M29"/>
    <mergeCell ref="D11:F11"/>
    <mergeCell ref="G11:I11"/>
    <mergeCell ref="K11:M11"/>
    <mergeCell ref="F12:G12"/>
    <mergeCell ref="H12:I12"/>
    <mergeCell ref="J12:K12"/>
    <mergeCell ref="L12:M12"/>
    <mergeCell ref="I5:J5"/>
    <mergeCell ref="K5:L5"/>
    <mergeCell ref="R5:S5"/>
    <mergeCell ref="I6:J6"/>
    <mergeCell ref="K6:L6"/>
    <mergeCell ref="R6:S6"/>
    <mergeCell ref="I3:J3"/>
    <mergeCell ref="K3:L3"/>
    <mergeCell ref="R3:S3"/>
    <mergeCell ref="I4:J4"/>
    <mergeCell ref="K4:L4"/>
    <mergeCell ref="R4:S4"/>
  </mergeCells>
  <dataValidations count="4">
    <dataValidation type="list" allowBlank="1" showInputMessage="1" showErrorMessage="1" sqref="J12:K12" xr:uid="{00000000-0002-0000-1000-000000000000}">
      <formula1>"Current Account, CC/OD Account"</formula1>
    </dataValidation>
    <dataValidation type="list" allowBlank="1" showInputMessage="1" showErrorMessage="1" sqref="WVM983043:WVO983043 JA11:JC11 SW11:SY11 ACS11:ACU11 AMO11:AMQ11 AWK11:AWM11 BGG11:BGI11 BQC11:BQE11 BZY11:CAA11 CJU11:CJW11 CTQ11:CTS11 DDM11:DDO11 DNI11:DNK11 DXE11:DXG11 EHA11:EHC11 EQW11:EQY11 FAS11:FAU11 FKO11:FKQ11 FUK11:FUM11 GEG11:GEI11 GOC11:GOE11 GXY11:GYA11 HHU11:HHW11 HRQ11:HRS11 IBM11:IBO11 ILI11:ILK11 IVE11:IVG11 JFA11:JFC11 JOW11:JOY11 JYS11:JYU11 KIO11:KIQ11 KSK11:KSM11 LCG11:LCI11 LMC11:LME11 LVY11:LWA11 MFU11:MFW11 MPQ11:MPS11 MZM11:MZO11 NJI11:NJK11 NTE11:NTG11 ODA11:ODC11 OMW11:OMY11 OWS11:OWU11 PGO11:PGQ11 PQK11:PQM11 QAG11:QAI11 QKC11:QKE11 QTY11:QUA11 RDU11:RDW11 RNQ11:RNS11 RXM11:RXO11 SHI11:SHK11 SRE11:SRG11 TBA11:TBC11 TKW11:TKY11 TUS11:TUU11 UEO11:UEQ11 UOK11:UOM11 UYG11:UYI11 VIC11:VIE11 VRY11:VSA11 WBU11:WBW11 WLQ11:WLS11 WVM11:WVO11 G65487:I65487 JA65487:JC65487 SW65487:SY65487 ACS65487:ACU65487 AMO65487:AMQ65487 AWK65487:AWM65487 BGG65487:BGI65487 BQC65487:BQE65487 BZY65487:CAA65487 CJU65487:CJW65487 CTQ65487:CTS65487 DDM65487:DDO65487 DNI65487:DNK65487 DXE65487:DXG65487 EHA65487:EHC65487 EQW65487:EQY65487 FAS65487:FAU65487 FKO65487:FKQ65487 FUK65487:FUM65487 GEG65487:GEI65487 GOC65487:GOE65487 GXY65487:GYA65487 HHU65487:HHW65487 HRQ65487:HRS65487 IBM65487:IBO65487 ILI65487:ILK65487 IVE65487:IVG65487 JFA65487:JFC65487 JOW65487:JOY65487 JYS65487:JYU65487 KIO65487:KIQ65487 KSK65487:KSM65487 LCG65487:LCI65487 LMC65487:LME65487 LVY65487:LWA65487 MFU65487:MFW65487 MPQ65487:MPS65487 MZM65487:MZO65487 NJI65487:NJK65487 NTE65487:NTG65487 ODA65487:ODC65487 OMW65487:OMY65487 OWS65487:OWU65487 PGO65487:PGQ65487 PQK65487:PQM65487 QAG65487:QAI65487 QKC65487:QKE65487 QTY65487:QUA65487 RDU65487:RDW65487 RNQ65487:RNS65487 RXM65487:RXO65487 SHI65487:SHK65487 SRE65487:SRG65487 TBA65487:TBC65487 TKW65487:TKY65487 TUS65487:TUU65487 UEO65487:UEQ65487 UOK65487:UOM65487 UYG65487:UYI65487 VIC65487:VIE65487 VRY65487:VSA65487 WBU65487:WBW65487 WLQ65487:WLS65487 WVM65487:WVO65487 G131023:I131023 JA131023:JC131023 SW131023:SY131023 ACS131023:ACU131023 AMO131023:AMQ131023 AWK131023:AWM131023 BGG131023:BGI131023 BQC131023:BQE131023 BZY131023:CAA131023 CJU131023:CJW131023 CTQ131023:CTS131023 DDM131023:DDO131023 DNI131023:DNK131023 DXE131023:DXG131023 EHA131023:EHC131023 EQW131023:EQY131023 FAS131023:FAU131023 FKO131023:FKQ131023 FUK131023:FUM131023 GEG131023:GEI131023 GOC131023:GOE131023 GXY131023:GYA131023 HHU131023:HHW131023 HRQ131023:HRS131023 IBM131023:IBO131023 ILI131023:ILK131023 IVE131023:IVG131023 JFA131023:JFC131023 JOW131023:JOY131023 JYS131023:JYU131023 KIO131023:KIQ131023 KSK131023:KSM131023 LCG131023:LCI131023 LMC131023:LME131023 LVY131023:LWA131023 MFU131023:MFW131023 MPQ131023:MPS131023 MZM131023:MZO131023 NJI131023:NJK131023 NTE131023:NTG131023 ODA131023:ODC131023 OMW131023:OMY131023 OWS131023:OWU131023 PGO131023:PGQ131023 PQK131023:PQM131023 QAG131023:QAI131023 QKC131023:QKE131023 QTY131023:QUA131023 RDU131023:RDW131023 RNQ131023:RNS131023 RXM131023:RXO131023 SHI131023:SHK131023 SRE131023:SRG131023 TBA131023:TBC131023 TKW131023:TKY131023 TUS131023:TUU131023 UEO131023:UEQ131023 UOK131023:UOM131023 UYG131023:UYI131023 VIC131023:VIE131023 VRY131023:VSA131023 WBU131023:WBW131023 WLQ131023:WLS131023 WVM131023:WVO131023 G196559:I196559 JA196559:JC196559 SW196559:SY196559 ACS196559:ACU196559 AMO196559:AMQ196559 AWK196559:AWM196559 BGG196559:BGI196559 BQC196559:BQE196559 BZY196559:CAA196559 CJU196559:CJW196559 CTQ196559:CTS196559 DDM196559:DDO196559 DNI196559:DNK196559 DXE196559:DXG196559 EHA196559:EHC196559 EQW196559:EQY196559 FAS196559:FAU196559 FKO196559:FKQ196559 FUK196559:FUM196559 GEG196559:GEI196559 GOC196559:GOE196559 GXY196559:GYA196559 HHU196559:HHW196559 HRQ196559:HRS196559 IBM196559:IBO196559 ILI196559:ILK196559 IVE196559:IVG196559 JFA196559:JFC196559 JOW196559:JOY196559 JYS196559:JYU196559 KIO196559:KIQ196559 KSK196559:KSM196559 LCG196559:LCI196559 LMC196559:LME196559 LVY196559:LWA196559 MFU196559:MFW196559 MPQ196559:MPS196559 MZM196559:MZO196559 NJI196559:NJK196559 NTE196559:NTG196559 ODA196559:ODC196559 OMW196559:OMY196559 OWS196559:OWU196559 PGO196559:PGQ196559 PQK196559:PQM196559 QAG196559:QAI196559 QKC196559:QKE196559 QTY196559:QUA196559 RDU196559:RDW196559 RNQ196559:RNS196559 RXM196559:RXO196559 SHI196559:SHK196559 SRE196559:SRG196559 TBA196559:TBC196559 TKW196559:TKY196559 TUS196559:TUU196559 UEO196559:UEQ196559 UOK196559:UOM196559 UYG196559:UYI196559 VIC196559:VIE196559 VRY196559:VSA196559 WBU196559:WBW196559 WLQ196559:WLS196559 WVM196559:WVO196559 G262095:I262095 JA262095:JC262095 SW262095:SY262095 ACS262095:ACU262095 AMO262095:AMQ262095 AWK262095:AWM262095 BGG262095:BGI262095 BQC262095:BQE262095 BZY262095:CAA262095 CJU262095:CJW262095 CTQ262095:CTS262095 DDM262095:DDO262095 DNI262095:DNK262095 DXE262095:DXG262095 EHA262095:EHC262095 EQW262095:EQY262095 FAS262095:FAU262095 FKO262095:FKQ262095 FUK262095:FUM262095 GEG262095:GEI262095 GOC262095:GOE262095 GXY262095:GYA262095 HHU262095:HHW262095 HRQ262095:HRS262095 IBM262095:IBO262095 ILI262095:ILK262095 IVE262095:IVG262095 JFA262095:JFC262095 JOW262095:JOY262095 JYS262095:JYU262095 KIO262095:KIQ262095 KSK262095:KSM262095 LCG262095:LCI262095 LMC262095:LME262095 LVY262095:LWA262095 MFU262095:MFW262095 MPQ262095:MPS262095 MZM262095:MZO262095 NJI262095:NJK262095 NTE262095:NTG262095 ODA262095:ODC262095 OMW262095:OMY262095 OWS262095:OWU262095 PGO262095:PGQ262095 PQK262095:PQM262095 QAG262095:QAI262095 QKC262095:QKE262095 QTY262095:QUA262095 RDU262095:RDW262095 RNQ262095:RNS262095 RXM262095:RXO262095 SHI262095:SHK262095 SRE262095:SRG262095 TBA262095:TBC262095 TKW262095:TKY262095 TUS262095:TUU262095 UEO262095:UEQ262095 UOK262095:UOM262095 UYG262095:UYI262095 VIC262095:VIE262095 VRY262095:VSA262095 WBU262095:WBW262095 WLQ262095:WLS262095 WVM262095:WVO262095 G327631:I327631 JA327631:JC327631 SW327631:SY327631 ACS327631:ACU327631 AMO327631:AMQ327631 AWK327631:AWM327631 BGG327631:BGI327631 BQC327631:BQE327631 BZY327631:CAA327631 CJU327631:CJW327631 CTQ327631:CTS327631 DDM327631:DDO327631 DNI327631:DNK327631 DXE327631:DXG327631 EHA327631:EHC327631 EQW327631:EQY327631 FAS327631:FAU327631 FKO327631:FKQ327631 FUK327631:FUM327631 GEG327631:GEI327631 GOC327631:GOE327631 GXY327631:GYA327631 HHU327631:HHW327631 HRQ327631:HRS327631 IBM327631:IBO327631 ILI327631:ILK327631 IVE327631:IVG327631 JFA327631:JFC327631 JOW327631:JOY327631 JYS327631:JYU327631 KIO327631:KIQ327631 KSK327631:KSM327631 LCG327631:LCI327631 LMC327631:LME327631 LVY327631:LWA327631 MFU327631:MFW327631 MPQ327631:MPS327631 MZM327631:MZO327631 NJI327631:NJK327631 NTE327631:NTG327631 ODA327631:ODC327631 OMW327631:OMY327631 OWS327631:OWU327631 PGO327631:PGQ327631 PQK327631:PQM327631 QAG327631:QAI327631 QKC327631:QKE327631 QTY327631:QUA327631 RDU327631:RDW327631 RNQ327631:RNS327631 RXM327631:RXO327631 SHI327631:SHK327631 SRE327631:SRG327631 TBA327631:TBC327631 TKW327631:TKY327631 TUS327631:TUU327631 UEO327631:UEQ327631 UOK327631:UOM327631 UYG327631:UYI327631 VIC327631:VIE327631 VRY327631:VSA327631 WBU327631:WBW327631 WLQ327631:WLS327631 WVM327631:WVO327631 G393167:I393167 JA393167:JC393167 SW393167:SY393167 ACS393167:ACU393167 AMO393167:AMQ393167 AWK393167:AWM393167 BGG393167:BGI393167 BQC393167:BQE393167 BZY393167:CAA393167 CJU393167:CJW393167 CTQ393167:CTS393167 DDM393167:DDO393167 DNI393167:DNK393167 DXE393167:DXG393167 EHA393167:EHC393167 EQW393167:EQY393167 FAS393167:FAU393167 FKO393167:FKQ393167 FUK393167:FUM393167 GEG393167:GEI393167 GOC393167:GOE393167 GXY393167:GYA393167 HHU393167:HHW393167 HRQ393167:HRS393167 IBM393167:IBO393167 ILI393167:ILK393167 IVE393167:IVG393167 JFA393167:JFC393167 JOW393167:JOY393167 JYS393167:JYU393167 KIO393167:KIQ393167 KSK393167:KSM393167 LCG393167:LCI393167 LMC393167:LME393167 LVY393167:LWA393167 MFU393167:MFW393167 MPQ393167:MPS393167 MZM393167:MZO393167 NJI393167:NJK393167 NTE393167:NTG393167 ODA393167:ODC393167 OMW393167:OMY393167 OWS393167:OWU393167 PGO393167:PGQ393167 PQK393167:PQM393167 QAG393167:QAI393167 QKC393167:QKE393167 QTY393167:QUA393167 RDU393167:RDW393167 RNQ393167:RNS393167 RXM393167:RXO393167 SHI393167:SHK393167 SRE393167:SRG393167 TBA393167:TBC393167 TKW393167:TKY393167 TUS393167:TUU393167 UEO393167:UEQ393167 UOK393167:UOM393167 UYG393167:UYI393167 VIC393167:VIE393167 VRY393167:VSA393167 WBU393167:WBW393167 WLQ393167:WLS393167 WVM393167:WVO393167 G458703:I458703 JA458703:JC458703 SW458703:SY458703 ACS458703:ACU458703 AMO458703:AMQ458703 AWK458703:AWM458703 BGG458703:BGI458703 BQC458703:BQE458703 BZY458703:CAA458703 CJU458703:CJW458703 CTQ458703:CTS458703 DDM458703:DDO458703 DNI458703:DNK458703 DXE458703:DXG458703 EHA458703:EHC458703 EQW458703:EQY458703 FAS458703:FAU458703 FKO458703:FKQ458703 FUK458703:FUM458703 GEG458703:GEI458703 GOC458703:GOE458703 GXY458703:GYA458703 HHU458703:HHW458703 HRQ458703:HRS458703 IBM458703:IBO458703 ILI458703:ILK458703 IVE458703:IVG458703 JFA458703:JFC458703 JOW458703:JOY458703 JYS458703:JYU458703 KIO458703:KIQ458703 KSK458703:KSM458703 LCG458703:LCI458703 LMC458703:LME458703 LVY458703:LWA458703 MFU458703:MFW458703 MPQ458703:MPS458703 MZM458703:MZO458703 NJI458703:NJK458703 NTE458703:NTG458703 ODA458703:ODC458703 OMW458703:OMY458703 OWS458703:OWU458703 PGO458703:PGQ458703 PQK458703:PQM458703 QAG458703:QAI458703 QKC458703:QKE458703 QTY458703:QUA458703 RDU458703:RDW458703 RNQ458703:RNS458703 RXM458703:RXO458703 SHI458703:SHK458703 SRE458703:SRG458703 TBA458703:TBC458703 TKW458703:TKY458703 TUS458703:TUU458703 UEO458703:UEQ458703 UOK458703:UOM458703 UYG458703:UYI458703 VIC458703:VIE458703 VRY458703:VSA458703 WBU458703:WBW458703 WLQ458703:WLS458703 WVM458703:WVO458703 G524239:I524239 JA524239:JC524239 SW524239:SY524239 ACS524239:ACU524239 AMO524239:AMQ524239 AWK524239:AWM524239 BGG524239:BGI524239 BQC524239:BQE524239 BZY524239:CAA524239 CJU524239:CJW524239 CTQ524239:CTS524239 DDM524239:DDO524239 DNI524239:DNK524239 DXE524239:DXG524239 EHA524239:EHC524239 EQW524239:EQY524239 FAS524239:FAU524239 FKO524239:FKQ524239 FUK524239:FUM524239 GEG524239:GEI524239 GOC524239:GOE524239 GXY524239:GYA524239 HHU524239:HHW524239 HRQ524239:HRS524239 IBM524239:IBO524239 ILI524239:ILK524239 IVE524239:IVG524239 JFA524239:JFC524239 JOW524239:JOY524239 JYS524239:JYU524239 KIO524239:KIQ524239 KSK524239:KSM524239 LCG524239:LCI524239 LMC524239:LME524239 LVY524239:LWA524239 MFU524239:MFW524239 MPQ524239:MPS524239 MZM524239:MZO524239 NJI524239:NJK524239 NTE524239:NTG524239 ODA524239:ODC524239 OMW524239:OMY524239 OWS524239:OWU524239 PGO524239:PGQ524239 PQK524239:PQM524239 QAG524239:QAI524239 QKC524239:QKE524239 QTY524239:QUA524239 RDU524239:RDW524239 RNQ524239:RNS524239 RXM524239:RXO524239 SHI524239:SHK524239 SRE524239:SRG524239 TBA524239:TBC524239 TKW524239:TKY524239 TUS524239:TUU524239 UEO524239:UEQ524239 UOK524239:UOM524239 UYG524239:UYI524239 VIC524239:VIE524239 VRY524239:VSA524239 WBU524239:WBW524239 WLQ524239:WLS524239 WVM524239:WVO524239 G589775:I589775 JA589775:JC589775 SW589775:SY589775 ACS589775:ACU589775 AMO589775:AMQ589775 AWK589775:AWM589775 BGG589775:BGI589775 BQC589775:BQE589775 BZY589775:CAA589775 CJU589775:CJW589775 CTQ589775:CTS589775 DDM589775:DDO589775 DNI589775:DNK589775 DXE589775:DXG589775 EHA589775:EHC589775 EQW589775:EQY589775 FAS589775:FAU589775 FKO589775:FKQ589775 FUK589775:FUM589775 GEG589775:GEI589775 GOC589775:GOE589775 GXY589775:GYA589775 HHU589775:HHW589775 HRQ589775:HRS589775 IBM589775:IBO589775 ILI589775:ILK589775 IVE589775:IVG589775 JFA589775:JFC589775 JOW589775:JOY589775 JYS589775:JYU589775 KIO589775:KIQ589775 KSK589775:KSM589775 LCG589775:LCI589775 LMC589775:LME589775 LVY589775:LWA589775 MFU589775:MFW589775 MPQ589775:MPS589775 MZM589775:MZO589775 NJI589775:NJK589775 NTE589775:NTG589775 ODA589775:ODC589775 OMW589775:OMY589775 OWS589775:OWU589775 PGO589775:PGQ589775 PQK589775:PQM589775 QAG589775:QAI589775 QKC589775:QKE589775 QTY589775:QUA589775 RDU589775:RDW589775 RNQ589775:RNS589775 RXM589775:RXO589775 SHI589775:SHK589775 SRE589775:SRG589775 TBA589775:TBC589775 TKW589775:TKY589775 TUS589775:TUU589775 UEO589775:UEQ589775 UOK589775:UOM589775 UYG589775:UYI589775 VIC589775:VIE589775 VRY589775:VSA589775 WBU589775:WBW589775 WLQ589775:WLS589775 WVM589775:WVO589775 G655311:I655311 JA655311:JC655311 SW655311:SY655311 ACS655311:ACU655311 AMO655311:AMQ655311 AWK655311:AWM655311 BGG655311:BGI655311 BQC655311:BQE655311 BZY655311:CAA655311 CJU655311:CJW655311 CTQ655311:CTS655311 DDM655311:DDO655311 DNI655311:DNK655311 DXE655311:DXG655311 EHA655311:EHC655311 EQW655311:EQY655311 FAS655311:FAU655311 FKO655311:FKQ655311 FUK655311:FUM655311 GEG655311:GEI655311 GOC655311:GOE655311 GXY655311:GYA655311 HHU655311:HHW655311 HRQ655311:HRS655311 IBM655311:IBO655311 ILI655311:ILK655311 IVE655311:IVG655311 JFA655311:JFC655311 JOW655311:JOY655311 JYS655311:JYU655311 KIO655311:KIQ655311 KSK655311:KSM655311 LCG655311:LCI655311 LMC655311:LME655311 LVY655311:LWA655311 MFU655311:MFW655311 MPQ655311:MPS655311 MZM655311:MZO655311 NJI655311:NJK655311 NTE655311:NTG655311 ODA655311:ODC655311 OMW655311:OMY655311 OWS655311:OWU655311 PGO655311:PGQ655311 PQK655311:PQM655311 QAG655311:QAI655311 QKC655311:QKE655311 QTY655311:QUA655311 RDU655311:RDW655311 RNQ655311:RNS655311 RXM655311:RXO655311 SHI655311:SHK655311 SRE655311:SRG655311 TBA655311:TBC655311 TKW655311:TKY655311 TUS655311:TUU655311 UEO655311:UEQ655311 UOK655311:UOM655311 UYG655311:UYI655311 VIC655311:VIE655311 VRY655311:VSA655311 WBU655311:WBW655311 WLQ655311:WLS655311 WVM655311:WVO655311 G720847:I720847 JA720847:JC720847 SW720847:SY720847 ACS720847:ACU720847 AMO720847:AMQ720847 AWK720847:AWM720847 BGG720847:BGI720847 BQC720847:BQE720847 BZY720847:CAA720847 CJU720847:CJW720847 CTQ720847:CTS720847 DDM720847:DDO720847 DNI720847:DNK720847 DXE720847:DXG720847 EHA720847:EHC720847 EQW720847:EQY720847 FAS720847:FAU720847 FKO720847:FKQ720847 FUK720847:FUM720847 GEG720847:GEI720847 GOC720847:GOE720847 GXY720847:GYA720847 HHU720847:HHW720847 HRQ720847:HRS720847 IBM720847:IBO720847 ILI720847:ILK720847 IVE720847:IVG720847 JFA720847:JFC720847 JOW720847:JOY720847 JYS720847:JYU720847 KIO720847:KIQ720847 KSK720847:KSM720847 LCG720847:LCI720847 LMC720847:LME720847 LVY720847:LWA720847 MFU720847:MFW720847 MPQ720847:MPS720847 MZM720847:MZO720847 NJI720847:NJK720847 NTE720847:NTG720847 ODA720847:ODC720847 OMW720847:OMY720847 OWS720847:OWU720847 PGO720847:PGQ720847 PQK720847:PQM720847 QAG720847:QAI720847 QKC720847:QKE720847 QTY720847:QUA720847 RDU720847:RDW720847 RNQ720847:RNS720847 RXM720847:RXO720847 SHI720847:SHK720847 SRE720847:SRG720847 TBA720847:TBC720847 TKW720847:TKY720847 TUS720847:TUU720847 UEO720847:UEQ720847 UOK720847:UOM720847 UYG720847:UYI720847 VIC720847:VIE720847 VRY720847:VSA720847 WBU720847:WBW720847 WLQ720847:WLS720847 WVM720847:WVO720847 G786383:I786383 JA786383:JC786383 SW786383:SY786383 ACS786383:ACU786383 AMO786383:AMQ786383 AWK786383:AWM786383 BGG786383:BGI786383 BQC786383:BQE786383 BZY786383:CAA786383 CJU786383:CJW786383 CTQ786383:CTS786383 DDM786383:DDO786383 DNI786383:DNK786383 DXE786383:DXG786383 EHA786383:EHC786383 EQW786383:EQY786383 FAS786383:FAU786383 FKO786383:FKQ786383 FUK786383:FUM786383 GEG786383:GEI786383 GOC786383:GOE786383 GXY786383:GYA786383 HHU786383:HHW786383 HRQ786383:HRS786383 IBM786383:IBO786383 ILI786383:ILK786383 IVE786383:IVG786383 JFA786383:JFC786383 JOW786383:JOY786383 JYS786383:JYU786383 KIO786383:KIQ786383 KSK786383:KSM786383 LCG786383:LCI786383 LMC786383:LME786383 LVY786383:LWA786383 MFU786383:MFW786383 MPQ786383:MPS786383 MZM786383:MZO786383 NJI786383:NJK786383 NTE786383:NTG786383 ODA786383:ODC786383 OMW786383:OMY786383 OWS786383:OWU786383 PGO786383:PGQ786383 PQK786383:PQM786383 QAG786383:QAI786383 QKC786383:QKE786383 QTY786383:QUA786383 RDU786383:RDW786383 RNQ786383:RNS786383 RXM786383:RXO786383 SHI786383:SHK786383 SRE786383:SRG786383 TBA786383:TBC786383 TKW786383:TKY786383 TUS786383:TUU786383 UEO786383:UEQ786383 UOK786383:UOM786383 UYG786383:UYI786383 VIC786383:VIE786383 VRY786383:VSA786383 WBU786383:WBW786383 WLQ786383:WLS786383 WVM786383:WVO786383 G851919:I851919 JA851919:JC851919 SW851919:SY851919 ACS851919:ACU851919 AMO851919:AMQ851919 AWK851919:AWM851919 BGG851919:BGI851919 BQC851919:BQE851919 BZY851919:CAA851919 CJU851919:CJW851919 CTQ851919:CTS851919 DDM851919:DDO851919 DNI851919:DNK851919 DXE851919:DXG851919 EHA851919:EHC851919 EQW851919:EQY851919 FAS851919:FAU851919 FKO851919:FKQ851919 FUK851919:FUM851919 GEG851919:GEI851919 GOC851919:GOE851919 GXY851919:GYA851919 HHU851919:HHW851919 HRQ851919:HRS851919 IBM851919:IBO851919 ILI851919:ILK851919 IVE851919:IVG851919 JFA851919:JFC851919 JOW851919:JOY851919 JYS851919:JYU851919 KIO851919:KIQ851919 KSK851919:KSM851919 LCG851919:LCI851919 LMC851919:LME851919 LVY851919:LWA851919 MFU851919:MFW851919 MPQ851919:MPS851919 MZM851919:MZO851919 NJI851919:NJK851919 NTE851919:NTG851919 ODA851919:ODC851919 OMW851919:OMY851919 OWS851919:OWU851919 PGO851919:PGQ851919 PQK851919:PQM851919 QAG851919:QAI851919 QKC851919:QKE851919 QTY851919:QUA851919 RDU851919:RDW851919 RNQ851919:RNS851919 RXM851919:RXO851919 SHI851919:SHK851919 SRE851919:SRG851919 TBA851919:TBC851919 TKW851919:TKY851919 TUS851919:TUU851919 UEO851919:UEQ851919 UOK851919:UOM851919 UYG851919:UYI851919 VIC851919:VIE851919 VRY851919:VSA851919 WBU851919:WBW851919 WLQ851919:WLS851919 WVM851919:WVO851919 G917455:I917455 JA917455:JC917455 SW917455:SY917455 ACS917455:ACU917455 AMO917455:AMQ917455 AWK917455:AWM917455 BGG917455:BGI917455 BQC917455:BQE917455 BZY917455:CAA917455 CJU917455:CJW917455 CTQ917455:CTS917455 DDM917455:DDO917455 DNI917455:DNK917455 DXE917455:DXG917455 EHA917455:EHC917455 EQW917455:EQY917455 FAS917455:FAU917455 FKO917455:FKQ917455 FUK917455:FUM917455 GEG917455:GEI917455 GOC917455:GOE917455 GXY917455:GYA917455 HHU917455:HHW917455 HRQ917455:HRS917455 IBM917455:IBO917455 ILI917455:ILK917455 IVE917455:IVG917455 JFA917455:JFC917455 JOW917455:JOY917455 JYS917455:JYU917455 KIO917455:KIQ917455 KSK917455:KSM917455 LCG917455:LCI917455 LMC917455:LME917455 LVY917455:LWA917455 MFU917455:MFW917455 MPQ917455:MPS917455 MZM917455:MZO917455 NJI917455:NJK917455 NTE917455:NTG917455 ODA917455:ODC917455 OMW917455:OMY917455 OWS917455:OWU917455 PGO917455:PGQ917455 PQK917455:PQM917455 QAG917455:QAI917455 QKC917455:QKE917455 QTY917455:QUA917455 RDU917455:RDW917455 RNQ917455:RNS917455 RXM917455:RXO917455 SHI917455:SHK917455 SRE917455:SRG917455 TBA917455:TBC917455 TKW917455:TKY917455 TUS917455:TUU917455 UEO917455:UEQ917455 UOK917455:UOM917455 UYG917455:UYI917455 VIC917455:VIE917455 VRY917455:VSA917455 WBU917455:WBW917455 WLQ917455:WLS917455 WVM917455:WVO917455 G982991:I982991 JA982991:JC982991 SW982991:SY982991 ACS982991:ACU982991 AMO982991:AMQ982991 AWK982991:AWM982991 BGG982991:BGI982991 BQC982991:BQE982991 BZY982991:CAA982991 CJU982991:CJW982991 CTQ982991:CTS982991 DDM982991:DDO982991 DNI982991:DNK982991 DXE982991:DXG982991 EHA982991:EHC982991 EQW982991:EQY982991 FAS982991:FAU982991 FKO982991:FKQ982991 FUK982991:FUM982991 GEG982991:GEI982991 GOC982991:GOE982991 GXY982991:GYA982991 HHU982991:HHW982991 HRQ982991:HRS982991 IBM982991:IBO982991 ILI982991:ILK982991 IVE982991:IVG982991 JFA982991:JFC982991 JOW982991:JOY982991 JYS982991:JYU982991 KIO982991:KIQ982991 KSK982991:KSM982991 LCG982991:LCI982991 LMC982991:LME982991 LVY982991:LWA982991 MFU982991:MFW982991 MPQ982991:MPS982991 MZM982991:MZO982991 NJI982991:NJK982991 NTE982991:NTG982991 ODA982991:ODC982991 OMW982991:OMY982991 OWS982991:OWU982991 PGO982991:PGQ982991 PQK982991:PQM982991 QAG982991:QAI982991 QKC982991:QKE982991 QTY982991:QUA982991 RDU982991:RDW982991 RNQ982991:RNS982991 RXM982991:RXO982991 SHI982991:SHK982991 SRE982991:SRG982991 TBA982991:TBC982991 TKW982991:TKY982991 TUS982991:TUU982991 UEO982991:UEQ982991 UOK982991:UOM982991 UYG982991:UYI982991 VIC982991:VIE982991 VRY982991:VSA982991 WBU982991:WBW982991 WLQ982991:WLS982991 WVM982991:WVO982991 WLQ983043:WLS983043 JA28:JC28 SW28:SY28 ACS28:ACU28 AMO28:AMQ28 AWK28:AWM28 BGG28:BGI28 BQC28:BQE28 BZY28:CAA28 CJU28:CJW28 CTQ28:CTS28 DDM28:DDO28 DNI28:DNK28 DXE28:DXG28 EHA28:EHC28 EQW28:EQY28 FAS28:FAU28 FKO28:FKQ28 FUK28:FUM28 GEG28:GEI28 GOC28:GOE28 GXY28:GYA28 HHU28:HHW28 HRQ28:HRS28 IBM28:IBO28 ILI28:ILK28 IVE28:IVG28 JFA28:JFC28 JOW28:JOY28 JYS28:JYU28 KIO28:KIQ28 KSK28:KSM28 LCG28:LCI28 LMC28:LME28 LVY28:LWA28 MFU28:MFW28 MPQ28:MPS28 MZM28:MZO28 NJI28:NJK28 NTE28:NTG28 ODA28:ODC28 OMW28:OMY28 OWS28:OWU28 PGO28:PGQ28 PQK28:PQM28 QAG28:QAI28 QKC28:QKE28 QTY28:QUA28 RDU28:RDW28 RNQ28:RNS28 RXM28:RXO28 SHI28:SHK28 SRE28:SRG28 TBA28:TBC28 TKW28:TKY28 TUS28:TUU28 UEO28:UEQ28 UOK28:UOM28 UYG28:UYI28 VIC28:VIE28 VRY28:VSA28 WBU28:WBW28 WLQ28:WLS28 WVM28:WVO28 G65500:I65500 JA65500:JC65500 SW65500:SY65500 ACS65500:ACU65500 AMO65500:AMQ65500 AWK65500:AWM65500 BGG65500:BGI65500 BQC65500:BQE65500 BZY65500:CAA65500 CJU65500:CJW65500 CTQ65500:CTS65500 DDM65500:DDO65500 DNI65500:DNK65500 DXE65500:DXG65500 EHA65500:EHC65500 EQW65500:EQY65500 FAS65500:FAU65500 FKO65500:FKQ65500 FUK65500:FUM65500 GEG65500:GEI65500 GOC65500:GOE65500 GXY65500:GYA65500 HHU65500:HHW65500 HRQ65500:HRS65500 IBM65500:IBO65500 ILI65500:ILK65500 IVE65500:IVG65500 JFA65500:JFC65500 JOW65500:JOY65500 JYS65500:JYU65500 KIO65500:KIQ65500 KSK65500:KSM65500 LCG65500:LCI65500 LMC65500:LME65500 LVY65500:LWA65500 MFU65500:MFW65500 MPQ65500:MPS65500 MZM65500:MZO65500 NJI65500:NJK65500 NTE65500:NTG65500 ODA65500:ODC65500 OMW65500:OMY65500 OWS65500:OWU65500 PGO65500:PGQ65500 PQK65500:PQM65500 QAG65500:QAI65500 QKC65500:QKE65500 QTY65500:QUA65500 RDU65500:RDW65500 RNQ65500:RNS65500 RXM65500:RXO65500 SHI65500:SHK65500 SRE65500:SRG65500 TBA65500:TBC65500 TKW65500:TKY65500 TUS65500:TUU65500 UEO65500:UEQ65500 UOK65500:UOM65500 UYG65500:UYI65500 VIC65500:VIE65500 VRY65500:VSA65500 WBU65500:WBW65500 WLQ65500:WLS65500 WVM65500:WVO65500 G131036:I131036 JA131036:JC131036 SW131036:SY131036 ACS131036:ACU131036 AMO131036:AMQ131036 AWK131036:AWM131036 BGG131036:BGI131036 BQC131036:BQE131036 BZY131036:CAA131036 CJU131036:CJW131036 CTQ131036:CTS131036 DDM131036:DDO131036 DNI131036:DNK131036 DXE131036:DXG131036 EHA131036:EHC131036 EQW131036:EQY131036 FAS131036:FAU131036 FKO131036:FKQ131036 FUK131036:FUM131036 GEG131036:GEI131036 GOC131036:GOE131036 GXY131036:GYA131036 HHU131036:HHW131036 HRQ131036:HRS131036 IBM131036:IBO131036 ILI131036:ILK131036 IVE131036:IVG131036 JFA131036:JFC131036 JOW131036:JOY131036 JYS131036:JYU131036 KIO131036:KIQ131036 KSK131036:KSM131036 LCG131036:LCI131036 LMC131036:LME131036 LVY131036:LWA131036 MFU131036:MFW131036 MPQ131036:MPS131036 MZM131036:MZO131036 NJI131036:NJK131036 NTE131036:NTG131036 ODA131036:ODC131036 OMW131036:OMY131036 OWS131036:OWU131036 PGO131036:PGQ131036 PQK131036:PQM131036 QAG131036:QAI131036 QKC131036:QKE131036 QTY131036:QUA131036 RDU131036:RDW131036 RNQ131036:RNS131036 RXM131036:RXO131036 SHI131036:SHK131036 SRE131036:SRG131036 TBA131036:TBC131036 TKW131036:TKY131036 TUS131036:TUU131036 UEO131036:UEQ131036 UOK131036:UOM131036 UYG131036:UYI131036 VIC131036:VIE131036 VRY131036:VSA131036 WBU131036:WBW131036 WLQ131036:WLS131036 WVM131036:WVO131036 G196572:I196572 JA196572:JC196572 SW196572:SY196572 ACS196572:ACU196572 AMO196572:AMQ196572 AWK196572:AWM196572 BGG196572:BGI196572 BQC196572:BQE196572 BZY196572:CAA196572 CJU196572:CJW196572 CTQ196572:CTS196572 DDM196572:DDO196572 DNI196572:DNK196572 DXE196572:DXG196572 EHA196572:EHC196572 EQW196572:EQY196572 FAS196572:FAU196572 FKO196572:FKQ196572 FUK196572:FUM196572 GEG196572:GEI196572 GOC196572:GOE196572 GXY196572:GYA196572 HHU196572:HHW196572 HRQ196572:HRS196572 IBM196572:IBO196572 ILI196572:ILK196572 IVE196572:IVG196572 JFA196572:JFC196572 JOW196572:JOY196572 JYS196572:JYU196572 KIO196572:KIQ196572 KSK196572:KSM196572 LCG196572:LCI196572 LMC196572:LME196572 LVY196572:LWA196572 MFU196572:MFW196572 MPQ196572:MPS196572 MZM196572:MZO196572 NJI196572:NJK196572 NTE196572:NTG196572 ODA196572:ODC196572 OMW196572:OMY196572 OWS196572:OWU196572 PGO196572:PGQ196572 PQK196572:PQM196572 QAG196572:QAI196572 QKC196572:QKE196572 QTY196572:QUA196572 RDU196572:RDW196572 RNQ196572:RNS196572 RXM196572:RXO196572 SHI196572:SHK196572 SRE196572:SRG196572 TBA196572:TBC196572 TKW196572:TKY196572 TUS196572:TUU196572 UEO196572:UEQ196572 UOK196572:UOM196572 UYG196572:UYI196572 VIC196572:VIE196572 VRY196572:VSA196572 WBU196572:WBW196572 WLQ196572:WLS196572 WVM196572:WVO196572 G262108:I262108 JA262108:JC262108 SW262108:SY262108 ACS262108:ACU262108 AMO262108:AMQ262108 AWK262108:AWM262108 BGG262108:BGI262108 BQC262108:BQE262108 BZY262108:CAA262108 CJU262108:CJW262108 CTQ262108:CTS262108 DDM262108:DDO262108 DNI262108:DNK262108 DXE262108:DXG262108 EHA262108:EHC262108 EQW262108:EQY262108 FAS262108:FAU262108 FKO262108:FKQ262108 FUK262108:FUM262108 GEG262108:GEI262108 GOC262108:GOE262108 GXY262108:GYA262108 HHU262108:HHW262108 HRQ262108:HRS262108 IBM262108:IBO262108 ILI262108:ILK262108 IVE262108:IVG262108 JFA262108:JFC262108 JOW262108:JOY262108 JYS262108:JYU262108 KIO262108:KIQ262108 KSK262108:KSM262108 LCG262108:LCI262108 LMC262108:LME262108 LVY262108:LWA262108 MFU262108:MFW262108 MPQ262108:MPS262108 MZM262108:MZO262108 NJI262108:NJK262108 NTE262108:NTG262108 ODA262108:ODC262108 OMW262108:OMY262108 OWS262108:OWU262108 PGO262108:PGQ262108 PQK262108:PQM262108 QAG262108:QAI262108 QKC262108:QKE262108 QTY262108:QUA262108 RDU262108:RDW262108 RNQ262108:RNS262108 RXM262108:RXO262108 SHI262108:SHK262108 SRE262108:SRG262108 TBA262108:TBC262108 TKW262108:TKY262108 TUS262108:TUU262108 UEO262108:UEQ262108 UOK262108:UOM262108 UYG262108:UYI262108 VIC262108:VIE262108 VRY262108:VSA262108 WBU262108:WBW262108 WLQ262108:WLS262108 WVM262108:WVO262108 G327644:I327644 JA327644:JC327644 SW327644:SY327644 ACS327644:ACU327644 AMO327644:AMQ327644 AWK327644:AWM327644 BGG327644:BGI327644 BQC327644:BQE327644 BZY327644:CAA327644 CJU327644:CJW327644 CTQ327644:CTS327644 DDM327644:DDO327644 DNI327644:DNK327644 DXE327644:DXG327644 EHA327644:EHC327644 EQW327644:EQY327644 FAS327644:FAU327644 FKO327644:FKQ327644 FUK327644:FUM327644 GEG327644:GEI327644 GOC327644:GOE327644 GXY327644:GYA327644 HHU327644:HHW327644 HRQ327644:HRS327644 IBM327644:IBO327644 ILI327644:ILK327644 IVE327644:IVG327644 JFA327644:JFC327644 JOW327644:JOY327644 JYS327644:JYU327644 KIO327644:KIQ327644 KSK327644:KSM327644 LCG327644:LCI327644 LMC327644:LME327644 LVY327644:LWA327644 MFU327644:MFW327644 MPQ327644:MPS327644 MZM327644:MZO327644 NJI327644:NJK327644 NTE327644:NTG327644 ODA327644:ODC327644 OMW327644:OMY327644 OWS327644:OWU327644 PGO327644:PGQ327644 PQK327644:PQM327644 QAG327644:QAI327644 QKC327644:QKE327644 QTY327644:QUA327644 RDU327644:RDW327644 RNQ327644:RNS327644 RXM327644:RXO327644 SHI327644:SHK327644 SRE327644:SRG327644 TBA327644:TBC327644 TKW327644:TKY327644 TUS327644:TUU327644 UEO327644:UEQ327644 UOK327644:UOM327644 UYG327644:UYI327644 VIC327644:VIE327644 VRY327644:VSA327644 WBU327644:WBW327644 WLQ327644:WLS327644 WVM327644:WVO327644 G393180:I393180 JA393180:JC393180 SW393180:SY393180 ACS393180:ACU393180 AMO393180:AMQ393180 AWK393180:AWM393180 BGG393180:BGI393180 BQC393180:BQE393180 BZY393180:CAA393180 CJU393180:CJW393180 CTQ393180:CTS393180 DDM393180:DDO393180 DNI393180:DNK393180 DXE393180:DXG393180 EHA393180:EHC393180 EQW393180:EQY393180 FAS393180:FAU393180 FKO393180:FKQ393180 FUK393180:FUM393180 GEG393180:GEI393180 GOC393180:GOE393180 GXY393180:GYA393180 HHU393180:HHW393180 HRQ393180:HRS393180 IBM393180:IBO393180 ILI393180:ILK393180 IVE393180:IVG393180 JFA393180:JFC393180 JOW393180:JOY393180 JYS393180:JYU393180 KIO393180:KIQ393180 KSK393180:KSM393180 LCG393180:LCI393180 LMC393180:LME393180 LVY393180:LWA393180 MFU393180:MFW393180 MPQ393180:MPS393180 MZM393180:MZO393180 NJI393180:NJK393180 NTE393180:NTG393180 ODA393180:ODC393180 OMW393180:OMY393180 OWS393180:OWU393180 PGO393180:PGQ393180 PQK393180:PQM393180 QAG393180:QAI393180 QKC393180:QKE393180 QTY393180:QUA393180 RDU393180:RDW393180 RNQ393180:RNS393180 RXM393180:RXO393180 SHI393180:SHK393180 SRE393180:SRG393180 TBA393180:TBC393180 TKW393180:TKY393180 TUS393180:TUU393180 UEO393180:UEQ393180 UOK393180:UOM393180 UYG393180:UYI393180 VIC393180:VIE393180 VRY393180:VSA393180 WBU393180:WBW393180 WLQ393180:WLS393180 WVM393180:WVO393180 G458716:I458716 JA458716:JC458716 SW458716:SY458716 ACS458716:ACU458716 AMO458716:AMQ458716 AWK458716:AWM458716 BGG458716:BGI458716 BQC458716:BQE458716 BZY458716:CAA458716 CJU458716:CJW458716 CTQ458716:CTS458716 DDM458716:DDO458716 DNI458716:DNK458716 DXE458716:DXG458716 EHA458716:EHC458716 EQW458716:EQY458716 FAS458716:FAU458716 FKO458716:FKQ458716 FUK458716:FUM458716 GEG458716:GEI458716 GOC458716:GOE458716 GXY458716:GYA458716 HHU458716:HHW458716 HRQ458716:HRS458716 IBM458716:IBO458716 ILI458716:ILK458716 IVE458716:IVG458716 JFA458716:JFC458716 JOW458716:JOY458716 JYS458716:JYU458716 KIO458716:KIQ458716 KSK458716:KSM458716 LCG458716:LCI458716 LMC458716:LME458716 LVY458716:LWA458716 MFU458716:MFW458716 MPQ458716:MPS458716 MZM458716:MZO458716 NJI458716:NJK458716 NTE458716:NTG458716 ODA458716:ODC458716 OMW458716:OMY458716 OWS458716:OWU458716 PGO458716:PGQ458716 PQK458716:PQM458716 QAG458716:QAI458716 QKC458716:QKE458716 QTY458716:QUA458716 RDU458716:RDW458716 RNQ458716:RNS458716 RXM458716:RXO458716 SHI458716:SHK458716 SRE458716:SRG458716 TBA458716:TBC458716 TKW458716:TKY458716 TUS458716:TUU458716 UEO458716:UEQ458716 UOK458716:UOM458716 UYG458716:UYI458716 VIC458716:VIE458716 VRY458716:VSA458716 WBU458716:WBW458716 WLQ458716:WLS458716 WVM458716:WVO458716 G524252:I524252 JA524252:JC524252 SW524252:SY524252 ACS524252:ACU524252 AMO524252:AMQ524252 AWK524252:AWM524252 BGG524252:BGI524252 BQC524252:BQE524252 BZY524252:CAA524252 CJU524252:CJW524252 CTQ524252:CTS524252 DDM524252:DDO524252 DNI524252:DNK524252 DXE524252:DXG524252 EHA524252:EHC524252 EQW524252:EQY524252 FAS524252:FAU524252 FKO524252:FKQ524252 FUK524252:FUM524252 GEG524252:GEI524252 GOC524252:GOE524252 GXY524252:GYA524252 HHU524252:HHW524252 HRQ524252:HRS524252 IBM524252:IBO524252 ILI524252:ILK524252 IVE524252:IVG524252 JFA524252:JFC524252 JOW524252:JOY524252 JYS524252:JYU524252 KIO524252:KIQ524252 KSK524252:KSM524252 LCG524252:LCI524252 LMC524252:LME524252 LVY524252:LWA524252 MFU524252:MFW524252 MPQ524252:MPS524252 MZM524252:MZO524252 NJI524252:NJK524252 NTE524252:NTG524252 ODA524252:ODC524252 OMW524252:OMY524252 OWS524252:OWU524252 PGO524252:PGQ524252 PQK524252:PQM524252 QAG524252:QAI524252 QKC524252:QKE524252 QTY524252:QUA524252 RDU524252:RDW524252 RNQ524252:RNS524252 RXM524252:RXO524252 SHI524252:SHK524252 SRE524252:SRG524252 TBA524252:TBC524252 TKW524252:TKY524252 TUS524252:TUU524252 UEO524252:UEQ524252 UOK524252:UOM524252 UYG524252:UYI524252 VIC524252:VIE524252 VRY524252:VSA524252 WBU524252:WBW524252 WLQ524252:WLS524252 WVM524252:WVO524252 G589788:I589788 JA589788:JC589788 SW589788:SY589788 ACS589788:ACU589788 AMO589788:AMQ589788 AWK589788:AWM589788 BGG589788:BGI589788 BQC589788:BQE589788 BZY589788:CAA589788 CJU589788:CJW589788 CTQ589788:CTS589788 DDM589788:DDO589788 DNI589788:DNK589788 DXE589788:DXG589788 EHA589788:EHC589788 EQW589788:EQY589788 FAS589788:FAU589788 FKO589788:FKQ589788 FUK589788:FUM589788 GEG589788:GEI589788 GOC589788:GOE589788 GXY589788:GYA589788 HHU589788:HHW589788 HRQ589788:HRS589788 IBM589788:IBO589788 ILI589788:ILK589788 IVE589788:IVG589788 JFA589788:JFC589788 JOW589788:JOY589788 JYS589788:JYU589788 KIO589788:KIQ589788 KSK589788:KSM589788 LCG589788:LCI589788 LMC589788:LME589788 LVY589788:LWA589788 MFU589788:MFW589788 MPQ589788:MPS589788 MZM589788:MZO589788 NJI589788:NJK589788 NTE589788:NTG589788 ODA589788:ODC589788 OMW589788:OMY589788 OWS589788:OWU589788 PGO589788:PGQ589788 PQK589788:PQM589788 QAG589788:QAI589788 QKC589788:QKE589788 QTY589788:QUA589788 RDU589788:RDW589788 RNQ589788:RNS589788 RXM589788:RXO589788 SHI589788:SHK589788 SRE589788:SRG589788 TBA589788:TBC589788 TKW589788:TKY589788 TUS589788:TUU589788 UEO589788:UEQ589788 UOK589788:UOM589788 UYG589788:UYI589788 VIC589788:VIE589788 VRY589788:VSA589788 WBU589788:WBW589788 WLQ589788:WLS589788 WVM589788:WVO589788 G655324:I655324 JA655324:JC655324 SW655324:SY655324 ACS655324:ACU655324 AMO655324:AMQ655324 AWK655324:AWM655324 BGG655324:BGI655324 BQC655324:BQE655324 BZY655324:CAA655324 CJU655324:CJW655324 CTQ655324:CTS655324 DDM655324:DDO655324 DNI655324:DNK655324 DXE655324:DXG655324 EHA655324:EHC655324 EQW655324:EQY655324 FAS655324:FAU655324 FKO655324:FKQ655324 FUK655324:FUM655324 GEG655324:GEI655324 GOC655324:GOE655324 GXY655324:GYA655324 HHU655324:HHW655324 HRQ655324:HRS655324 IBM655324:IBO655324 ILI655324:ILK655324 IVE655324:IVG655324 JFA655324:JFC655324 JOW655324:JOY655324 JYS655324:JYU655324 KIO655324:KIQ655324 KSK655324:KSM655324 LCG655324:LCI655324 LMC655324:LME655324 LVY655324:LWA655324 MFU655324:MFW655324 MPQ655324:MPS655324 MZM655324:MZO655324 NJI655324:NJK655324 NTE655324:NTG655324 ODA655324:ODC655324 OMW655324:OMY655324 OWS655324:OWU655324 PGO655324:PGQ655324 PQK655324:PQM655324 QAG655324:QAI655324 QKC655324:QKE655324 QTY655324:QUA655324 RDU655324:RDW655324 RNQ655324:RNS655324 RXM655324:RXO655324 SHI655324:SHK655324 SRE655324:SRG655324 TBA655324:TBC655324 TKW655324:TKY655324 TUS655324:TUU655324 UEO655324:UEQ655324 UOK655324:UOM655324 UYG655324:UYI655324 VIC655324:VIE655324 VRY655324:VSA655324 WBU655324:WBW655324 WLQ655324:WLS655324 WVM655324:WVO655324 G720860:I720860 JA720860:JC720860 SW720860:SY720860 ACS720860:ACU720860 AMO720860:AMQ720860 AWK720860:AWM720860 BGG720860:BGI720860 BQC720860:BQE720860 BZY720860:CAA720860 CJU720860:CJW720860 CTQ720860:CTS720860 DDM720860:DDO720860 DNI720860:DNK720860 DXE720860:DXG720860 EHA720860:EHC720860 EQW720860:EQY720860 FAS720860:FAU720860 FKO720860:FKQ720860 FUK720860:FUM720860 GEG720860:GEI720860 GOC720860:GOE720860 GXY720860:GYA720860 HHU720860:HHW720860 HRQ720860:HRS720860 IBM720860:IBO720860 ILI720860:ILK720860 IVE720860:IVG720860 JFA720860:JFC720860 JOW720860:JOY720860 JYS720860:JYU720860 KIO720860:KIQ720860 KSK720860:KSM720860 LCG720860:LCI720860 LMC720860:LME720860 LVY720860:LWA720860 MFU720860:MFW720860 MPQ720860:MPS720860 MZM720860:MZO720860 NJI720860:NJK720860 NTE720860:NTG720860 ODA720860:ODC720860 OMW720860:OMY720860 OWS720860:OWU720860 PGO720860:PGQ720860 PQK720860:PQM720860 QAG720860:QAI720860 QKC720860:QKE720860 QTY720860:QUA720860 RDU720860:RDW720860 RNQ720860:RNS720860 RXM720860:RXO720860 SHI720860:SHK720860 SRE720860:SRG720860 TBA720860:TBC720860 TKW720860:TKY720860 TUS720860:TUU720860 UEO720860:UEQ720860 UOK720860:UOM720860 UYG720860:UYI720860 VIC720860:VIE720860 VRY720860:VSA720860 WBU720860:WBW720860 WLQ720860:WLS720860 WVM720860:WVO720860 G786396:I786396 JA786396:JC786396 SW786396:SY786396 ACS786396:ACU786396 AMO786396:AMQ786396 AWK786396:AWM786396 BGG786396:BGI786396 BQC786396:BQE786396 BZY786396:CAA786396 CJU786396:CJW786396 CTQ786396:CTS786396 DDM786396:DDO786396 DNI786396:DNK786396 DXE786396:DXG786396 EHA786396:EHC786396 EQW786396:EQY786396 FAS786396:FAU786396 FKO786396:FKQ786396 FUK786396:FUM786396 GEG786396:GEI786396 GOC786396:GOE786396 GXY786396:GYA786396 HHU786396:HHW786396 HRQ786396:HRS786396 IBM786396:IBO786396 ILI786396:ILK786396 IVE786396:IVG786396 JFA786396:JFC786396 JOW786396:JOY786396 JYS786396:JYU786396 KIO786396:KIQ786396 KSK786396:KSM786396 LCG786396:LCI786396 LMC786396:LME786396 LVY786396:LWA786396 MFU786396:MFW786396 MPQ786396:MPS786396 MZM786396:MZO786396 NJI786396:NJK786396 NTE786396:NTG786396 ODA786396:ODC786396 OMW786396:OMY786396 OWS786396:OWU786396 PGO786396:PGQ786396 PQK786396:PQM786396 QAG786396:QAI786396 QKC786396:QKE786396 QTY786396:QUA786396 RDU786396:RDW786396 RNQ786396:RNS786396 RXM786396:RXO786396 SHI786396:SHK786396 SRE786396:SRG786396 TBA786396:TBC786396 TKW786396:TKY786396 TUS786396:TUU786396 UEO786396:UEQ786396 UOK786396:UOM786396 UYG786396:UYI786396 VIC786396:VIE786396 VRY786396:VSA786396 WBU786396:WBW786396 WLQ786396:WLS786396 WVM786396:WVO786396 G851932:I851932 JA851932:JC851932 SW851932:SY851932 ACS851932:ACU851932 AMO851932:AMQ851932 AWK851932:AWM851932 BGG851932:BGI851932 BQC851932:BQE851932 BZY851932:CAA851932 CJU851932:CJW851932 CTQ851932:CTS851932 DDM851932:DDO851932 DNI851932:DNK851932 DXE851932:DXG851932 EHA851932:EHC851932 EQW851932:EQY851932 FAS851932:FAU851932 FKO851932:FKQ851932 FUK851932:FUM851932 GEG851932:GEI851932 GOC851932:GOE851932 GXY851932:GYA851932 HHU851932:HHW851932 HRQ851932:HRS851932 IBM851932:IBO851932 ILI851932:ILK851932 IVE851932:IVG851932 JFA851932:JFC851932 JOW851932:JOY851932 JYS851932:JYU851932 KIO851932:KIQ851932 KSK851932:KSM851932 LCG851932:LCI851932 LMC851932:LME851932 LVY851932:LWA851932 MFU851932:MFW851932 MPQ851932:MPS851932 MZM851932:MZO851932 NJI851932:NJK851932 NTE851932:NTG851932 ODA851932:ODC851932 OMW851932:OMY851932 OWS851932:OWU851932 PGO851932:PGQ851932 PQK851932:PQM851932 QAG851932:QAI851932 QKC851932:QKE851932 QTY851932:QUA851932 RDU851932:RDW851932 RNQ851932:RNS851932 RXM851932:RXO851932 SHI851932:SHK851932 SRE851932:SRG851932 TBA851932:TBC851932 TKW851932:TKY851932 TUS851932:TUU851932 UEO851932:UEQ851932 UOK851932:UOM851932 UYG851932:UYI851932 VIC851932:VIE851932 VRY851932:VSA851932 WBU851932:WBW851932 WLQ851932:WLS851932 WVM851932:WVO851932 G917468:I917468 JA917468:JC917468 SW917468:SY917468 ACS917468:ACU917468 AMO917468:AMQ917468 AWK917468:AWM917468 BGG917468:BGI917468 BQC917468:BQE917468 BZY917468:CAA917468 CJU917468:CJW917468 CTQ917468:CTS917468 DDM917468:DDO917468 DNI917468:DNK917468 DXE917468:DXG917468 EHA917468:EHC917468 EQW917468:EQY917468 FAS917468:FAU917468 FKO917468:FKQ917468 FUK917468:FUM917468 GEG917468:GEI917468 GOC917468:GOE917468 GXY917468:GYA917468 HHU917468:HHW917468 HRQ917468:HRS917468 IBM917468:IBO917468 ILI917468:ILK917468 IVE917468:IVG917468 JFA917468:JFC917468 JOW917468:JOY917468 JYS917468:JYU917468 KIO917468:KIQ917468 KSK917468:KSM917468 LCG917468:LCI917468 LMC917468:LME917468 LVY917468:LWA917468 MFU917468:MFW917468 MPQ917468:MPS917468 MZM917468:MZO917468 NJI917468:NJK917468 NTE917468:NTG917468 ODA917468:ODC917468 OMW917468:OMY917468 OWS917468:OWU917468 PGO917468:PGQ917468 PQK917468:PQM917468 QAG917468:QAI917468 QKC917468:QKE917468 QTY917468:QUA917468 RDU917468:RDW917468 RNQ917468:RNS917468 RXM917468:RXO917468 SHI917468:SHK917468 SRE917468:SRG917468 TBA917468:TBC917468 TKW917468:TKY917468 TUS917468:TUU917468 UEO917468:UEQ917468 UOK917468:UOM917468 UYG917468:UYI917468 VIC917468:VIE917468 VRY917468:VSA917468 WBU917468:WBW917468 WLQ917468:WLS917468 WVM917468:WVO917468 G983004:I983004 JA983004:JC983004 SW983004:SY983004 ACS983004:ACU983004 AMO983004:AMQ983004 AWK983004:AWM983004 BGG983004:BGI983004 BQC983004:BQE983004 BZY983004:CAA983004 CJU983004:CJW983004 CTQ983004:CTS983004 DDM983004:DDO983004 DNI983004:DNK983004 DXE983004:DXG983004 EHA983004:EHC983004 EQW983004:EQY983004 FAS983004:FAU983004 FKO983004:FKQ983004 FUK983004:FUM983004 GEG983004:GEI983004 GOC983004:GOE983004 GXY983004:GYA983004 HHU983004:HHW983004 HRQ983004:HRS983004 IBM983004:IBO983004 ILI983004:ILK983004 IVE983004:IVG983004 JFA983004:JFC983004 JOW983004:JOY983004 JYS983004:JYU983004 KIO983004:KIQ983004 KSK983004:KSM983004 LCG983004:LCI983004 LMC983004:LME983004 LVY983004:LWA983004 MFU983004:MFW983004 MPQ983004:MPS983004 MZM983004:MZO983004 NJI983004:NJK983004 NTE983004:NTG983004 ODA983004:ODC983004 OMW983004:OMY983004 OWS983004:OWU983004 PGO983004:PGQ983004 PQK983004:PQM983004 QAG983004:QAI983004 QKC983004:QKE983004 QTY983004:QUA983004 RDU983004:RDW983004 RNQ983004:RNS983004 RXM983004:RXO983004 SHI983004:SHK983004 SRE983004:SRG983004 TBA983004:TBC983004 TKW983004:TKY983004 TUS983004:TUU983004 UEO983004:UEQ983004 UOK983004:UOM983004 UYG983004:UYI983004 VIC983004:VIE983004 VRY983004:VSA983004 WBU983004:WBW983004 WLQ983004:WLS983004 WVM983004:WVO983004 WBU983043:WBW983043 JA45:JC45 SW45:SY45 ACS45:ACU45 AMO45:AMQ45 AWK45:AWM45 BGG45:BGI45 BQC45:BQE45 BZY45:CAA45 CJU45:CJW45 CTQ45:CTS45 DDM45:DDO45 DNI45:DNK45 DXE45:DXG45 EHA45:EHC45 EQW45:EQY45 FAS45:FAU45 FKO45:FKQ45 FUK45:FUM45 GEG45:GEI45 GOC45:GOE45 GXY45:GYA45 HHU45:HHW45 HRQ45:HRS45 IBM45:IBO45 ILI45:ILK45 IVE45:IVG45 JFA45:JFC45 JOW45:JOY45 JYS45:JYU45 KIO45:KIQ45 KSK45:KSM45 LCG45:LCI45 LMC45:LME45 LVY45:LWA45 MFU45:MFW45 MPQ45:MPS45 MZM45:MZO45 NJI45:NJK45 NTE45:NTG45 ODA45:ODC45 OMW45:OMY45 OWS45:OWU45 PGO45:PGQ45 PQK45:PQM45 QAG45:QAI45 QKC45:QKE45 QTY45:QUA45 RDU45:RDW45 RNQ45:RNS45 RXM45:RXO45 SHI45:SHK45 SRE45:SRG45 TBA45:TBC45 TKW45:TKY45 TUS45:TUU45 UEO45:UEQ45 UOK45:UOM45 UYG45:UYI45 VIC45:VIE45 VRY45:VSA45 WBU45:WBW45 WLQ45:WLS45 WVM45:WVO45 G65513:I65513 JA65513:JC65513 SW65513:SY65513 ACS65513:ACU65513 AMO65513:AMQ65513 AWK65513:AWM65513 BGG65513:BGI65513 BQC65513:BQE65513 BZY65513:CAA65513 CJU65513:CJW65513 CTQ65513:CTS65513 DDM65513:DDO65513 DNI65513:DNK65513 DXE65513:DXG65513 EHA65513:EHC65513 EQW65513:EQY65513 FAS65513:FAU65513 FKO65513:FKQ65513 FUK65513:FUM65513 GEG65513:GEI65513 GOC65513:GOE65513 GXY65513:GYA65513 HHU65513:HHW65513 HRQ65513:HRS65513 IBM65513:IBO65513 ILI65513:ILK65513 IVE65513:IVG65513 JFA65513:JFC65513 JOW65513:JOY65513 JYS65513:JYU65513 KIO65513:KIQ65513 KSK65513:KSM65513 LCG65513:LCI65513 LMC65513:LME65513 LVY65513:LWA65513 MFU65513:MFW65513 MPQ65513:MPS65513 MZM65513:MZO65513 NJI65513:NJK65513 NTE65513:NTG65513 ODA65513:ODC65513 OMW65513:OMY65513 OWS65513:OWU65513 PGO65513:PGQ65513 PQK65513:PQM65513 QAG65513:QAI65513 QKC65513:QKE65513 QTY65513:QUA65513 RDU65513:RDW65513 RNQ65513:RNS65513 RXM65513:RXO65513 SHI65513:SHK65513 SRE65513:SRG65513 TBA65513:TBC65513 TKW65513:TKY65513 TUS65513:TUU65513 UEO65513:UEQ65513 UOK65513:UOM65513 UYG65513:UYI65513 VIC65513:VIE65513 VRY65513:VSA65513 WBU65513:WBW65513 WLQ65513:WLS65513 WVM65513:WVO65513 G131049:I131049 JA131049:JC131049 SW131049:SY131049 ACS131049:ACU131049 AMO131049:AMQ131049 AWK131049:AWM131049 BGG131049:BGI131049 BQC131049:BQE131049 BZY131049:CAA131049 CJU131049:CJW131049 CTQ131049:CTS131049 DDM131049:DDO131049 DNI131049:DNK131049 DXE131049:DXG131049 EHA131049:EHC131049 EQW131049:EQY131049 FAS131049:FAU131049 FKO131049:FKQ131049 FUK131049:FUM131049 GEG131049:GEI131049 GOC131049:GOE131049 GXY131049:GYA131049 HHU131049:HHW131049 HRQ131049:HRS131049 IBM131049:IBO131049 ILI131049:ILK131049 IVE131049:IVG131049 JFA131049:JFC131049 JOW131049:JOY131049 JYS131049:JYU131049 KIO131049:KIQ131049 KSK131049:KSM131049 LCG131049:LCI131049 LMC131049:LME131049 LVY131049:LWA131049 MFU131049:MFW131049 MPQ131049:MPS131049 MZM131049:MZO131049 NJI131049:NJK131049 NTE131049:NTG131049 ODA131049:ODC131049 OMW131049:OMY131049 OWS131049:OWU131049 PGO131049:PGQ131049 PQK131049:PQM131049 QAG131049:QAI131049 QKC131049:QKE131049 QTY131049:QUA131049 RDU131049:RDW131049 RNQ131049:RNS131049 RXM131049:RXO131049 SHI131049:SHK131049 SRE131049:SRG131049 TBA131049:TBC131049 TKW131049:TKY131049 TUS131049:TUU131049 UEO131049:UEQ131049 UOK131049:UOM131049 UYG131049:UYI131049 VIC131049:VIE131049 VRY131049:VSA131049 WBU131049:WBW131049 WLQ131049:WLS131049 WVM131049:WVO131049 G196585:I196585 JA196585:JC196585 SW196585:SY196585 ACS196585:ACU196585 AMO196585:AMQ196585 AWK196585:AWM196585 BGG196585:BGI196585 BQC196585:BQE196585 BZY196585:CAA196585 CJU196585:CJW196585 CTQ196585:CTS196585 DDM196585:DDO196585 DNI196585:DNK196585 DXE196585:DXG196585 EHA196585:EHC196585 EQW196585:EQY196585 FAS196585:FAU196585 FKO196585:FKQ196585 FUK196585:FUM196585 GEG196585:GEI196585 GOC196585:GOE196585 GXY196585:GYA196585 HHU196585:HHW196585 HRQ196585:HRS196585 IBM196585:IBO196585 ILI196585:ILK196585 IVE196585:IVG196585 JFA196585:JFC196585 JOW196585:JOY196585 JYS196585:JYU196585 KIO196585:KIQ196585 KSK196585:KSM196585 LCG196585:LCI196585 LMC196585:LME196585 LVY196585:LWA196585 MFU196585:MFW196585 MPQ196585:MPS196585 MZM196585:MZO196585 NJI196585:NJK196585 NTE196585:NTG196585 ODA196585:ODC196585 OMW196585:OMY196585 OWS196585:OWU196585 PGO196585:PGQ196585 PQK196585:PQM196585 QAG196585:QAI196585 QKC196585:QKE196585 QTY196585:QUA196585 RDU196585:RDW196585 RNQ196585:RNS196585 RXM196585:RXO196585 SHI196585:SHK196585 SRE196585:SRG196585 TBA196585:TBC196585 TKW196585:TKY196585 TUS196585:TUU196585 UEO196585:UEQ196585 UOK196585:UOM196585 UYG196585:UYI196585 VIC196585:VIE196585 VRY196585:VSA196585 WBU196585:WBW196585 WLQ196585:WLS196585 WVM196585:WVO196585 G262121:I262121 JA262121:JC262121 SW262121:SY262121 ACS262121:ACU262121 AMO262121:AMQ262121 AWK262121:AWM262121 BGG262121:BGI262121 BQC262121:BQE262121 BZY262121:CAA262121 CJU262121:CJW262121 CTQ262121:CTS262121 DDM262121:DDO262121 DNI262121:DNK262121 DXE262121:DXG262121 EHA262121:EHC262121 EQW262121:EQY262121 FAS262121:FAU262121 FKO262121:FKQ262121 FUK262121:FUM262121 GEG262121:GEI262121 GOC262121:GOE262121 GXY262121:GYA262121 HHU262121:HHW262121 HRQ262121:HRS262121 IBM262121:IBO262121 ILI262121:ILK262121 IVE262121:IVG262121 JFA262121:JFC262121 JOW262121:JOY262121 JYS262121:JYU262121 KIO262121:KIQ262121 KSK262121:KSM262121 LCG262121:LCI262121 LMC262121:LME262121 LVY262121:LWA262121 MFU262121:MFW262121 MPQ262121:MPS262121 MZM262121:MZO262121 NJI262121:NJK262121 NTE262121:NTG262121 ODA262121:ODC262121 OMW262121:OMY262121 OWS262121:OWU262121 PGO262121:PGQ262121 PQK262121:PQM262121 QAG262121:QAI262121 QKC262121:QKE262121 QTY262121:QUA262121 RDU262121:RDW262121 RNQ262121:RNS262121 RXM262121:RXO262121 SHI262121:SHK262121 SRE262121:SRG262121 TBA262121:TBC262121 TKW262121:TKY262121 TUS262121:TUU262121 UEO262121:UEQ262121 UOK262121:UOM262121 UYG262121:UYI262121 VIC262121:VIE262121 VRY262121:VSA262121 WBU262121:WBW262121 WLQ262121:WLS262121 WVM262121:WVO262121 G327657:I327657 JA327657:JC327657 SW327657:SY327657 ACS327657:ACU327657 AMO327657:AMQ327657 AWK327657:AWM327657 BGG327657:BGI327657 BQC327657:BQE327657 BZY327657:CAA327657 CJU327657:CJW327657 CTQ327657:CTS327657 DDM327657:DDO327657 DNI327657:DNK327657 DXE327657:DXG327657 EHA327657:EHC327657 EQW327657:EQY327657 FAS327657:FAU327657 FKO327657:FKQ327657 FUK327657:FUM327657 GEG327657:GEI327657 GOC327657:GOE327657 GXY327657:GYA327657 HHU327657:HHW327657 HRQ327657:HRS327657 IBM327657:IBO327657 ILI327657:ILK327657 IVE327657:IVG327657 JFA327657:JFC327657 JOW327657:JOY327657 JYS327657:JYU327657 KIO327657:KIQ327657 KSK327657:KSM327657 LCG327657:LCI327657 LMC327657:LME327657 LVY327657:LWA327657 MFU327657:MFW327657 MPQ327657:MPS327657 MZM327657:MZO327657 NJI327657:NJK327657 NTE327657:NTG327657 ODA327657:ODC327657 OMW327657:OMY327657 OWS327657:OWU327657 PGO327657:PGQ327657 PQK327657:PQM327657 QAG327657:QAI327657 QKC327657:QKE327657 QTY327657:QUA327657 RDU327657:RDW327657 RNQ327657:RNS327657 RXM327657:RXO327657 SHI327657:SHK327657 SRE327657:SRG327657 TBA327657:TBC327657 TKW327657:TKY327657 TUS327657:TUU327657 UEO327657:UEQ327657 UOK327657:UOM327657 UYG327657:UYI327657 VIC327657:VIE327657 VRY327657:VSA327657 WBU327657:WBW327657 WLQ327657:WLS327657 WVM327657:WVO327657 G393193:I393193 JA393193:JC393193 SW393193:SY393193 ACS393193:ACU393193 AMO393193:AMQ393193 AWK393193:AWM393193 BGG393193:BGI393193 BQC393193:BQE393193 BZY393193:CAA393193 CJU393193:CJW393193 CTQ393193:CTS393193 DDM393193:DDO393193 DNI393193:DNK393193 DXE393193:DXG393193 EHA393193:EHC393193 EQW393193:EQY393193 FAS393193:FAU393193 FKO393193:FKQ393193 FUK393193:FUM393193 GEG393193:GEI393193 GOC393193:GOE393193 GXY393193:GYA393193 HHU393193:HHW393193 HRQ393193:HRS393193 IBM393193:IBO393193 ILI393193:ILK393193 IVE393193:IVG393193 JFA393193:JFC393193 JOW393193:JOY393193 JYS393193:JYU393193 KIO393193:KIQ393193 KSK393193:KSM393193 LCG393193:LCI393193 LMC393193:LME393193 LVY393193:LWA393193 MFU393193:MFW393193 MPQ393193:MPS393193 MZM393193:MZO393193 NJI393193:NJK393193 NTE393193:NTG393193 ODA393193:ODC393193 OMW393193:OMY393193 OWS393193:OWU393193 PGO393193:PGQ393193 PQK393193:PQM393193 QAG393193:QAI393193 QKC393193:QKE393193 QTY393193:QUA393193 RDU393193:RDW393193 RNQ393193:RNS393193 RXM393193:RXO393193 SHI393193:SHK393193 SRE393193:SRG393193 TBA393193:TBC393193 TKW393193:TKY393193 TUS393193:TUU393193 UEO393193:UEQ393193 UOK393193:UOM393193 UYG393193:UYI393193 VIC393193:VIE393193 VRY393193:VSA393193 WBU393193:WBW393193 WLQ393193:WLS393193 WVM393193:WVO393193 G458729:I458729 JA458729:JC458729 SW458729:SY458729 ACS458729:ACU458729 AMO458729:AMQ458729 AWK458729:AWM458729 BGG458729:BGI458729 BQC458729:BQE458729 BZY458729:CAA458729 CJU458729:CJW458729 CTQ458729:CTS458729 DDM458729:DDO458729 DNI458729:DNK458729 DXE458729:DXG458729 EHA458729:EHC458729 EQW458729:EQY458729 FAS458729:FAU458729 FKO458729:FKQ458729 FUK458729:FUM458729 GEG458729:GEI458729 GOC458729:GOE458729 GXY458729:GYA458729 HHU458729:HHW458729 HRQ458729:HRS458729 IBM458729:IBO458729 ILI458729:ILK458729 IVE458729:IVG458729 JFA458729:JFC458729 JOW458729:JOY458729 JYS458729:JYU458729 KIO458729:KIQ458729 KSK458729:KSM458729 LCG458729:LCI458729 LMC458729:LME458729 LVY458729:LWA458729 MFU458729:MFW458729 MPQ458729:MPS458729 MZM458729:MZO458729 NJI458729:NJK458729 NTE458729:NTG458729 ODA458729:ODC458729 OMW458729:OMY458729 OWS458729:OWU458729 PGO458729:PGQ458729 PQK458729:PQM458729 QAG458729:QAI458729 QKC458729:QKE458729 QTY458729:QUA458729 RDU458729:RDW458729 RNQ458729:RNS458729 RXM458729:RXO458729 SHI458729:SHK458729 SRE458729:SRG458729 TBA458729:TBC458729 TKW458729:TKY458729 TUS458729:TUU458729 UEO458729:UEQ458729 UOK458729:UOM458729 UYG458729:UYI458729 VIC458729:VIE458729 VRY458729:VSA458729 WBU458729:WBW458729 WLQ458729:WLS458729 WVM458729:WVO458729 G524265:I524265 JA524265:JC524265 SW524265:SY524265 ACS524265:ACU524265 AMO524265:AMQ524265 AWK524265:AWM524265 BGG524265:BGI524265 BQC524265:BQE524265 BZY524265:CAA524265 CJU524265:CJW524265 CTQ524265:CTS524265 DDM524265:DDO524265 DNI524265:DNK524265 DXE524265:DXG524265 EHA524265:EHC524265 EQW524265:EQY524265 FAS524265:FAU524265 FKO524265:FKQ524265 FUK524265:FUM524265 GEG524265:GEI524265 GOC524265:GOE524265 GXY524265:GYA524265 HHU524265:HHW524265 HRQ524265:HRS524265 IBM524265:IBO524265 ILI524265:ILK524265 IVE524265:IVG524265 JFA524265:JFC524265 JOW524265:JOY524265 JYS524265:JYU524265 KIO524265:KIQ524265 KSK524265:KSM524265 LCG524265:LCI524265 LMC524265:LME524265 LVY524265:LWA524265 MFU524265:MFW524265 MPQ524265:MPS524265 MZM524265:MZO524265 NJI524265:NJK524265 NTE524265:NTG524265 ODA524265:ODC524265 OMW524265:OMY524265 OWS524265:OWU524265 PGO524265:PGQ524265 PQK524265:PQM524265 QAG524265:QAI524265 QKC524265:QKE524265 QTY524265:QUA524265 RDU524265:RDW524265 RNQ524265:RNS524265 RXM524265:RXO524265 SHI524265:SHK524265 SRE524265:SRG524265 TBA524265:TBC524265 TKW524265:TKY524265 TUS524265:TUU524265 UEO524265:UEQ524265 UOK524265:UOM524265 UYG524265:UYI524265 VIC524265:VIE524265 VRY524265:VSA524265 WBU524265:WBW524265 WLQ524265:WLS524265 WVM524265:WVO524265 G589801:I589801 JA589801:JC589801 SW589801:SY589801 ACS589801:ACU589801 AMO589801:AMQ589801 AWK589801:AWM589801 BGG589801:BGI589801 BQC589801:BQE589801 BZY589801:CAA589801 CJU589801:CJW589801 CTQ589801:CTS589801 DDM589801:DDO589801 DNI589801:DNK589801 DXE589801:DXG589801 EHA589801:EHC589801 EQW589801:EQY589801 FAS589801:FAU589801 FKO589801:FKQ589801 FUK589801:FUM589801 GEG589801:GEI589801 GOC589801:GOE589801 GXY589801:GYA589801 HHU589801:HHW589801 HRQ589801:HRS589801 IBM589801:IBO589801 ILI589801:ILK589801 IVE589801:IVG589801 JFA589801:JFC589801 JOW589801:JOY589801 JYS589801:JYU589801 KIO589801:KIQ589801 KSK589801:KSM589801 LCG589801:LCI589801 LMC589801:LME589801 LVY589801:LWA589801 MFU589801:MFW589801 MPQ589801:MPS589801 MZM589801:MZO589801 NJI589801:NJK589801 NTE589801:NTG589801 ODA589801:ODC589801 OMW589801:OMY589801 OWS589801:OWU589801 PGO589801:PGQ589801 PQK589801:PQM589801 QAG589801:QAI589801 QKC589801:QKE589801 QTY589801:QUA589801 RDU589801:RDW589801 RNQ589801:RNS589801 RXM589801:RXO589801 SHI589801:SHK589801 SRE589801:SRG589801 TBA589801:TBC589801 TKW589801:TKY589801 TUS589801:TUU589801 UEO589801:UEQ589801 UOK589801:UOM589801 UYG589801:UYI589801 VIC589801:VIE589801 VRY589801:VSA589801 WBU589801:WBW589801 WLQ589801:WLS589801 WVM589801:WVO589801 G655337:I655337 JA655337:JC655337 SW655337:SY655337 ACS655337:ACU655337 AMO655337:AMQ655337 AWK655337:AWM655337 BGG655337:BGI655337 BQC655337:BQE655337 BZY655337:CAA655337 CJU655337:CJW655337 CTQ655337:CTS655337 DDM655337:DDO655337 DNI655337:DNK655337 DXE655337:DXG655337 EHA655337:EHC655337 EQW655337:EQY655337 FAS655337:FAU655337 FKO655337:FKQ655337 FUK655337:FUM655337 GEG655337:GEI655337 GOC655337:GOE655337 GXY655337:GYA655337 HHU655337:HHW655337 HRQ655337:HRS655337 IBM655337:IBO655337 ILI655337:ILK655337 IVE655337:IVG655337 JFA655337:JFC655337 JOW655337:JOY655337 JYS655337:JYU655337 KIO655337:KIQ655337 KSK655337:KSM655337 LCG655337:LCI655337 LMC655337:LME655337 LVY655337:LWA655337 MFU655337:MFW655337 MPQ655337:MPS655337 MZM655337:MZO655337 NJI655337:NJK655337 NTE655337:NTG655337 ODA655337:ODC655337 OMW655337:OMY655337 OWS655337:OWU655337 PGO655337:PGQ655337 PQK655337:PQM655337 QAG655337:QAI655337 QKC655337:QKE655337 QTY655337:QUA655337 RDU655337:RDW655337 RNQ655337:RNS655337 RXM655337:RXO655337 SHI655337:SHK655337 SRE655337:SRG655337 TBA655337:TBC655337 TKW655337:TKY655337 TUS655337:TUU655337 UEO655337:UEQ655337 UOK655337:UOM655337 UYG655337:UYI655337 VIC655337:VIE655337 VRY655337:VSA655337 WBU655337:WBW655337 WLQ655337:WLS655337 WVM655337:WVO655337 G720873:I720873 JA720873:JC720873 SW720873:SY720873 ACS720873:ACU720873 AMO720873:AMQ720873 AWK720873:AWM720873 BGG720873:BGI720873 BQC720873:BQE720873 BZY720873:CAA720873 CJU720873:CJW720873 CTQ720873:CTS720873 DDM720873:DDO720873 DNI720873:DNK720873 DXE720873:DXG720873 EHA720873:EHC720873 EQW720873:EQY720873 FAS720873:FAU720873 FKO720873:FKQ720873 FUK720873:FUM720873 GEG720873:GEI720873 GOC720873:GOE720873 GXY720873:GYA720873 HHU720873:HHW720873 HRQ720873:HRS720873 IBM720873:IBO720873 ILI720873:ILK720873 IVE720873:IVG720873 JFA720873:JFC720873 JOW720873:JOY720873 JYS720873:JYU720873 KIO720873:KIQ720873 KSK720873:KSM720873 LCG720873:LCI720873 LMC720873:LME720873 LVY720873:LWA720873 MFU720873:MFW720873 MPQ720873:MPS720873 MZM720873:MZO720873 NJI720873:NJK720873 NTE720873:NTG720873 ODA720873:ODC720873 OMW720873:OMY720873 OWS720873:OWU720873 PGO720873:PGQ720873 PQK720873:PQM720873 QAG720873:QAI720873 QKC720873:QKE720873 QTY720873:QUA720873 RDU720873:RDW720873 RNQ720873:RNS720873 RXM720873:RXO720873 SHI720873:SHK720873 SRE720873:SRG720873 TBA720873:TBC720873 TKW720873:TKY720873 TUS720873:TUU720873 UEO720873:UEQ720873 UOK720873:UOM720873 UYG720873:UYI720873 VIC720873:VIE720873 VRY720873:VSA720873 WBU720873:WBW720873 WLQ720873:WLS720873 WVM720873:WVO720873 G786409:I786409 JA786409:JC786409 SW786409:SY786409 ACS786409:ACU786409 AMO786409:AMQ786409 AWK786409:AWM786409 BGG786409:BGI786409 BQC786409:BQE786409 BZY786409:CAA786409 CJU786409:CJW786409 CTQ786409:CTS786409 DDM786409:DDO786409 DNI786409:DNK786409 DXE786409:DXG786409 EHA786409:EHC786409 EQW786409:EQY786409 FAS786409:FAU786409 FKO786409:FKQ786409 FUK786409:FUM786409 GEG786409:GEI786409 GOC786409:GOE786409 GXY786409:GYA786409 HHU786409:HHW786409 HRQ786409:HRS786409 IBM786409:IBO786409 ILI786409:ILK786409 IVE786409:IVG786409 JFA786409:JFC786409 JOW786409:JOY786409 JYS786409:JYU786409 KIO786409:KIQ786409 KSK786409:KSM786409 LCG786409:LCI786409 LMC786409:LME786409 LVY786409:LWA786409 MFU786409:MFW786409 MPQ786409:MPS786409 MZM786409:MZO786409 NJI786409:NJK786409 NTE786409:NTG786409 ODA786409:ODC786409 OMW786409:OMY786409 OWS786409:OWU786409 PGO786409:PGQ786409 PQK786409:PQM786409 QAG786409:QAI786409 QKC786409:QKE786409 QTY786409:QUA786409 RDU786409:RDW786409 RNQ786409:RNS786409 RXM786409:RXO786409 SHI786409:SHK786409 SRE786409:SRG786409 TBA786409:TBC786409 TKW786409:TKY786409 TUS786409:TUU786409 UEO786409:UEQ786409 UOK786409:UOM786409 UYG786409:UYI786409 VIC786409:VIE786409 VRY786409:VSA786409 WBU786409:WBW786409 WLQ786409:WLS786409 WVM786409:WVO786409 G851945:I851945 JA851945:JC851945 SW851945:SY851945 ACS851945:ACU851945 AMO851945:AMQ851945 AWK851945:AWM851945 BGG851945:BGI851945 BQC851945:BQE851945 BZY851945:CAA851945 CJU851945:CJW851945 CTQ851945:CTS851945 DDM851945:DDO851945 DNI851945:DNK851945 DXE851945:DXG851945 EHA851945:EHC851945 EQW851945:EQY851945 FAS851945:FAU851945 FKO851945:FKQ851945 FUK851945:FUM851945 GEG851945:GEI851945 GOC851945:GOE851945 GXY851945:GYA851945 HHU851945:HHW851945 HRQ851945:HRS851945 IBM851945:IBO851945 ILI851945:ILK851945 IVE851945:IVG851945 JFA851945:JFC851945 JOW851945:JOY851945 JYS851945:JYU851945 KIO851945:KIQ851945 KSK851945:KSM851945 LCG851945:LCI851945 LMC851945:LME851945 LVY851945:LWA851945 MFU851945:MFW851945 MPQ851945:MPS851945 MZM851945:MZO851945 NJI851945:NJK851945 NTE851945:NTG851945 ODA851945:ODC851945 OMW851945:OMY851945 OWS851945:OWU851945 PGO851945:PGQ851945 PQK851945:PQM851945 QAG851945:QAI851945 QKC851945:QKE851945 QTY851945:QUA851945 RDU851945:RDW851945 RNQ851945:RNS851945 RXM851945:RXO851945 SHI851945:SHK851945 SRE851945:SRG851945 TBA851945:TBC851945 TKW851945:TKY851945 TUS851945:TUU851945 UEO851945:UEQ851945 UOK851945:UOM851945 UYG851945:UYI851945 VIC851945:VIE851945 VRY851945:VSA851945 WBU851945:WBW851945 WLQ851945:WLS851945 WVM851945:WVO851945 G917481:I917481 JA917481:JC917481 SW917481:SY917481 ACS917481:ACU917481 AMO917481:AMQ917481 AWK917481:AWM917481 BGG917481:BGI917481 BQC917481:BQE917481 BZY917481:CAA917481 CJU917481:CJW917481 CTQ917481:CTS917481 DDM917481:DDO917481 DNI917481:DNK917481 DXE917481:DXG917481 EHA917481:EHC917481 EQW917481:EQY917481 FAS917481:FAU917481 FKO917481:FKQ917481 FUK917481:FUM917481 GEG917481:GEI917481 GOC917481:GOE917481 GXY917481:GYA917481 HHU917481:HHW917481 HRQ917481:HRS917481 IBM917481:IBO917481 ILI917481:ILK917481 IVE917481:IVG917481 JFA917481:JFC917481 JOW917481:JOY917481 JYS917481:JYU917481 KIO917481:KIQ917481 KSK917481:KSM917481 LCG917481:LCI917481 LMC917481:LME917481 LVY917481:LWA917481 MFU917481:MFW917481 MPQ917481:MPS917481 MZM917481:MZO917481 NJI917481:NJK917481 NTE917481:NTG917481 ODA917481:ODC917481 OMW917481:OMY917481 OWS917481:OWU917481 PGO917481:PGQ917481 PQK917481:PQM917481 QAG917481:QAI917481 QKC917481:QKE917481 QTY917481:QUA917481 RDU917481:RDW917481 RNQ917481:RNS917481 RXM917481:RXO917481 SHI917481:SHK917481 SRE917481:SRG917481 TBA917481:TBC917481 TKW917481:TKY917481 TUS917481:TUU917481 UEO917481:UEQ917481 UOK917481:UOM917481 UYG917481:UYI917481 VIC917481:VIE917481 VRY917481:VSA917481 WBU917481:WBW917481 WLQ917481:WLS917481 WVM917481:WVO917481 G983017:I983017 JA983017:JC983017 SW983017:SY983017 ACS983017:ACU983017 AMO983017:AMQ983017 AWK983017:AWM983017 BGG983017:BGI983017 BQC983017:BQE983017 BZY983017:CAA983017 CJU983017:CJW983017 CTQ983017:CTS983017 DDM983017:DDO983017 DNI983017:DNK983017 DXE983017:DXG983017 EHA983017:EHC983017 EQW983017:EQY983017 FAS983017:FAU983017 FKO983017:FKQ983017 FUK983017:FUM983017 GEG983017:GEI983017 GOC983017:GOE983017 GXY983017:GYA983017 HHU983017:HHW983017 HRQ983017:HRS983017 IBM983017:IBO983017 ILI983017:ILK983017 IVE983017:IVG983017 JFA983017:JFC983017 JOW983017:JOY983017 JYS983017:JYU983017 KIO983017:KIQ983017 KSK983017:KSM983017 LCG983017:LCI983017 LMC983017:LME983017 LVY983017:LWA983017 MFU983017:MFW983017 MPQ983017:MPS983017 MZM983017:MZO983017 NJI983017:NJK983017 NTE983017:NTG983017 ODA983017:ODC983017 OMW983017:OMY983017 OWS983017:OWU983017 PGO983017:PGQ983017 PQK983017:PQM983017 QAG983017:QAI983017 QKC983017:QKE983017 QTY983017:QUA983017 RDU983017:RDW983017 RNQ983017:RNS983017 RXM983017:RXO983017 SHI983017:SHK983017 SRE983017:SRG983017 TBA983017:TBC983017 TKW983017:TKY983017 TUS983017:TUU983017 UEO983017:UEQ983017 UOK983017:UOM983017 UYG983017:UYI983017 VIC983017:VIE983017 VRY983017:VSA983017 WBU983017:WBW983017 WLQ983017:WLS983017 WVM983017:WVO983017 G65526:I65526 JA65526:JC65526 SW65526:SY65526 ACS65526:ACU65526 AMO65526:AMQ65526 AWK65526:AWM65526 BGG65526:BGI65526 BQC65526:BQE65526 BZY65526:CAA65526 CJU65526:CJW65526 CTQ65526:CTS65526 DDM65526:DDO65526 DNI65526:DNK65526 DXE65526:DXG65526 EHA65526:EHC65526 EQW65526:EQY65526 FAS65526:FAU65526 FKO65526:FKQ65526 FUK65526:FUM65526 GEG65526:GEI65526 GOC65526:GOE65526 GXY65526:GYA65526 HHU65526:HHW65526 HRQ65526:HRS65526 IBM65526:IBO65526 ILI65526:ILK65526 IVE65526:IVG65526 JFA65526:JFC65526 JOW65526:JOY65526 JYS65526:JYU65526 KIO65526:KIQ65526 KSK65526:KSM65526 LCG65526:LCI65526 LMC65526:LME65526 LVY65526:LWA65526 MFU65526:MFW65526 MPQ65526:MPS65526 MZM65526:MZO65526 NJI65526:NJK65526 NTE65526:NTG65526 ODA65526:ODC65526 OMW65526:OMY65526 OWS65526:OWU65526 PGO65526:PGQ65526 PQK65526:PQM65526 QAG65526:QAI65526 QKC65526:QKE65526 QTY65526:QUA65526 RDU65526:RDW65526 RNQ65526:RNS65526 RXM65526:RXO65526 SHI65526:SHK65526 SRE65526:SRG65526 TBA65526:TBC65526 TKW65526:TKY65526 TUS65526:TUU65526 UEO65526:UEQ65526 UOK65526:UOM65526 UYG65526:UYI65526 VIC65526:VIE65526 VRY65526:VSA65526 WBU65526:WBW65526 WLQ65526:WLS65526 WVM65526:WVO65526 G131062:I131062 JA131062:JC131062 SW131062:SY131062 ACS131062:ACU131062 AMO131062:AMQ131062 AWK131062:AWM131062 BGG131062:BGI131062 BQC131062:BQE131062 BZY131062:CAA131062 CJU131062:CJW131062 CTQ131062:CTS131062 DDM131062:DDO131062 DNI131062:DNK131062 DXE131062:DXG131062 EHA131062:EHC131062 EQW131062:EQY131062 FAS131062:FAU131062 FKO131062:FKQ131062 FUK131062:FUM131062 GEG131062:GEI131062 GOC131062:GOE131062 GXY131062:GYA131062 HHU131062:HHW131062 HRQ131062:HRS131062 IBM131062:IBO131062 ILI131062:ILK131062 IVE131062:IVG131062 JFA131062:JFC131062 JOW131062:JOY131062 JYS131062:JYU131062 KIO131062:KIQ131062 KSK131062:KSM131062 LCG131062:LCI131062 LMC131062:LME131062 LVY131062:LWA131062 MFU131062:MFW131062 MPQ131062:MPS131062 MZM131062:MZO131062 NJI131062:NJK131062 NTE131062:NTG131062 ODA131062:ODC131062 OMW131062:OMY131062 OWS131062:OWU131062 PGO131062:PGQ131062 PQK131062:PQM131062 QAG131062:QAI131062 QKC131062:QKE131062 QTY131062:QUA131062 RDU131062:RDW131062 RNQ131062:RNS131062 RXM131062:RXO131062 SHI131062:SHK131062 SRE131062:SRG131062 TBA131062:TBC131062 TKW131062:TKY131062 TUS131062:TUU131062 UEO131062:UEQ131062 UOK131062:UOM131062 UYG131062:UYI131062 VIC131062:VIE131062 VRY131062:VSA131062 WBU131062:WBW131062 WLQ131062:WLS131062 WVM131062:WVO131062 G196598:I196598 JA196598:JC196598 SW196598:SY196598 ACS196598:ACU196598 AMO196598:AMQ196598 AWK196598:AWM196598 BGG196598:BGI196598 BQC196598:BQE196598 BZY196598:CAA196598 CJU196598:CJW196598 CTQ196598:CTS196598 DDM196598:DDO196598 DNI196598:DNK196598 DXE196598:DXG196598 EHA196598:EHC196598 EQW196598:EQY196598 FAS196598:FAU196598 FKO196598:FKQ196598 FUK196598:FUM196598 GEG196598:GEI196598 GOC196598:GOE196598 GXY196598:GYA196598 HHU196598:HHW196598 HRQ196598:HRS196598 IBM196598:IBO196598 ILI196598:ILK196598 IVE196598:IVG196598 JFA196598:JFC196598 JOW196598:JOY196598 JYS196598:JYU196598 KIO196598:KIQ196598 KSK196598:KSM196598 LCG196598:LCI196598 LMC196598:LME196598 LVY196598:LWA196598 MFU196598:MFW196598 MPQ196598:MPS196598 MZM196598:MZO196598 NJI196598:NJK196598 NTE196598:NTG196598 ODA196598:ODC196598 OMW196598:OMY196598 OWS196598:OWU196598 PGO196598:PGQ196598 PQK196598:PQM196598 QAG196598:QAI196598 QKC196598:QKE196598 QTY196598:QUA196598 RDU196598:RDW196598 RNQ196598:RNS196598 RXM196598:RXO196598 SHI196598:SHK196598 SRE196598:SRG196598 TBA196598:TBC196598 TKW196598:TKY196598 TUS196598:TUU196598 UEO196598:UEQ196598 UOK196598:UOM196598 UYG196598:UYI196598 VIC196598:VIE196598 VRY196598:VSA196598 WBU196598:WBW196598 WLQ196598:WLS196598 WVM196598:WVO196598 G262134:I262134 JA262134:JC262134 SW262134:SY262134 ACS262134:ACU262134 AMO262134:AMQ262134 AWK262134:AWM262134 BGG262134:BGI262134 BQC262134:BQE262134 BZY262134:CAA262134 CJU262134:CJW262134 CTQ262134:CTS262134 DDM262134:DDO262134 DNI262134:DNK262134 DXE262134:DXG262134 EHA262134:EHC262134 EQW262134:EQY262134 FAS262134:FAU262134 FKO262134:FKQ262134 FUK262134:FUM262134 GEG262134:GEI262134 GOC262134:GOE262134 GXY262134:GYA262134 HHU262134:HHW262134 HRQ262134:HRS262134 IBM262134:IBO262134 ILI262134:ILK262134 IVE262134:IVG262134 JFA262134:JFC262134 JOW262134:JOY262134 JYS262134:JYU262134 KIO262134:KIQ262134 KSK262134:KSM262134 LCG262134:LCI262134 LMC262134:LME262134 LVY262134:LWA262134 MFU262134:MFW262134 MPQ262134:MPS262134 MZM262134:MZO262134 NJI262134:NJK262134 NTE262134:NTG262134 ODA262134:ODC262134 OMW262134:OMY262134 OWS262134:OWU262134 PGO262134:PGQ262134 PQK262134:PQM262134 QAG262134:QAI262134 QKC262134:QKE262134 QTY262134:QUA262134 RDU262134:RDW262134 RNQ262134:RNS262134 RXM262134:RXO262134 SHI262134:SHK262134 SRE262134:SRG262134 TBA262134:TBC262134 TKW262134:TKY262134 TUS262134:TUU262134 UEO262134:UEQ262134 UOK262134:UOM262134 UYG262134:UYI262134 VIC262134:VIE262134 VRY262134:VSA262134 WBU262134:WBW262134 WLQ262134:WLS262134 WVM262134:WVO262134 G327670:I327670 JA327670:JC327670 SW327670:SY327670 ACS327670:ACU327670 AMO327670:AMQ327670 AWK327670:AWM327670 BGG327670:BGI327670 BQC327670:BQE327670 BZY327670:CAA327670 CJU327670:CJW327670 CTQ327670:CTS327670 DDM327670:DDO327670 DNI327670:DNK327670 DXE327670:DXG327670 EHA327670:EHC327670 EQW327670:EQY327670 FAS327670:FAU327670 FKO327670:FKQ327670 FUK327670:FUM327670 GEG327670:GEI327670 GOC327670:GOE327670 GXY327670:GYA327670 HHU327670:HHW327670 HRQ327670:HRS327670 IBM327670:IBO327670 ILI327670:ILK327670 IVE327670:IVG327670 JFA327670:JFC327670 JOW327670:JOY327670 JYS327670:JYU327670 KIO327670:KIQ327670 KSK327670:KSM327670 LCG327670:LCI327670 LMC327670:LME327670 LVY327670:LWA327670 MFU327670:MFW327670 MPQ327670:MPS327670 MZM327670:MZO327670 NJI327670:NJK327670 NTE327670:NTG327670 ODA327670:ODC327670 OMW327670:OMY327670 OWS327670:OWU327670 PGO327670:PGQ327670 PQK327670:PQM327670 QAG327670:QAI327670 QKC327670:QKE327670 QTY327670:QUA327670 RDU327670:RDW327670 RNQ327670:RNS327670 RXM327670:RXO327670 SHI327670:SHK327670 SRE327670:SRG327670 TBA327670:TBC327670 TKW327670:TKY327670 TUS327670:TUU327670 UEO327670:UEQ327670 UOK327670:UOM327670 UYG327670:UYI327670 VIC327670:VIE327670 VRY327670:VSA327670 WBU327670:WBW327670 WLQ327670:WLS327670 WVM327670:WVO327670 G393206:I393206 JA393206:JC393206 SW393206:SY393206 ACS393206:ACU393206 AMO393206:AMQ393206 AWK393206:AWM393206 BGG393206:BGI393206 BQC393206:BQE393206 BZY393206:CAA393206 CJU393206:CJW393206 CTQ393206:CTS393206 DDM393206:DDO393206 DNI393206:DNK393206 DXE393206:DXG393206 EHA393206:EHC393206 EQW393206:EQY393206 FAS393206:FAU393206 FKO393206:FKQ393206 FUK393206:FUM393206 GEG393206:GEI393206 GOC393206:GOE393206 GXY393206:GYA393206 HHU393206:HHW393206 HRQ393206:HRS393206 IBM393206:IBO393206 ILI393206:ILK393206 IVE393206:IVG393206 JFA393206:JFC393206 JOW393206:JOY393206 JYS393206:JYU393206 KIO393206:KIQ393206 KSK393206:KSM393206 LCG393206:LCI393206 LMC393206:LME393206 LVY393206:LWA393206 MFU393206:MFW393206 MPQ393206:MPS393206 MZM393206:MZO393206 NJI393206:NJK393206 NTE393206:NTG393206 ODA393206:ODC393206 OMW393206:OMY393206 OWS393206:OWU393206 PGO393206:PGQ393206 PQK393206:PQM393206 QAG393206:QAI393206 QKC393206:QKE393206 QTY393206:QUA393206 RDU393206:RDW393206 RNQ393206:RNS393206 RXM393206:RXO393206 SHI393206:SHK393206 SRE393206:SRG393206 TBA393206:TBC393206 TKW393206:TKY393206 TUS393206:TUU393206 UEO393206:UEQ393206 UOK393206:UOM393206 UYG393206:UYI393206 VIC393206:VIE393206 VRY393206:VSA393206 WBU393206:WBW393206 WLQ393206:WLS393206 WVM393206:WVO393206 G458742:I458742 JA458742:JC458742 SW458742:SY458742 ACS458742:ACU458742 AMO458742:AMQ458742 AWK458742:AWM458742 BGG458742:BGI458742 BQC458742:BQE458742 BZY458742:CAA458742 CJU458742:CJW458742 CTQ458742:CTS458742 DDM458742:DDO458742 DNI458742:DNK458742 DXE458742:DXG458742 EHA458742:EHC458742 EQW458742:EQY458742 FAS458742:FAU458742 FKO458742:FKQ458742 FUK458742:FUM458742 GEG458742:GEI458742 GOC458742:GOE458742 GXY458742:GYA458742 HHU458742:HHW458742 HRQ458742:HRS458742 IBM458742:IBO458742 ILI458742:ILK458742 IVE458742:IVG458742 JFA458742:JFC458742 JOW458742:JOY458742 JYS458742:JYU458742 KIO458742:KIQ458742 KSK458742:KSM458742 LCG458742:LCI458742 LMC458742:LME458742 LVY458742:LWA458742 MFU458742:MFW458742 MPQ458742:MPS458742 MZM458742:MZO458742 NJI458742:NJK458742 NTE458742:NTG458742 ODA458742:ODC458742 OMW458742:OMY458742 OWS458742:OWU458742 PGO458742:PGQ458742 PQK458742:PQM458742 QAG458742:QAI458742 QKC458742:QKE458742 QTY458742:QUA458742 RDU458742:RDW458742 RNQ458742:RNS458742 RXM458742:RXO458742 SHI458742:SHK458742 SRE458742:SRG458742 TBA458742:TBC458742 TKW458742:TKY458742 TUS458742:TUU458742 UEO458742:UEQ458742 UOK458742:UOM458742 UYG458742:UYI458742 VIC458742:VIE458742 VRY458742:VSA458742 WBU458742:WBW458742 WLQ458742:WLS458742 WVM458742:WVO458742 G524278:I524278 JA524278:JC524278 SW524278:SY524278 ACS524278:ACU524278 AMO524278:AMQ524278 AWK524278:AWM524278 BGG524278:BGI524278 BQC524278:BQE524278 BZY524278:CAA524278 CJU524278:CJW524278 CTQ524278:CTS524278 DDM524278:DDO524278 DNI524278:DNK524278 DXE524278:DXG524278 EHA524278:EHC524278 EQW524278:EQY524278 FAS524278:FAU524278 FKO524278:FKQ524278 FUK524278:FUM524278 GEG524278:GEI524278 GOC524278:GOE524278 GXY524278:GYA524278 HHU524278:HHW524278 HRQ524278:HRS524278 IBM524278:IBO524278 ILI524278:ILK524278 IVE524278:IVG524278 JFA524278:JFC524278 JOW524278:JOY524278 JYS524278:JYU524278 KIO524278:KIQ524278 KSK524278:KSM524278 LCG524278:LCI524278 LMC524278:LME524278 LVY524278:LWA524278 MFU524278:MFW524278 MPQ524278:MPS524278 MZM524278:MZO524278 NJI524278:NJK524278 NTE524278:NTG524278 ODA524278:ODC524278 OMW524278:OMY524278 OWS524278:OWU524278 PGO524278:PGQ524278 PQK524278:PQM524278 QAG524278:QAI524278 QKC524278:QKE524278 QTY524278:QUA524278 RDU524278:RDW524278 RNQ524278:RNS524278 RXM524278:RXO524278 SHI524278:SHK524278 SRE524278:SRG524278 TBA524278:TBC524278 TKW524278:TKY524278 TUS524278:TUU524278 UEO524278:UEQ524278 UOK524278:UOM524278 UYG524278:UYI524278 VIC524278:VIE524278 VRY524278:VSA524278 WBU524278:WBW524278 WLQ524278:WLS524278 WVM524278:WVO524278 G589814:I589814 JA589814:JC589814 SW589814:SY589814 ACS589814:ACU589814 AMO589814:AMQ589814 AWK589814:AWM589814 BGG589814:BGI589814 BQC589814:BQE589814 BZY589814:CAA589814 CJU589814:CJW589814 CTQ589814:CTS589814 DDM589814:DDO589814 DNI589814:DNK589814 DXE589814:DXG589814 EHA589814:EHC589814 EQW589814:EQY589814 FAS589814:FAU589814 FKO589814:FKQ589814 FUK589814:FUM589814 GEG589814:GEI589814 GOC589814:GOE589814 GXY589814:GYA589814 HHU589814:HHW589814 HRQ589814:HRS589814 IBM589814:IBO589814 ILI589814:ILK589814 IVE589814:IVG589814 JFA589814:JFC589814 JOW589814:JOY589814 JYS589814:JYU589814 KIO589814:KIQ589814 KSK589814:KSM589814 LCG589814:LCI589814 LMC589814:LME589814 LVY589814:LWA589814 MFU589814:MFW589814 MPQ589814:MPS589814 MZM589814:MZO589814 NJI589814:NJK589814 NTE589814:NTG589814 ODA589814:ODC589814 OMW589814:OMY589814 OWS589814:OWU589814 PGO589814:PGQ589814 PQK589814:PQM589814 QAG589814:QAI589814 QKC589814:QKE589814 QTY589814:QUA589814 RDU589814:RDW589814 RNQ589814:RNS589814 RXM589814:RXO589814 SHI589814:SHK589814 SRE589814:SRG589814 TBA589814:TBC589814 TKW589814:TKY589814 TUS589814:TUU589814 UEO589814:UEQ589814 UOK589814:UOM589814 UYG589814:UYI589814 VIC589814:VIE589814 VRY589814:VSA589814 WBU589814:WBW589814 WLQ589814:WLS589814 WVM589814:WVO589814 G655350:I655350 JA655350:JC655350 SW655350:SY655350 ACS655350:ACU655350 AMO655350:AMQ655350 AWK655350:AWM655350 BGG655350:BGI655350 BQC655350:BQE655350 BZY655350:CAA655350 CJU655350:CJW655350 CTQ655350:CTS655350 DDM655350:DDO655350 DNI655350:DNK655350 DXE655350:DXG655350 EHA655350:EHC655350 EQW655350:EQY655350 FAS655350:FAU655350 FKO655350:FKQ655350 FUK655350:FUM655350 GEG655350:GEI655350 GOC655350:GOE655350 GXY655350:GYA655350 HHU655350:HHW655350 HRQ655350:HRS655350 IBM655350:IBO655350 ILI655350:ILK655350 IVE655350:IVG655350 JFA655350:JFC655350 JOW655350:JOY655350 JYS655350:JYU655350 KIO655350:KIQ655350 KSK655350:KSM655350 LCG655350:LCI655350 LMC655350:LME655350 LVY655350:LWA655350 MFU655350:MFW655350 MPQ655350:MPS655350 MZM655350:MZO655350 NJI655350:NJK655350 NTE655350:NTG655350 ODA655350:ODC655350 OMW655350:OMY655350 OWS655350:OWU655350 PGO655350:PGQ655350 PQK655350:PQM655350 QAG655350:QAI655350 QKC655350:QKE655350 QTY655350:QUA655350 RDU655350:RDW655350 RNQ655350:RNS655350 RXM655350:RXO655350 SHI655350:SHK655350 SRE655350:SRG655350 TBA655350:TBC655350 TKW655350:TKY655350 TUS655350:TUU655350 UEO655350:UEQ655350 UOK655350:UOM655350 UYG655350:UYI655350 VIC655350:VIE655350 VRY655350:VSA655350 WBU655350:WBW655350 WLQ655350:WLS655350 WVM655350:WVO655350 G720886:I720886 JA720886:JC720886 SW720886:SY720886 ACS720886:ACU720886 AMO720886:AMQ720886 AWK720886:AWM720886 BGG720886:BGI720886 BQC720886:BQE720886 BZY720886:CAA720886 CJU720886:CJW720886 CTQ720886:CTS720886 DDM720886:DDO720886 DNI720886:DNK720886 DXE720886:DXG720886 EHA720886:EHC720886 EQW720886:EQY720886 FAS720886:FAU720886 FKO720886:FKQ720886 FUK720886:FUM720886 GEG720886:GEI720886 GOC720886:GOE720886 GXY720886:GYA720886 HHU720886:HHW720886 HRQ720886:HRS720886 IBM720886:IBO720886 ILI720886:ILK720886 IVE720886:IVG720886 JFA720886:JFC720886 JOW720886:JOY720886 JYS720886:JYU720886 KIO720886:KIQ720886 KSK720886:KSM720886 LCG720886:LCI720886 LMC720886:LME720886 LVY720886:LWA720886 MFU720886:MFW720886 MPQ720886:MPS720886 MZM720886:MZO720886 NJI720886:NJK720886 NTE720886:NTG720886 ODA720886:ODC720886 OMW720886:OMY720886 OWS720886:OWU720886 PGO720886:PGQ720886 PQK720886:PQM720886 QAG720886:QAI720886 QKC720886:QKE720886 QTY720886:QUA720886 RDU720886:RDW720886 RNQ720886:RNS720886 RXM720886:RXO720886 SHI720886:SHK720886 SRE720886:SRG720886 TBA720886:TBC720886 TKW720886:TKY720886 TUS720886:TUU720886 UEO720886:UEQ720886 UOK720886:UOM720886 UYG720886:UYI720886 VIC720886:VIE720886 VRY720886:VSA720886 WBU720886:WBW720886 WLQ720886:WLS720886 WVM720886:WVO720886 G786422:I786422 JA786422:JC786422 SW786422:SY786422 ACS786422:ACU786422 AMO786422:AMQ786422 AWK786422:AWM786422 BGG786422:BGI786422 BQC786422:BQE786422 BZY786422:CAA786422 CJU786422:CJW786422 CTQ786422:CTS786422 DDM786422:DDO786422 DNI786422:DNK786422 DXE786422:DXG786422 EHA786422:EHC786422 EQW786422:EQY786422 FAS786422:FAU786422 FKO786422:FKQ786422 FUK786422:FUM786422 GEG786422:GEI786422 GOC786422:GOE786422 GXY786422:GYA786422 HHU786422:HHW786422 HRQ786422:HRS786422 IBM786422:IBO786422 ILI786422:ILK786422 IVE786422:IVG786422 JFA786422:JFC786422 JOW786422:JOY786422 JYS786422:JYU786422 KIO786422:KIQ786422 KSK786422:KSM786422 LCG786422:LCI786422 LMC786422:LME786422 LVY786422:LWA786422 MFU786422:MFW786422 MPQ786422:MPS786422 MZM786422:MZO786422 NJI786422:NJK786422 NTE786422:NTG786422 ODA786422:ODC786422 OMW786422:OMY786422 OWS786422:OWU786422 PGO786422:PGQ786422 PQK786422:PQM786422 QAG786422:QAI786422 QKC786422:QKE786422 QTY786422:QUA786422 RDU786422:RDW786422 RNQ786422:RNS786422 RXM786422:RXO786422 SHI786422:SHK786422 SRE786422:SRG786422 TBA786422:TBC786422 TKW786422:TKY786422 TUS786422:TUU786422 UEO786422:UEQ786422 UOK786422:UOM786422 UYG786422:UYI786422 VIC786422:VIE786422 VRY786422:VSA786422 WBU786422:WBW786422 WLQ786422:WLS786422 WVM786422:WVO786422 G851958:I851958 JA851958:JC851958 SW851958:SY851958 ACS851958:ACU851958 AMO851958:AMQ851958 AWK851958:AWM851958 BGG851958:BGI851958 BQC851958:BQE851958 BZY851958:CAA851958 CJU851958:CJW851958 CTQ851958:CTS851958 DDM851958:DDO851958 DNI851958:DNK851958 DXE851958:DXG851958 EHA851958:EHC851958 EQW851958:EQY851958 FAS851958:FAU851958 FKO851958:FKQ851958 FUK851958:FUM851958 GEG851958:GEI851958 GOC851958:GOE851958 GXY851958:GYA851958 HHU851958:HHW851958 HRQ851958:HRS851958 IBM851958:IBO851958 ILI851958:ILK851958 IVE851958:IVG851958 JFA851958:JFC851958 JOW851958:JOY851958 JYS851958:JYU851958 KIO851958:KIQ851958 KSK851958:KSM851958 LCG851958:LCI851958 LMC851958:LME851958 LVY851958:LWA851958 MFU851958:MFW851958 MPQ851958:MPS851958 MZM851958:MZO851958 NJI851958:NJK851958 NTE851958:NTG851958 ODA851958:ODC851958 OMW851958:OMY851958 OWS851958:OWU851958 PGO851958:PGQ851958 PQK851958:PQM851958 QAG851958:QAI851958 QKC851958:QKE851958 QTY851958:QUA851958 RDU851958:RDW851958 RNQ851958:RNS851958 RXM851958:RXO851958 SHI851958:SHK851958 SRE851958:SRG851958 TBA851958:TBC851958 TKW851958:TKY851958 TUS851958:TUU851958 UEO851958:UEQ851958 UOK851958:UOM851958 UYG851958:UYI851958 VIC851958:VIE851958 VRY851958:VSA851958 WBU851958:WBW851958 WLQ851958:WLS851958 WVM851958:WVO851958 G917494:I917494 JA917494:JC917494 SW917494:SY917494 ACS917494:ACU917494 AMO917494:AMQ917494 AWK917494:AWM917494 BGG917494:BGI917494 BQC917494:BQE917494 BZY917494:CAA917494 CJU917494:CJW917494 CTQ917494:CTS917494 DDM917494:DDO917494 DNI917494:DNK917494 DXE917494:DXG917494 EHA917494:EHC917494 EQW917494:EQY917494 FAS917494:FAU917494 FKO917494:FKQ917494 FUK917494:FUM917494 GEG917494:GEI917494 GOC917494:GOE917494 GXY917494:GYA917494 HHU917494:HHW917494 HRQ917494:HRS917494 IBM917494:IBO917494 ILI917494:ILK917494 IVE917494:IVG917494 JFA917494:JFC917494 JOW917494:JOY917494 JYS917494:JYU917494 KIO917494:KIQ917494 KSK917494:KSM917494 LCG917494:LCI917494 LMC917494:LME917494 LVY917494:LWA917494 MFU917494:MFW917494 MPQ917494:MPS917494 MZM917494:MZO917494 NJI917494:NJK917494 NTE917494:NTG917494 ODA917494:ODC917494 OMW917494:OMY917494 OWS917494:OWU917494 PGO917494:PGQ917494 PQK917494:PQM917494 QAG917494:QAI917494 QKC917494:QKE917494 QTY917494:QUA917494 RDU917494:RDW917494 RNQ917494:RNS917494 RXM917494:RXO917494 SHI917494:SHK917494 SRE917494:SRG917494 TBA917494:TBC917494 TKW917494:TKY917494 TUS917494:TUU917494 UEO917494:UEQ917494 UOK917494:UOM917494 UYG917494:UYI917494 VIC917494:VIE917494 VRY917494:VSA917494 WBU917494:WBW917494 WLQ917494:WLS917494 WVM917494:WVO917494 G983030:I983030 JA983030:JC983030 SW983030:SY983030 ACS983030:ACU983030 AMO983030:AMQ983030 AWK983030:AWM983030 BGG983030:BGI983030 BQC983030:BQE983030 BZY983030:CAA983030 CJU983030:CJW983030 CTQ983030:CTS983030 DDM983030:DDO983030 DNI983030:DNK983030 DXE983030:DXG983030 EHA983030:EHC983030 EQW983030:EQY983030 FAS983030:FAU983030 FKO983030:FKQ983030 FUK983030:FUM983030 GEG983030:GEI983030 GOC983030:GOE983030 GXY983030:GYA983030 HHU983030:HHW983030 HRQ983030:HRS983030 IBM983030:IBO983030 ILI983030:ILK983030 IVE983030:IVG983030 JFA983030:JFC983030 JOW983030:JOY983030 JYS983030:JYU983030 KIO983030:KIQ983030 KSK983030:KSM983030 LCG983030:LCI983030 LMC983030:LME983030 LVY983030:LWA983030 MFU983030:MFW983030 MPQ983030:MPS983030 MZM983030:MZO983030 NJI983030:NJK983030 NTE983030:NTG983030 ODA983030:ODC983030 OMW983030:OMY983030 OWS983030:OWU983030 PGO983030:PGQ983030 PQK983030:PQM983030 QAG983030:QAI983030 QKC983030:QKE983030 QTY983030:QUA983030 RDU983030:RDW983030 RNQ983030:RNS983030 RXM983030:RXO983030 SHI983030:SHK983030 SRE983030:SRG983030 TBA983030:TBC983030 TKW983030:TKY983030 TUS983030:TUU983030 UEO983030:UEQ983030 UOK983030:UOM983030 UYG983030:UYI983030 VIC983030:VIE983030 VRY983030:VSA983030 WBU983030:WBW983030 WLQ983030:WLS983030 WVM983030:WVO983030 G65539:I65539 JA65539:JC65539 SW65539:SY65539 ACS65539:ACU65539 AMO65539:AMQ65539 AWK65539:AWM65539 BGG65539:BGI65539 BQC65539:BQE65539 BZY65539:CAA65539 CJU65539:CJW65539 CTQ65539:CTS65539 DDM65539:DDO65539 DNI65539:DNK65539 DXE65539:DXG65539 EHA65539:EHC65539 EQW65539:EQY65539 FAS65539:FAU65539 FKO65539:FKQ65539 FUK65539:FUM65539 GEG65539:GEI65539 GOC65539:GOE65539 GXY65539:GYA65539 HHU65539:HHW65539 HRQ65539:HRS65539 IBM65539:IBO65539 ILI65539:ILK65539 IVE65539:IVG65539 JFA65539:JFC65539 JOW65539:JOY65539 JYS65539:JYU65539 KIO65539:KIQ65539 KSK65539:KSM65539 LCG65539:LCI65539 LMC65539:LME65539 LVY65539:LWA65539 MFU65539:MFW65539 MPQ65539:MPS65539 MZM65539:MZO65539 NJI65539:NJK65539 NTE65539:NTG65539 ODA65539:ODC65539 OMW65539:OMY65539 OWS65539:OWU65539 PGO65539:PGQ65539 PQK65539:PQM65539 QAG65539:QAI65539 QKC65539:QKE65539 QTY65539:QUA65539 RDU65539:RDW65539 RNQ65539:RNS65539 RXM65539:RXO65539 SHI65539:SHK65539 SRE65539:SRG65539 TBA65539:TBC65539 TKW65539:TKY65539 TUS65539:TUU65539 UEO65539:UEQ65539 UOK65539:UOM65539 UYG65539:UYI65539 VIC65539:VIE65539 VRY65539:VSA65539 WBU65539:WBW65539 WLQ65539:WLS65539 WVM65539:WVO65539 G131075:I131075 JA131075:JC131075 SW131075:SY131075 ACS131075:ACU131075 AMO131075:AMQ131075 AWK131075:AWM131075 BGG131075:BGI131075 BQC131075:BQE131075 BZY131075:CAA131075 CJU131075:CJW131075 CTQ131075:CTS131075 DDM131075:DDO131075 DNI131075:DNK131075 DXE131075:DXG131075 EHA131075:EHC131075 EQW131075:EQY131075 FAS131075:FAU131075 FKO131075:FKQ131075 FUK131075:FUM131075 GEG131075:GEI131075 GOC131075:GOE131075 GXY131075:GYA131075 HHU131075:HHW131075 HRQ131075:HRS131075 IBM131075:IBO131075 ILI131075:ILK131075 IVE131075:IVG131075 JFA131075:JFC131075 JOW131075:JOY131075 JYS131075:JYU131075 KIO131075:KIQ131075 KSK131075:KSM131075 LCG131075:LCI131075 LMC131075:LME131075 LVY131075:LWA131075 MFU131075:MFW131075 MPQ131075:MPS131075 MZM131075:MZO131075 NJI131075:NJK131075 NTE131075:NTG131075 ODA131075:ODC131075 OMW131075:OMY131075 OWS131075:OWU131075 PGO131075:PGQ131075 PQK131075:PQM131075 QAG131075:QAI131075 QKC131075:QKE131075 QTY131075:QUA131075 RDU131075:RDW131075 RNQ131075:RNS131075 RXM131075:RXO131075 SHI131075:SHK131075 SRE131075:SRG131075 TBA131075:TBC131075 TKW131075:TKY131075 TUS131075:TUU131075 UEO131075:UEQ131075 UOK131075:UOM131075 UYG131075:UYI131075 VIC131075:VIE131075 VRY131075:VSA131075 WBU131075:WBW131075 WLQ131075:WLS131075 WVM131075:WVO131075 G196611:I196611 JA196611:JC196611 SW196611:SY196611 ACS196611:ACU196611 AMO196611:AMQ196611 AWK196611:AWM196611 BGG196611:BGI196611 BQC196611:BQE196611 BZY196611:CAA196611 CJU196611:CJW196611 CTQ196611:CTS196611 DDM196611:DDO196611 DNI196611:DNK196611 DXE196611:DXG196611 EHA196611:EHC196611 EQW196611:EQY196611 FAS196611:FAU196611 FKO196611:FKQ196611 FUK196611:FUM196611 GEG196611:GEI196611 GOC196611:GOE196611 GXY196611:GYA196611 HHU196611:HHW196611 HRQ196611:HRS196611 IBM196611:IBO196611 ILI196611:ILK196611 IVE196611:IVG196611 JFA196611:JFC196611 JOW196611:JOY196611 JYS196611:JYU196611 KIO196611:KIQ196611 KSK196611:KSM196611 LCG196611:LCI196611 LMC196611:LME196611 LVY196611:LWA196611 MFU196611:MFW196611 MPQ196611:MPS196611 MZM196611:MZO196611 NJI196611:NJK196611 NTE196611:NTG196611 ODA196611:ODC196611 OMW196611:OMY196611 OWS196611:OWU196611 PGO196611:PGQ196611 PQK196611:PQM196611 QAG196611:QAI196611 QKC196611:QKE196611 QTY196611:QUA196611 RDU196611:RDW196611 RNQ196611:RNS196611 RXM196611:RXO196611 SHI196611:SHK196611 SRE196611:SRG196611 TBA196611:TBC196611 TKW196611:TKY196611 TUS196611:TUU196611 UEO196611:UEQ196611 UOK196611:UOM196611 UYG196611:UYI196611 VIC196611:VIE196611 VRY196611:VSA196611 WBU196611:WBW196611 WLQ196611:WLS196611 WVM196611:WVO196611 G262147:I262147 JA262147:JC262147 SW262147:SY262147 ACS262147:ACU262147 AMO262147:AMQ262147 AWK262147:AWM262147 BGG262147:BGI262147 BQC262147:BQE262147 BZY262147:CAA262147 CJU262147:CJW262147 CTQ262147:CTS262147 DDM262147:DDO262147 DNI262147:DNK262147 DXE262147:DXG262147 EHA262147:EHC262147 EQW262147:EQY262147 FAS262147:FAU262147 FKO262147:FKQ262147 FUK262147:FUM262147 GEG262147:GEI262147 GOC262147:GOE262147 GXY262147:GYA262147 HHU262147:HHW262147 HRQ262147:HRS262147 IBM262147:IBO262147 ILI262147:ILK262147 IVE262147:IVG262147 JFA262147:JFC262147 JOW262147:JOY262147 JYS262147:JYU262147 KIO262147:KIQ262147 KSK262147:KSM262147 LCG262147:LCI262147 LMC262147:LME262147 LVY262147:LWA262147 MFU262147:MFW262147 MPQ262147:MPS262147 MZM262147:MZO262147 NJI262147:NJK262147 NTE262147:NTG262147 ODA262147:ODC262147 OMW262147:OMY262147 OWS262147:OWU262147 PGO262147:PGQ262147 PQK262147:PQM262147 QAG262147:QAI262147 QKC262147:QKE262147 QTY262147:QUA262147 RDU262147:RDW262147 RNQ262147:RNS262147 RXM262147:RXO262147 SHI262147:SHK262147 SRE262147:SRG262147 TBA262147:TBC262147 TKW262147:TKY262147 TUS262147:TUU262147 UEO262147:UEQ262147 UOK262147:UOM262147 UYG262147:UYI262147 VIC262147:VIE262147 VRY262147:VSA262147 WBU262147:WBW262147 WLQ262147:WLS262147 WVM262147:WVO262147 G327683:I327683 JA327683:JC327683 SW327683:SY327683 ACS327683:ACU327683 AMO327683:AMQ327683 AWK327683:AWM327683 BGG327683:BGI327683 BQC327683:BQE327683 BZY327683:CAA327683 CJU327683:CJW327683 CTQ327683:CTS327683 DDM327683:DDO327683 DNI327683:DNK327683 DXE327683:DXG327683 EHA327683:EHC327683 EQW327683:EQY327683 FAS327683:FAU327683 FKO327683:FKQ327683 FUK327683:FUM327683 GEG327683:GEI327683 GOC327683:GOE327683 GXY327683:GYA327683 HHU327683:HHW327683 HRQ327683:HRS327683 IBM327683:IBO327683 ILI327683:ILK327683 IVE327683:IVG327683 JFA327683:JFC327683 JOW327683:JOY327683 JYS327683:JYU327683 KIO327683:KIQ327683 KSK327683:KSM327683 LCG327683:LCI327683 LMC327683:LME327683 LVY327683:LWA327683 MFU327683:MFW327683 MPQ327683:MPS327683 MZM327683:MZO327683 NJI327683:NJK327683 NTE327683:NTG327683 ODA327683:ODC327683 OMW327683:OMY327683 OWS327683:OWU327683 PGO327683:PGQ327683 PQK327683:PQM327683 QAG327683:QAI327683 QKC327683:QKE327683 QTY327683:QUA327683 RDU327683:RDW327683 RNQ327683:RNS327683 RXM327683:RXO327683 SHI327683:SHK327683 SRE327683:SRG327683 TBA327683:TBC327683 TKW327683:TKY327683 TUS327683:TUU327683 UEO327683:UEQ327683 UOK327683:UOM327683 UYG327683:UYI327683 VIC327683:VIE327683 VRY327683:VSA327683 WBU327683:WBW327683 WLQ327683:WLS327683 WVM327683:WVO327683 G393219:I393219 JA393219:JC393219 SW393219:SY393219 ACS393219:ACU393219 AMO393219:AMQ393219 AWK393219:AWM393219 BGG393219:BGI393219 BQC393219:BQE393219 BZY393219:CAA393219 CJU393219:CJW393219 CTQ393219:CTS393219 DDM393219:DDO393219 DNI393219:DNK393219 DXE393219:DXG393219 EHA393219:EHC393219 EQW393219:EQY393219 FAS393219:FAU393219 FKO393219:FKQ393219 FUK393219:FUM393219 GEG393219:GEI393219 GOC393219:GOE393219 GXY393219:GYA393219 HHU393219:HHW393219 HRQ393219:HRS393219 IBM393219:IBO393219 ILI393219:ILK393219 IVE393219:IVG393219 JFA393219:JFC393219 JOW393219:JOY393219 JYS393219:JYU393219 KIO393219:KIQ393219 KSK393219:KSM393219 LCG393219:LCI393219 LMC393219:LME393219 LVY393219:LWA393219 MFU393219:MFW393219 MPQ393219:MPS393219 MZM393219:MZO393219 NJI393219:NJK393219 NTE393219:NTG393219 ODA393219:ODC393219 OMW393219:OMY393219 OWS393219:OWU393219 PGO393219:PGQ393219 PQK393219:PQM393219 QAG393219:QAI393219 QKC393219:QKE393219 QTY393219:QUA393219 RDU393219:RDW393219 RNQ393219:RNS393219 RXM393219:RXO393219 SHI393219:SHK393219 SRE393219:SRG393219 TBA393219:TBC393219 TKW393219:TKY393219 TUS393219:TUU393219 UEO393219:UEQ393219 UOK393219:UOM393219 UYG393219:UYI393219 VIC393219:VIE393219 VRY393219:VSA393219 WBU393219:WBW393219 WLQ393219:WLS393219 WVM393219:WVO393219 G458755:I458755 JA458755:JC458755 SW458755:SY458755 ACS458755:ACU458755 AMO458755:AMQ458755 AWK458755:AWM458755 BGG458755:BGI458755 BQC458755:BQE458755 BZY458755:CAA458755 CJU458755:CJW458755 CTQ458755:CTS458755 DDM458755:DDO458755 DNI458755:DNK458755 DXE458755:DXG458755 EHA458755:EHC458755 EQW458755:EQY458755 FAS458755:FAU458755 FKO458755:FKQ458755 FUK458755:FUM458755 GEG458755:GEI458755 GOC458755:GOE458755 GXY458755:GYA458755 HHU458755:HHW458755 HRQ458755:HRS458755 IBM458755:IBO458755 ILI458755:ILK458755 IVE458755:IVG458755 JFA458755:JFC458755 JOW458755:JOY458755 JYS458755:JYU458755 KIO458755:KIQ458755 KSK458755:KSM458755 LCG458755:LCI458755 LMC458755:LME458755 LVY458755:LWA458755 MFU458755:MFW458755 MPQ458755:MPS458755 MZM458755:MZO458755 NJI458755:NJK458755 NTE458755:NTG458755 ODA458755:ODC458755 OMW458755:OMY458755 OWS458755:OWU458755 PGO458755:PGQ458755 PQK458755:PQM458755 QAG458755:QAI458755 QKC458755:QKE458755 QTY458755:QUA458755 RDU458755:RDW458755 RNQ458755:RNS458755 RXM458755:RXO458755 SHI458755:SHK458755 SRE458755:SRG458755 TBA458755:TBC458755 TKW458755:TKY458755 TUS458755:TUU458755 UEO458755:UEQ458755 UOK458755:UOM458755 UYG458755:UYI458755 VIC458755:VIE458755 VRY458755:VSA458755 WBU458755:WBW458755 WLQ458755:WLS458755 WVM458755:WVO458755 G524291:I524291 JA524291:JC524291 SW524291:SY524291 ACS524291:ACU524291 AMO524291:AMQ524291 AWK524291:AWM524291 BGG524291:BGI524291 BQC524291:BQE524291 BZY524291:CAA524291 CJU524291:CJW524291 CTQ524291:CTS524291 DDM524291:DDO524291 DNI524291:DNK524291 DXE524291:DXG524291 EHA524291:EHC524291 EQW524291:EQY524291 FAS524291:FAU524291 FKO524291:FKQ524291 FUK524291:FUM524291 GEG524291:GEI524291 GOC524291:GOE524291 GXY524291:GYA524291 HHU524291:HHW524291 HRQ524291:HRS524291 IBM524291:IBO524291 ILI524291:ILK524291 IVE524291:IVG524291 JFA524291:JFC524291 JOW524291:JOY524291 JYS524291:JYU524291 KIO524291:KIQ524291 KSK524291:KSM524291 LCG524291:LCI524291 LMC524291:LME524291 LVY524291:LWA524291 MFU524291:MFW524291 MPQ524291:MPS524291 MZM524291:MZO524291 NJI524291:NJK524291 NTE524291:NTG524291 ODA524291:ODC524291 OMW524291:OMY524291 OWS524291:OWU524291 PGO524291:PGQ524291 PQK524291:PQM524291 QAG524291:QAI524291 QKC524291:QKE524291 QTY524291:QUA524291 RDU524291:RDW524291 RNQ524291:RNS524291 RXM524291:RXO524291 SHI524291:SHK524291 SRE524291:SRG524291 TBA524291:TBC524291 TKW524291:TKY524291 TUS524291:TUU524291 UEO524291:UEQ524291 UOK524291:UOM524291 UYG524291:UYI524291 VIC524291:VIE524291 VRY524291:VSA524291 WBU524291:WBW524291 WLQ524291:WLS524291 WVM524291:WVO524291 G589827:I589827 JA589827:JC589827 SW589827:SY589827 ACS589827:ACU589827 AMO589827:AMQ589827 AWK589827:AWM589827 BGG589827:BGI589827 BQC589827:BQE589827 BZY589827:CAA589827 CJU589827:CJW589827 CTQ589827:CTS589827 DDM589827:DDO589827 DNI589827:DNK589827 DXE589827:DXG589827 EHA589827:EHC589827 EQW589827:EQY589827 FAS589827:FAU589827 FKO589827:FKQ589827 FUK589827:FUM589827 GEG589827:GEI589827 GOC589827:GOE589827 GXY589827:GYA589827 HHU589827:HHW589827 HRQ589827:HRS589827 IBM589827:IBO589827 ILI589827:ILK589827 IVE589827:IVG589827 JFA589827:JFC589827 JOW589827:JOY589827 JYS589827:JYU589827 KIO589827:KIQ589827 KSK589827:KSM589827 LCG589827:LCI589827 LMC589827:LME589827 LVY589827:LWA589827 MFU589827:MFW589827 MPQ589827:MPS589827 MZM589827:MZO589827 NJI589827:NJK589827 NTE589827:NTG589827 ODA589827:ODC589827 OMW589827:OMY589827 OWS589827:OWU589827 PGO589827:PGQ589827 PQK589827:PQM589827 QAG589827:QAI589827 QKC589827:QKE589827 QTY589827:QUA589827 RDU589827:RDW589827 RNQ589827:RNS589827 RXM589827:RXO589827 SHI589827:SHK589827 SRE589827:SRG589827 TBA589827:TBC589827 TKW589827:TKY589827 TUS589827:TUU589827 UEO589827:UEQ589827 UOK589827:UOM589827 UYG589827:UYI589827 VIC589827:VIE589827 VRY589827:VSA589827 WBU589827:WBW589827 WLQ589827:WLS589827 WVM589827:WVO589827 G655363:I655363 JA655363:JC655363 SW655363:SY655363 ACS655363:ACU655363 AMO655363:AMQ655363 AWK655363:AWM655363 BGG655363:BGI655363 BQC655363:BQE655363 BZY655363:CAA655363 CJU655363:CJW655363 CTQ655363:CTS655363 DDM655363:DDO655363 DNI655363:DNK655363 DXE655363:DXG655363 EHA655363:EHC655363 EQW655363:EQY655363 FAS655363:FAU655363 FKO655363:FKQ655363 FUK655363:FUM655363 GEG655363:GEI655363 GOC655363:GOE655363 GXY655363:GYA655363 HHU655363:HHW655363 HRQ655363:HRS655363 IBM655363:IBO655363 ILI655363:ILK655363 IVE655363:IVG655363 JFA655363:JFC655363 JOW655363:JOY655363 JYS655363:JYU655363 KIO655363:KIQ655363 KSK655363:KSM655363 LCG655363:LCI655363 LMC655363:LME655363 LVY655363:LWA655363 MFU655363:MFW655363 MPQ655363:MPS655363 MZM655363:MZO655363 NJI655363:NJK655363 NTE655363:NTG655363 ODA655363:ODC655363 OMW655363:OMY655363 OWS655363:OWU655363 PGO655363:PGQ655363 PQK655363:PQM655363 QAG655363:QAI655363 QKC655363:QKE655363 QTY655363:QUA655363 RDU655363:RDW655363 RNQ655363:RNS655363 RXM655363:RXO655363 SHI655363:SHK655363 SRE655363:SRG655363 TBA655363:TBC655363 TKW655363:TKY655363 TUS655363:TUU655363 UEO655363:UEQ655363 UOK655363:UOM655363 UYG655363:UYI655363 VIC655363:VIE655363 VRY655363:VSA655363 WBU655363:WBW655363 WLQ655363:WLS655363 WVM655363:WVO655363 G720899:I720899 JA720899:JC720899 SW720899:SY720899 ACS720899:ACU720899 AMO720899:AMQ720899 AWK720899:AWM720899 BGG720899:BGI720899 BQC720899:BQE720899 BZY720899:CAA720899 CJU720899:CJW720899 CTQ720899:CTS720899 DDM720899:DDO720899 DNI720899:DNK720899 DXE720899:DXG720899 EHA720899:EHC720899 EQW720899:EQY720899 FAS720899:FAU720899 FKO720899:FKQ720899 FUK720899:FUM720899 GEG720899:GEI720899 GOC720899:GOE720899 GXY720899:GYA720899 HHU720899:HHW720899 HRQ720899:HRS720899 IBM720899:IBO720899 ILI720899:ILK720899 IVE720899:IVG720899 JFA720899:JFC720899 JOW720899:JOY720899 JYS720899:JYU720899 KIO720899:KIQ720899 KSK720899:KSM720899 LCG720899:LCI720899 LMC720899:LME720899 LVY720899:LWA720899 MFU720899:MFW720899 MPQ720899:MPS720899 MZM720899:MZO720899 NJI720899:NJK720899 NTE720899:NTG720899 ODA720899:ODC720899 OMW720899:OMY720899 OWS720899:OWU720899 PGO720899:PGQ720899 PQK720899:PQM720899 QAG720899:QAI720899 QKC720899:QKE720899 QTY720899:QUA720899 RDU720899:RDW720899 RNQ720899:RNS720899 RXM720899:RXO720899 SHI720899:SHK720899 SRE720899:SRG720899 TBA720899:TBC720899 TKW720899:TKY720899 TUS720899:TUU720899 UEO720899:UEQ720899 UOK720899:UOM720899 UYG720899:UYI720899 VIC720899:VIE720899 VRY720899:VSA720899 WBU720899:WBW720899 WLQ720899:WLS720899 WVM720899:WVO720899 G786435:I786435 JA786435:JC786435 SW786435:SY786435 ACS786435:ACU786435 AMO786435:AMQ786435 AWK786435:AWM786435 BGG786435:BGI786435 BQC786435:BQE786435 BZY786435:CAA786435 CJU786435:CJW786435 CTQ786435:CTS786435 DDM786435:DDO786435 DNI786435:DNK786435 DXE786435:DXG786435 EHA786435:EHC786435 EQW786435:EQY786435 FAS786435:FAU786435 FKO786435:FKQ786435 FUK786435:FUM786435 GEG786435:GEI786435 GOC786435:GOE786435 GXY786435:GYA786435 HHU786435:HHW786435 HRQ786435:HRS786435 IBM786435:IBO786435 ILI786435:ILK786435 IVE786435:IVG786435 JFA786435:JFC786435 JOW786435:JOY786435 JYS786435:JYU786435 KIO786435:KIQ786435 KSK786435:KSM786435 LCG786435:LCI786435 LMC786435:LME786435 LVY786435:LWA786435 MFU786435:MFW786435 MPQ786435:MPS786435 MZM786435:MZO786435 NJI786435:NJK786435 NTE786435:NTG786435 ODA786435:ODC786435 OMW786435:OMY786435 OWS786435:OWU786435 PGO786435:PGQ786435 PQK786435:PQM786435 QAG786435:QAI786435 QKC786435:QKE786435 QTY786435:QUA786435 RDU786435:RDW786435 RNQ786435:RNS786435 RXM786435:RXO786435 SHI786435:SHK786435 SRE786435:SRG786435 TBA786435:TBC786435 TKW786435:TKY786435 TUS786435:TUU786435 UEO786435:UEQ786435 UOK786435:UOM786435 UYG786435:UYI786435 VIC786435:VIE786435 VRY786435:VSA786435 WBU786435:WBW786435 WLQ786435:WLS786435 WVM786435:WVO786435 G851971:I851971 JA851971:JC851971 SW851971:SY851971 ACS851971:ACU851971 AMO851971:AMQ851971 AWK851971:AWM851971 BGG851971:BGI851971 BQC851971:BQE851971 BZY851971:CAA851971 CJU851971:CJW851971 CTQ851971:CTS851971 DDM851971:DDO851971 DNI851971:DNK851971 DXE851971:DXG851971 EHA851971:EHC851971 EQW851971:EQY851971 FAS851971:FAU851971 FKO851971:FKQ851971 FUK851971:FUM851971 GEG851971:GEI851971 GOC851971:GOE851971 GXY851971:GYA851971 HHU851971:HHW851971 HRQ851971:HRS851971 IBM851971:IBO851971 ILI851971:ILK851971 IVE851971:IVG851971 JFA851971:JFC851971 JOW851971:JOY851971 JYS851971:JYU851971 KIO851971:KIQ851971 KSK851971:KSM851971 LCG851971:LCI851971 LMC851971:LME851971 LVY851971:LWA851971 MFU851971:MFW851971 MPQ851971:MPS851971 MZM851971:MZO851971 NJI851971:NJK851971 NTE851971:NTG851971 ODA851971:ODC851971 OMW851971:OMY851971 OWS851971:OWU851971 PGO851971:PGQ851971 PQK851971:PQM851971 QAG851971:QAI851971 QKC851971:QKE851971 QTY851971:QUA851971 RDU851971:RDW851971 RNQ851971:RNS851971 RXM851971:RXO851971 SHI851971:SHK851971 SRE851971:SRG851971 TBA851971:TBC851971 TKW851971:TKY851971 TUS851971:TUU851971 UEO851971:UEQ851971 UOK851971:UOM851971 UYG851971:UYI851971 VIC851971:VIE851971 VRY851971:VSA851971 WBU851971:WBW851971 WLQ851971:WLS851971 WVM851971:WVO851971 G917507:I917507 JA917507:JC917507 SW917507:SY917507 ACS917507:ACU917507 AMO917507:AMQ917507 AWK917507:AWM917507 BGG917507:BGI917507 BQC917507:BQE917507 BZY917507:CAA917507 CJU917507:CJW917507 CTQ917507:CTS917507 DDM917507:DDO917507 DNI917507:DNK917507 DXE917507:DXG917507 EHA917507:EHC917507 EQW917507:EQY917507 FAS917507:FAU917507 FKO917507:FKQ917507 FUK917507:FUM917507 GEG917507:GEI917507 GOC917507:GOE917507 GXY917507:GYA917507 HHU917507:HHW917507 HRQ917507:HRS917507 IBM917507:IBO917507 ILI917507:ILK917507 IVE917507:IVG917507 JFA917507:JFC917507 JOW917507:JOY917507 JYS917507:JYU917507 KIO917507:KIQ917507 KSK917507:KSM917507 LCG917507:LCI917507 LMC917507:LME917507 LVY917507:LWA917507 MFU917507:MFW917507 MPQ917507:MPS917507 MZM917507:MZO917507 NJI917507:NJK917507 NTE917507:NTG917507 ODA917507:ODC917507 OMW917507:OMY917507 OWS917507:OWU917507 PGO917507:PGQ917507 PQK917507:PQM917507 QAG917507:QAI917507 QKC917507:QKE917507 QTY917507:QUA917507 RDU917507:RDW917507 RNQ917507:RNS917507 RXM917507:RXO917507 SHI917507:SHK917507 SRE917507:SRG917507 TBA917507:TBC917507 TKW917507:TKY917507 TUS917507:TUU917507 UEO917507:UEQ917507 UOK917507:UOM917507 UYG917507:UYI917507 VIC917507:VIE917507 VRY917507:VSA917507 WBU917507:WBW917507 WLQ917507:WLS917507 WVM917507:WVO917507 G983043:I983043 JA983043:JC983043 SW983043:SY983043 ACS983043:ACU983043 AMO983043:AMQ983043 AWK983043:AWM983043 BGG983043:BGI983043 BQC983043:BQE983043 BZY983043:CAA983043 CJU983043:CJW983043 CTQ983043:CTS983043 DDM983043:DDO983043 DNI983043:DNK983043 DXE983043:DXG983043 EHA983043:EHC983043 EQW983043:EQY983043 FAS983043:FAU983043 FKO983043:FKQ983043 FUK983043:FUM983043 GEG983043:GEI983043 GOC983043:GOE983043 GXY983043:GYA983043 HHU983043:HHW983043 HRQ983043:HRS983043 IBM983043:IBO983043 ILI983043:ILK983043 IVE983043:IVG983043 JFA983043:JFC983043 JOW983043:JOY983043 JYS983043:JYU983043 KIO983043:KIQ983043 KSK983043:KSM983043 LCG983043:LCI983043 LMC983043:LME983043 LVY983043:LWA983043 MFU983043:MFW983043 MPQ983043:MPS983043 MZM983043:MZO983043 NJI983043:NJK983043 NTE983043:NTG983043 ODA983043:ODC983043 OMW983043:OMY983043 OWS983043:OWU983043 PGO983043:PGQ983043 PQK983043:PQM983043 QAG983043:QAI983043 QKC983043:QKE983043 QTY983043:QUA983043 RDU983043:RDW983043 RNQ983043:RNS983043 RXM983043:RXO983043 SHI983043:SHK983043 SRE983043:SRG983043 TBA983043:TBC983043 TKW983043:TKY983043 TUS983043:TUU983043 UEO983043:UEQ983043 UOK983043:UOM983043 UYG983043:UYI983043 VIC983043:VIE983043 VRY983043:VSA983043" xr:uid="{00000000-0002-0000-1000-000001000000}">
      <formula1>Accnt_Holder</formula1>
    </dataValidation>
    <dataValidation type="list" allowBlank="1" showInputMessage="1" showErrorMessage="1" sqref="WVP983044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J65488 JD65488 SZ65488 ACV65488 AMR65488 AWN65488 BGJ65488 BQF65488 CAB65488 CJX65488 CTT65488 DDP65488 DNL65488 DXH65488 EHD65488 EQZ65488 FAV65488 FKR65488 FUN65488 GEJ65488 GOF65488 GYB65488 HHX65488 HRT65488 IBP65488 ILL65488 IVH65488 JFD65488 JOZ65488 JYV65488 KIR65488 KSN65488 LCJ65488 LMF65488 LWB65488 MFX65488 MPT65488 MZP65488 NJL65488 NTH65488 ODD65488 OMZ65488 OWV65488 PGR65488 PQN65488 QAJ65488 QKF65488 QUB65488 RDX65488 RNT65488 RXP65488 SHL65488 SRH65488 TBD65488 TKZ65488 TUV65488 UER65488 UON65488 UYJ65488 VIF65488 VSB65488 WBX65488 WLT65488 WVP65488 J131024 JD131024 SZ131024 ACV131024 AMR131024 AWN131024 BGJ131024 BQF131024 CAB131024 CJX131024 CTT131024 DDP131024 DNL131024 DXH131024 EHD131024 EQZ131024 FAV131024 FKR131024 FUN131024 GEJ131024 GOF131024 GYB131024 HHX131024 HRT131024 IBP131024 ILL131024 IVH131024 JFD131024 JOZ131024 JYV131024 KIR131024 KSN131024 LCJ131024 LMF131024 LWB131024 MFX131024 MPT131024 MZP131024 NJL131024 NTH131024 ODD131024 OMZ131024 OWV131024 PGR131024 PQN131024 QAJ131024 QKF131024 QUB131024 RDX131024 RNT131024 RXP131024 SHL131024 SRH131024 TBD131024 TKZ131024 TUV131024 UER131024 UON131024 UYJ131024 VIF131024 VSB131024 WBX131024 WLT131024 WVP131024 J196560 JD196560 SZ196560 ACV196560 AMR196560 AWN196560 BGJ196560 BQF196560 CAB196560 CJX196560 CTT196560 DDP196560 DNL196560 DXH196560 EHD196560 EQZ196560 FAV196560 FKR196560 FUN196560 GEJ196560 GOF196560 GYB196560 HHX196560 HRT196560 IBP196560 ILL196560 IVH196560 JFD196560 JOZ196560 JYV196560 KIR196560 KSN196560 LCJ196560 LMF196560 LWB196560 MFX196560 MPT196560 MZP196560 NJL196560 NTH196560 ODD196560 OMZ196560 OWV196560 PGR196560 PQN196560 QAJ196560 QKF196560 QUB196560 RDX196560 RNT196560 RXP196560 SHL196560 SRH196560 TBD196560 TKZ196560 TUV196560 UER196560 UON196560 UYJ196560 VIF196560 VSB196560 WBX196560 WLT196560 WVP196560 J262096 JD262096 SZ262096 ACV262096 AMR262096 AWN262096 BGJ262096 BQF262096 CAB262096 CJX262096 CTT262096 DDP262096 DNL262096 DXH262096 EHD262096 EQZ262096 FAV262096 FKR262096 FUN262096 GEJ262096 GOF262096 GYB262096 HHX262096 HRT262096 IBP262096 ILL262096 IVH262096 JFD262096 JOZ262096 JYV262096 KIR262096 KSN262096 LCJ262096 LMF262096 LWB262096 MFX262096 MPT262096 MZP262096 NJL262096 NTH262096 ODD262096 OMZ262096 OWV262096 PGR262096 PQN262096 QAJ262096 QKF262096 QUB262096 RDX262096 RNT262096 RXP262096 SHL262096 SRH262096 TBD262096 TKZ262096 TUV262096 UER262096 UON262096 UYJ262096 VIF262096 VSB262096 WBX262096 WLT262096 WVP262096 J327632 JD327632 SZ327632 ACV327632 AMR327632 AWN327632 BGJ327632 BQF327632 CAB327632 CJX327632 CTT327632 DDP327632 DNL327632 DXH327632 EHD327632 EQZ327632 FAV327632 FKR327632 FUN327632 GEJ327632 GOF327632 GYB327632 HHX327632 HRT327632 IBP327632 ILL327632 IVH327632 JFD327632 JOZ327632 JYV327632 KIR327632 KSN327632 LCJ327632 LMF327632 LWB327632 MFX327632 MPT327632 MZP327632 NJL327632 NTH327632 ODD327632 OMZ327632 OWV327632 PGR327632 PQN327632 QAJ327632 QKF327632 QUB327632 RDX327632 RNT327632 RXP327632 SHL327632 SRH327632 TBD327632 TKZ327632 TUV327632 UER327632 UON327632 UYJ327632 VIF327632 VSB327632 WBX327632 WLT327632 WVP327632 J393168 JD393168 SZ393168 ACV393168 AMR393168 AWN393168 BGJ393168 BQF393168 CAB393168 CJX393168 CTT393168 DDP393168 DNL393168 DXH393168 EHD393168 EQZ393168 FAV393168 FKR393168 FUN393168 GEJ393168 GOF393168 GYB393168 HHX393168 HRT393168 IBP393168 ILL393168 IVH393168 JFD393168 JOZ393168 JYV393168 KIR393168 KSN393168 LCJ393168 LMF393168 LWB393168 MFX393168 MPT393168 MZP393168 NJL393168 NTH393168 ODD393168 OMZ393168 OWV393168 PGR393168 PQN393168 QAJ393168 QKF393168 QUB393168 RDX393168 RNT393168 RXP393168 SHL393168 SRH393168 TBD393168 TKZ393168 TUV393168 UER393168 UON393168 UYJ393168 VIF393168 VSB393168 WBX393168 WLT393168 WVP393168 J458704 JD458704 SZ458704 ACV458704 AMR458704 AWN458704 BGJ458704 BQF458704 CAB458704 CJX458704 CTT458704 DDP458704 DNL458704 DXH458704 EHD458704 EQZ458704 FAV458704 FKR458704 FUN458704 GEJ458704 GOF458704 GYB458704 HHX458704 HRT458704 IBP458704 ILL458704 IVH458704 JFD458704 JOZ458704 JYV458704 KIR458704 KSN458704 LCJ458704 LMF458704 LWB458704 MFX458704 MPT458704 MZP458704 NJL458704 NTH458704 ODD458704 OMZ458704 OWV458704 PGR458704 PQN458704 QAJ458704 QKF458704 QUB458704 RDX458704 RNT458704 RXP458704 SHL458704 SRH458704 TBD458704 TKZ458704 TUV458704 UER458704 UON458704 UYJ458704 VIF458704 VSB458704 WBX458704 WLT458704 WVP458704 J524240 JD524240 SZ524240 ACV524240 AMR524240 AWN524240 BGJ524240 BQF524240 CAB524240 CJX524240 CTT524240 DDP524240 DNL524240 DXH524240 EHD524240 EQZ524240 FAV524240 FKR524240 FUN524240 GEJ524240 GOF524240 GYB524240 HHX524240 HRT524240 IBP524240 ILL524240 IVH524240 JFD524240 JOZ524240 JYV524240 KIR524240 KSN524240 LCJ524240 LMF524240 LWB524240 MFX524240 MPT524240 MZP524240 NJL524240 NTH524240 ODD524240 OMZ524240 OWV524240 PGR524240 PQN524240 QAJ524240 QKF524240 QUB524240 RDX524240 RNT524240 RXP524240 SHL524240 SRH524240 TBD524240 TKZ524240 TUV524240 UER524240 UON524240 UYJ524240 VIF524240 VSB524240 WBX524240 WLT524240 WVP524240 J589776 JD589776 SZ589776 ACV589776 AMR589776 AWN589776 BGJ589776 BQF589776 CAB589776 CJX589776 CTT589776 DDP589776 DNL589776 DXH589776 EHD589776 EQZ589776 FAV589776 FKR589776 FUN589776 GEJ589776 GOF589776 GYB589776 HHX589776 HRT589776 IBP589776 ILL589776 IVH589776 JFD589776 JOZ589776 JYV589776 KIR589776 KSN589776 LCJ589776 LMF589776 LWB589776 MFX589776 MPT589776 MZP589776 NJL589776 NTH589776 ODD589776 OMZ589776 OWV589776 PGR589776 PQN589776 QAJ589776 QKF589776 QUB589776 RDX589776 RNT589776 RXP589776 SHL589776 SRH589776 TBD589776 TKZ589776 TUV589776 UER589776 UON589776 UYJ589776 VIF589776 VSB589776 WBX589776 WLT589776 WVP589776 J655312 JD655312 SZ655312 ACV655312 AMR655312 AWN655312 BGJ655312 BQF655312 CAB655312 CJX655312 CTT655312 DDP655312 DNL655312 DXH655312 EHD655312 EQZ655312 FAV655312 FKR655312 FUN655312 GEJ655312 GOF655312 GYB655312 HHX655312 HRT655312 IBP655312 ILL655312 IVH655312 JFD655312 JOZ655312 JYV655312 KIR655312 KSN655312 LCJ655312 LMF655312 LWB655312 MFX655312 MPT655312 MZP655312 NJL655312 NTH655312 ODD655312 OMZ655312 OWV655312 PGR655312 PQN655312 QAJ655312 QKF655312 QUB655312 RDX655312 RNT655312 RXP655312 SHL655312 SRH655312 TBD655312 TKZ655312 TUV655312 UER655312 UON655312 UYJ655312 VIF655312 VSB655312 WBX655312 WLT655312 WVP655312 J720848 JD720848 SZ720848 ACV720848 AMR720848 AWN720848 BGJ720848 BQF720848 CAB720848 CJX720848 CTT720848 DDP720848 DNL720848 DXH720848 EHD720848 EQZ720848 FAV720848 FKR720848 FUN720848 GEJ720848 GOF720848 GYB720848 HHX720848 HRT720848 IBP720848 ILL720848 IVH720848 JFD720848 JOZ720848 JYV720848 KIR720848 KSN720848 LCJ720848 LMF720848 LWB720848 MFX720848 MPT720848 MZP720848 NJL720848 NTH720848 ODD720848 OMZ720848 OWV720848 PGR720848 PQN720848 QAJ720848 QKF720848 QUB720848 RDX720848 RNT720848 RXP720848 SHL720848 SRH720848 TBD720848 TKZ720848 TUV720848 UER720848 UON720848 UYJ720848 VIF720848 VSB720848 WBX720848 WLT720848 WVP720848 J786384 JD786384 SZ786384 ACV786384 AMR786384 AWN786384 BGJ786384 BQF786384 CAB786384 CJX786384 CTT786384 DDP786384 DNL786384 DXH786384 EHD786384 EQZ786384 FAV786384 FKR786384 FUN786384 GEJ786384 GOF786384 GYB786384 HHX786384 HRT786384 IBP786384 ILL786384 IVH786384 JFD786384 JOZ786384 JYV786384 KIR786384 KSN786384 LCJ786384 LMF786384 LWB786384 MFX786384 MPT786384 MZP786384 NJL786384 NTH786384 ODD786384 OMZ786384 OWV786384 PGR786384 PQN786384 QAJ786384 QKF786384 QUB786384 RDX786384 RNT786384 RXP786384 SHL786384 SRH786384 TBD786384 TKZ786384 TUV786384 UER786384 UON786384 UYJ786384 VIF786384 VSB786384 WBX786384 WLT786384 WVP786384 J851920 JD851920 SZ851920 ACV851920 AMR851920 AWN851920 BGJ851920 BQF851920 CAB851920 CJX851920 CTT851920 DDP851920 DNL851920 DXH851920 EHD851920 EQZ851920 FAV851920 FKR851920 FUN851920 GEJ851920 GOF851920 GYB851920 HHX851920 HRT851920 IBP851920 ILL851920 IVH851920 JFD851920 JOZ851920 JYV851920 KIR851920 KSN851920 LCJ851920 LMF851920 LWB851920 MFX851920 MPT851920 MZP851920 NJL851920 NTH851920 ODD851920 OMZ851920 OWV851920 PGR851920 PQN851920 QAJ851920 QKF851920 QUB851920 RDX851920 RNT851920 RXP851920 SHL851920 SRH851920 TBD851920 TKZ851920 TUV851920 UER851920 UON851920 UYJ851920 VIF851920 VSB851920 WBX851920 WLT851920 WVP851920 J917456 JD917456 SZ917456 ACV917456 AMR917456 AWN917456 BGJ917456 BQF917456 CAB917456 CJX917456 CTT917456 DDP917456 DNL917456 DXH917456 EHD917456 EQZ917456 FAV917456 FKR917456 FUN917456 GEJ917456 GOF917456 GYB917456 HHX917456 HRT917456 IBP917456 ILL917456 IVH917456 JFD917456 JOZ917456 JYV917456 KIR917456 KSN917456 LCJ917456 LMF917456 LWB917456 MFX917456 MPT917456 MZP917456 NJL917456 NTH917456 ODD917456 OMZ917456 OWV917456 PGR917456 PQN917456 QAJ917456 QKF917456 QUB917456 RDX917456 RNT917456 RXP917456 SHL917456 SRH917456 TBD917456 TKZ917456 TUV917456 UER917456 UON917456 UYJ917456 VIF917456 VSB917456 WBX917456 WLT917456 WVP917456 J982992 JD982992 SZ982992 ACV982992 AMR982992 AWN982992 BGJ982992 BQF982992 CAB982992 CJX982992 CTT982992 DDP982992 DNL982992 DXH982992 EHD982992 EQZ982992 FAV982992 FKR982992 FUN982992 GEJ982992 GOF982992 GYB982992 HHX982992 HRT982992 IBP982992 ILL982992 IVH982992 JFD982992 JOZ982992 JYV982992 KIR982992 KSN982992 LCJ982992 LMF982992 LWB982992 MFX982992 MPT982992 MZP982992 NJL982992 NTH982992 ODD982992 OMZ982992 OWV982992 PGR982992 PQN982992 QAJ982992 QKF982992 QUB982992 RDX982992 RNT982992 RXP982992 SHL982992 SRH982992 TBD982992 TKZ982992 TUV982992 UER982992 UON982992 UYJ982992 VIF982992 VSB982992 WBX982992 WLT982992 WVP982992 WLT983044 JD29 SZ29 ACV29 AMR29 AWN29 BGJ29 BQF29 CAB29 CJX29 CTT29 DDP29 DNL29 DXH29 EHD29 EQZ29 FAV29 FKR29 FUN29 GEJ29 GOF29 GYB29 HHX29 HRT29 IBP29 ILL29 IVH29 JFD29 JOZ29 JYV29 KIR29 KSN29 LCJ29 LMF29 LWB29 MFX29 MPT29 MZP29 NJL29 NTH29 ODD29 OMZ29 OWV29 PGR29 PQN29 QAJ29 QKF29 QUB29 RDX29 RNT29 RXP29 SHL29 SRH29 TBD29 TKZ29 TUV29 UER29 UON29 UYJ29 VIF29 VSB29 WBX29 WLT29 WVP29 J65501 JD65501 SZ65501 ACV65501 AMR65501 AWN65501 BGJ65501 BQF65501 CAB65501 CJX65501 CTT65501 DDP65501 DNL65501 DXH65501 EHD65501 EQZ65501 FAV65501 FKR65501 FUN65501 GEJ65501 GOF65501 GYB65501 HHX65501 HRT65501 IBP65501 ILL65501 IVH65501 JFD65501 JOZ65501 JYV65501 KIR65501 KSN65501 LCJ65501 LMF65501 LWB65501 MFX65501 MPT65501 MZP65501 NJL65501 NTH65501 ODD65501 OMZ65501 OWV65501 PGR65501 PQN65501 QAJ65501 QKF65501 QUB65501 RDX65501 RNT65501 RXP65501 SHL65501 SRH65501 TBD65501 TKZ65501 TUV65501 UER65501 UON65501 UYJ65501 VIF65501 VSB65501 WBX65501 WLT65501 WVP65501 J131037 JD131037 SZ131037 ACV131037 AMR131037 AWN131037 BGJ131037 BQF131037 CAB131037 CJX131037 CTT131037 DDP131037 DNL131037 DXH131037 EHD131037 EQZ131037 FAV131037 FKR131037 FUN131037 GEJ131037 GOF131037 GYB131037 HHX131037 HRT131037 IBP131037 ILL131037 IVH131037 JFD131037 JOZ131037 JYV131037 KIR131037 KSN131037 LCJ131037 LMF131037 LWB131037 MFX131037 MPT131037 MZP131037 NJL131037 NTH131037 ODD131037 OMZ131037 OWV131037 PGR131037 PQN131037 QAJ131037 QKF131037 QUB131037 RDX131037 RNT131037 RXP131037 SHL131037 SRH131037 TBD131037 TKZ131037 TUV131037 UER131037 UON131037 UYJ131037 VIF131037 VSB131037 WBX131037 WLT131037 WVP131037 J196573 JD196573 SZ196573 ACV196573 AMR196573 AWN196573 BGJ196573 BQF196573 CAB196573 CJX196573 CTT196573 DDP196573 DNL196573 DXH196573 EHD196573 EQZ196573 FAV196573 FKR196573 FUN196573 GEJ196573 GOF196573 GYB196573 HHX196573 HRT196573 IBP196573 ILL196573 IVH196573 JFD196573 JOZ196573 JYV196573 KIR196573 KSN196573 LCJ196573 LMF196573 LWB196573 MFX196573 MPT196573 MZP196573 NJL196573 NTH196573 ODD196573 OMZ196573 OWV196573 PGR196573 PQN196573 QAJ196573 QKF196573 QUB196573 RDX196573 RNT196573 RXP196573 SHL196573 SRH196573 TBD196573 TKZ196573 TUV196573 UER196573 UON196573 UYJ196573 VIF196573 VSB196573 WBX196573 WLT196573 WVP196573 J262109 JD262109 SZ262109 ACV262109 AMR262109 AWN262109 BGJ262109 BQF262109 CAB262109 CJX262109 CTT262109 DDP262109 DNL262109 DXH262109 EHD262109 EQZ262109 FAV262109 FKR262109 FUN262109 GEJ262109 GOF262109 GYB262109 HHX262109 HRT262109 IBP262109 ILL262109 IVH262109 JFD262109 JOZ262109 JYV262109 KIR262109 KSN262109 LCJ262109 LMF262109 LWB262109 MFX262109 MPT262109 MZP262109 NJL262109 NTH262109 ODD262109 OMZ262109 OWV262109 PGR262109 PQN262109 QAJ262109 QKF262109 QUB262109 RDX262109 RNT262109 RXP262109 SHL262109 SRH262109 TBD262109 TKZ262109 TUV262109 UER262109 UON262109 UYJ262109 VIF262109 VSB262109 WBX262109 WLT262109 WVP262109 J327645 JD327645 SZ327645 ACV327645 AMR327645 AWN327645 BGJ327645 BQF327645 CAB327645 CJX327645 CTT327645 DDP327645 DNL327645 DXH327645 EHD327645 EQZ327645 FAV327645 FKR327645 FUN327645 GEJ327645 GOF327645 GYB327645 HHX327645 HRT327645 IBP327645 ILL327645 IVH327645 JFD327645 JOZ327645 JYV327645 KIR327645 KSN327645 LCJ327645 LMF327645 LWB327645 MFX327645 MPT327645 MZP327645 NJL327645 NTH327645 ODD327645 OMZ327645 OWV327645 PGR327645 PQN327645 QAJ327645 QKF327645 QUB327645 RDX327645 RNT327645 RXP327645 SHL327645 SRH327645 TBD327645 TKZ327645 TUV327645 UER327645 UON327645 UYJ327645 VIF327645 VSB327645 WBX327645 WLT327645 WVP327645 J393181 JD393181 SZ393181 ACV393181 AMR393181 AWN393181 BGJ393181 BQF393181 CAB393181 CJX393181 CTT393181 DDP393181 DNL393181 DXH393181 EHD393181 EQZ393181 FAV393181 FKR393181 FUN393181 GEJ393181 GOF393181 GYB393181 HHX393181 HRT393181 IBP393181 ILL393181 IVH393181 JFD393181 JOZ393181 JYV393181 KIR393181 KSN393181 LCJ393181 LMF393181 LWB393181 MFX393181 MPT393181 MZP393181 NJL393181 NTH393181 ODD393181 OMZ393181 OWV393181 PGR393181 PQN393181 QAJ393181 QKF393181 QUB393181 RDX393181 RNT393181 RXP393181 SHL393181 SRH393181 TBD393181 TKZ393181 TUV393181 UER393181 UON393181 UYJ393181 VIF393181 VSB393181 WBX393181 WLT393181 WVP393181 J458717 JD458717 SZ458717 ACV458717 AMR458717 AWN458717 BGJ458717 BQF458717 CAB458717 CJX458717 CTT458717 DDP458717 DNL458717 DXH458717 EHD458717 EQZ458717 FAV458717 FKR458717 FUN458717 GEJ458717 GOF458717 GYB458717 HHX458717 HRT458717 IBP458717 ILL458717 IVH458717 JFD458717 JOZ458717 JYV458717 KIR458717 KSN458717 LCJ458717 LMF458717 LWB458717 MFX458717 MPT458717 MZP458717 NJL458717 NTH458717 ODD458717 OMZ458717 OWV458717 PGR458717 PQN458717 QAJ458717 QKF458717 QUB458717 RDX458717 RNT458717 RXP458717 SHL458717 SRH458717 TBD458717 TKZ458717 TUV458717 UER458717 UON458717 UYJ458717 VIF458717 VSB458717 WBX458717 WLT458717 WVP458717 J524253 JD524253 SZ524253 ACV524253 AMR524253 AWN524253 BGJ524253 BQF524253 CAB524253 CJX524253 CTT524253 DDP524253 DNL524253 DXH524253 EHD524253 EQZ524253 FAV524253 FKR524253 FUN524253 GEJ524253 GOF524253 GYB524253 HHX524253 HRT524253 IBP524253 ILL524253 IVH524253 JFD524253 JOZ524253 JYV524253 KIR524253 KSN524253 LCJ524253 LMF524253 LWB524253 MFX524253 MPT524253 MZP524253 NJL524253 NTH524253 ODD524253 OMZ524253 OWV524253 PGR524253 PQN524253 QAJ524253 QKF524253 QUB524253 RDX524253 RNT524253 RXP524253 SHL524253 SRH524253 TBD524253 TKZ524253 TUV524253 UER524253 UON524253 UYJ524253 VIF524253 VSB524253 WBX524253 WLT524253 WVP524253 J589789 JD589789 SZ589789 ACV589789 AMR589789 AWN589789 BGJ589789 BQF589789 CAB589789 CJX589789 CTT589789 DDP589789 DNL589789 DXH589789 EHD589789 EQZ589789 FAV589789 FKR589789 FUN589789 GEJ589789 GOF589789 GYB589789 HHX589789 HRT589789 IBP589789 ILL589789 IVH589789 JFD589789 JOZ589789 JYV589789 KIR589789 KSN589789 LCJ589789 LMF589789 LWB589789 MFX589789 MPT589789 MZP589789 NJL589789 NTH589789 ODD589789 OMZ589789 OWV589789 PGR589789 PQN589789 QAJ589789 QKF589789 QUB589789 RDX589789 RNT589789 RXP589789 SHL589789 SRH589789 TBD589789 TKZ589789 TUV589789 UER589789 UON589789 UYJ589789 VIF589789 VSB589789 WBX589789 WLT589789 WVP589789 J655325 JD655325 SZ655325 ACV655325 AMR655325 AWN655325 BGJ655325 BQF655325 CAB655325 CJX655325 CTT655325 DDP655325 DNL655325 DXH655325 EHD655325 EQZ655325 FAV655325 FKR655325 FUN655325 GEJ655325 GOF655325 GYB655325 HHX655325 HRT655325 IBP655325 ILL655325 IVH655325 JFD655325 JOZ655325 JYV655325 KIR655325 KSN655325 LCJ655325 LMF655325 LWB655325 MFX655325 MPT655325 MZP655325 NJL655325 NTH655325 ODD655325 OMZ655325 OWV655325 PGR655325 PQN655325 QAJ655325 QKF655325 QUB655325 RDX655325 RNT655325 RXP655325 SHL655325 SRH655325 TBD655325 TKZ655325 TUV655325 UER655325 UON655325 UYJ655325 VIF655325 VSB655325 WBX655325 WLT655325 WVP655325 J720861 JD720861 SZ720861 ACV720861 AMR720861 AWN720861 BGJ720861 BQF720861 CAB720861 CJX720861 CTT720861 DDP720861 DNL720861 DXH720861 EHD720861 EQZ720861 FAV720861 FKR720861 FUN720861 GEJ720861 GOF720861 GYB720861 HHX720861 HRT720861 IBP720861 ILL720861 IVH720861 JFD720861 JOZ720861 JYV720861 KIR720861 KSN720861 LCJ720861 LMF720861 LWB720861 MFX720861 MPT720861 MZP720861 NJL720861 NTH720861 ODD720861 OMZ720861 OWV720861 PGR720861 PQN720861 QAJ720861 QKF720861 QUB720861 RDX720861 RNT720861 RXP720861 SHL720861 SRH720861 TBD720861 TKZ720861 TUV720861 UER720861 UON720861 UYJ720861 VIF720861 VSB720861 WBX720861 WLT720861 WVP720861 J786397 JD786397 SZ786397 ACV786397 AMR786397 AWN786397 BGJ786397 BQF786397 CAB786397 CJX786397 CTT786397 DDP786397 DNL786397 DXH786397 EHD786397 EQZ786397 FAV786397 FKR786397 FUN786397 GEJ786397 GOF786397 GYB786397 HHX786397 HRT786397 IBP786397 ILL786397 IVH786397 JFD786397 JOZ786397 JYV786397 KIR786397 KSN786397 LCJ786397 LMF786397 LWB786397 MFX786397 MPT786397 MZP786397 NJL786397 NTH786397 ODD786397 OMZ786397 OWV786397 PGR786397 PQN786397 QAJ786397 QKF786397 QUB786397 RDX786397 RNT786397 RXP786397 SHL786397 SRH786397 TBD786397 TKZ786397 TUV786397 UER786397 UON786397 UYJ786397 VIF786397 VSB786397 WBX786397 WLT786397 WVP786397 J851933 JD851933 SZ851933 ACV851933 AMR851933 AWN851933 BGJ851933 BQF851933 CAB851933 CJX851933 CTT851933 DDP851933 DNL851933 DXH851933 EHD851933 EQZ851933 FAV851933 FKR851933 FUN851933 GEJ851933 GOF851933 GYB851933 HHX851933 HRT851933 IBP851933 ILL851933 IVH851933 JFD851933 JOZ851933 JYV851933 KIR851933 KSN851933 LCJ851933 LMF851933 LWB851933 MFX851933 MPT851933 MZP851933 NJL851933 NTH851933 ODD851933 OMZ851933 OWV851933 PGR851933 PQN851933 QAJ851933 QKF851933 QUB851933 RDX851933 RNT851933 RXP851933 SHL851933 SRH851933 TBD851933 TKZ851933 TUV851933 UER851933 UON851933 UYJ851933 VIF851933 VSB851933 WBX851933 WLT851933 WVP851933 J917469 JD917469 SZ917469 ACV917469 AMR917469 AWN917469 BGJ917469 BQF917469 CAB917469 CJX917469 CTT917469 DDP917469 DNL917469 DXH917469 EHD917469 EQZ917469 FAV917469 FKR917469 FUN917469 GEJ917469 GOF917469 GYB917469 HHX917469 HRT917469 IBP917469 ILL917469 IVH917469 JFD917469 JOZ917469 JYV917469 KIR917469 KSN917469 LCJ917469 LMF917469 LWB917469 MFX917469 MPT917469 MZP917469 NJL917469 NTH917469 ODD917469 OMZ917469 OWV917469 PGR917469 PQN917469 QAJ917469 QKF917469 QUB917469 RDX917469 RNT917469 RXP917469 SHL917469 SRH917469 TBD917469 TKZ917469 TUV917469 UER917469 UON917469 UYJ917469 VIF917469 VSB917469 WBX917469 WLT917469 WVP917469 J983005 JD983005 SZ983005 ACV983005 AMR983005 AWN983005 BGJ983005 BQF983005 CAB983005 CJX983005 CTT983005 DDP983005 DNL983005 DXH983005 EHD983005 EQZ983005 FAV983005 FKR983005 FUN983005 GEJ983005 GOF983005 GYB983005 HHX983005 HRT983005 IBP983005 ILL983005 IVH983005 JFD983005 JOZ983005 JYV983005 KIR983005 KSN983005 LCJ983005 LMF983005 LWB983005 MFX983005 MPT983005 MZP983005 NJL983005 NTH983005 ODD983005 OMZ983005 OWV983005 PGR983005 PQN983005 QAJ983005 QKF983005 QUB983005 RDX983005 RNT983005 RXP983005 SHL983005 SRH983005 TBD983005 TKZ983005 TUV983005 UER983005 UON983005 UYJ983005 VIF983005 VSB983005 WBX983005 WLT983005 WVP983005 WBX983044 JD46 SZ46 ACV46 AMR46 AWN46 BGJ46 BQF46 CAB46 CJX46 CTT46 DDP46 DNL46 DXH46 EHD46 EQZ46 FAV46 FKR46 FUN46 GEJ46 GOF46 GYB46 HHX46 HRT46 IBP46 ILL46 IVH46 JFD46 JOZ46 JYV46 KIR46 KSN46 LCJ46 LMF46 LWB46 MFX46 MPT46 MZP46 NJL46 NTH46 ODD46 OMZ46 OWV46 PGR46 PQN46 QAJ46 QKF46 QUB46 RDX46 RNT46 RXP46 SHL46 SRH46 TBD46 TKZ46 TUV46 UER46 UON46 UYJ46 VIF46 VSB46 WBX46 WLT46 WVP46 J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J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J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J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J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J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J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J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J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J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J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J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J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J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J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J65527 JD65527 SZ65527 ACV65527 AMR65527 AWN65527 BGJ65527 BQF65527 CAB65527 CJX65527 CTT65527 DDP65527 DNL65527 DXH65527 EHD65527 EQZ65527 FAV65527 FKR65527 FUN65527 GEJ65527 GOF65527 GYB65527 HHX65527 HRT65527 IBP65527 ILL65527 IVH65527 JFD65527 JOZ65527 JYV65527 KIR65527 KSN65527 LCJ65527 LMF65527 LWB65527 MFX65527 MPT65527 MZP65527 NJL65527 NTH65527 ODD65527 OMZ65527 OWV65527 PGR65527 PQN65527 QAJ65527 QKF65527 QUB65527 RDX65527 RNT65527 RXP65527 SHL65527 SRH65527 TBD65527 TKZ65527 TUV65527 UER65527 UON65527 UYJ65527 VIF65527 VSB65527 WBX65527 WLT65527 WVP65527 J131063 JD131063 SZ131063 ACV131063 AMR131063 AWN131063 BGJ131063 BQF131063 CAB131063 CJX131063 CTT131063 DDP131063 DNL131063 DXH131063 EHD131063 EQZ131063 FAV131063 FKR131063 FUN131063 GEJ131063 GOF131063 GYB131063 HHX131063 HRT131063 IBP131063 ILL131063 IVH131063 JFD131063 JOZ131063 JYV131063 KIR131063 KSN131063 LCJ131063 LMF131063 LWB131063 MFX131063 MPT131063 MZP131063 NJL131063 NTH131063 ODD131063 OMZ131063 OWV131063 PGR131063 PQN131063 QAJ131063 QKF131063 QUB131063 RDX131063 RNT131063 RXP131063 SHL131063 SRH131063 TBD131063 TKZ131063 TUV131063 UER131063 UON131063 UYJ131063 VIF131063 VSB131063 WBX131063 WLT131063 WVP131063 J196599 JD196599 SZ196599 ACV196599 AMR196599 AWN196599 BGJ196599 BQF196599 CAB196599 CJX196599 CTT196599 DDP196599 DNL196599 DXH196599 EHD196599 EQZ196599 FAV196599 FKR196599 FUN196599 GEJ196599 GOF196599 GYB196599 HHX196599 HRT196599 IBP196599 ILL196599 IVH196599 JFD196599 JOZ196599 JYV196599 KIR196599 KSN196599 LCJ196599 LMF196599 LWB196599 MFX196599 MPT196599 MZP196599 NJL196599 NTH196599 ODD196599 OMZ196599 OWV196599 PGR196599 PQN196599 QAJ196599 QKF196599 QUB196599 RDX196599 RNT196599 RXP196599 SHL196599 SRH196599 TBD196599 TKZ196599 TUV196599 UER196599 UON196599 UYJ196599 VIF196599 VSB196599 WBX196599 WLT196599 WVP196599 J262135 JD262135 SZ262135 ACV262135 AMR262135 AWN262135 BGJ262135 BQF262135 CAB262135 CJX262135 CTT262135 DDP262135 DNL262135 DXH262135 EHD262135 EQZ262135 FAV262135 FKR262135 FUN262135 GEJ262135 GOF262135 GYB262135 HHX262135 HRT262135 IBP262135 ILL262135 IVH262135 JFD262135 JOZ262135 JYV262135 KIR262135 KSN262135 LCJ262135 LMF262135 LWB262135 MFX262135 MPT262135 MZP262135 NJL262135 NTH262135 ODD262135 OMZ262135 OWV262135 PGR262135 PQN262135 QAJ262135 QKF262135 QUB262135 RDX262135 RNT262135 RXP262135 SHL262135 SRH262135 TBD262135 TKZ262135 TUV262135 UER262135 UON262135 UYJ262135 VIF262135 VSB262135 WBX262135 WLT262135 WVP262135 J327671 JD327671 SZ327671 ACV327671 AMR327671 AWN327671 BGJ327671 BQF327671 CAB327671 CJX327671 CTT327671 DDP327671 DNL327671 DXH327671 EHD327671 EQZ327671 FAV327671 FKR327671 FUN327671 GEJ327671 GOF327671 GYB327671 HHX327671 HRT327671 IBP327671 ILL327671 IVH327671 JFD327671 JOZ327671 JYV327671 KIR327671 KSN327671 LCJ327671 LMF327671 LWB327671 MFX327671 MPT327671 MZP327671 NJL327671 NTH327671 ODD327671 OMZ327671 OWV327671 PGR327671 PQN327671 QAJ327671 QKF327671 QUB327671 RDX327671 RNT327671 RXP327671 SHL327671 SRH327671 TBD327671 TKZ327671 TUV327671 UER327671 UON327671 UYJ327671 VIF327671 VSB327671 WBX327671 WLT327671 WVP327671 J393207 JD393207 SZ393207 ACV393207 AMR393207 AWN393207 BGJ393207 BQF393207 CAB393207 CJX393207 CTT393207 DDP393207 DNL393207 DXH393207 EHD393207 EQZ393207 FAV393207 FKR393207 FUN393207 GEJ393207 GOF393207 GYB393207 HHX393207 HRT393207 IBP393207 ILL393207 IVH393207 JFD393207 JOZ393207 JYV393207 KIR393207 KSN393207 LCJ393207 LMF393207 LWB393207 MFX393207 MPT393207 MZP393207 NJL393207 NTH393207 ODD393207 OMZ393207 OWV393207 PGR393207 PQN393207 QAJ393207 QKF393207 QUB393207 RDX393207 RNT393207 RXP393207 SHL393207 SRH393207 TBD393207 TKZ393207 TUV393207 UER393207 UON393207 UYJ393207 VIF393207 VSB393207 WBX393207 WLT393207 WVP393207 J458743 JD458743 SZ458743 ACV458743 AMR458743 AWN458743 BGJ458743 BQF458743 CAB458743 CJX458743 CTT458743 DDP458743 DNL458743 DXH458743 EHD458743 EQZ458743 FAV458743 FKR458743 FUN458743 GEJ458743 GOF458743 GYB458743 HHX458743 HRT458743 IBP458743 ILL458743 IVH458743 JFD458743 JOZ458743 JYV458743 KIR458743 KSN458743 LCJ458743 LMF458743 LWB458743 MFX458743 MPT458743 MZP458743 NJL458743 NTH458743 ODD458743 OMZ458743 OWV458743 PGR458743 PQN458743 QAJ458743 QKF458743 QUB458743 RDX458743 RNT458743 RXP458743 SHL458743 SRH458743 TBD458743 TKZ458743 TUV458743 UER458743 UON458743 UYJ458743 VIF458743 VSB458743 WBX458743 WLT458743 WVP458743 J524279 JD524279 SZ524279 ACV524279 AMR524279 AWN524279 BGJ524279 BQF524279 CAB524279 CJX524279 CTT524279 DDP524279 DNL524279 DXH524279 EHD524279 EQZ524279 FAV524279 FKR524279 FUN524279 GEJ524279 GOF524279 GYB524279 HHX524279 HRT524279 IBP524279 ILL524279 IVH524279 JFD524279 JOZ524279 JYV524279 KIR524279 KSN524279 LCJ524279 LMF524279 LWB524279 MFX524279 MPT524279 MZP524279 NJL524279 NTH524279 ODD524279 OMZ524279 OWV524279 PGR524279 PQN524279 QAJ524279 QKF524279 QUB524279 RDX524279 RNT524279 RXP524279 SHL524279 SRH524279 TBD524279 TKZ524279 TUV524279 UER524279 UON524279 UYJ524279 VIF524279 VSB524279 WBX524279 WLT524279 WVP524279 J589815 JD589815 SZ589815 ACV589815 AMR589815 AWN589815 BGJ589815 BQF589815 CAB589815 CJX589815 CTT589815 DDP589815 DNL589815 DXH589815 EHD589815 EQZ589815 FAV589815 FKR589815 FUN589815 GEJ589815 GOF589815 GYB589815 HHX589815 HRT589815 IBP589815 ILL589815 IVH589815 JFD589815 JOZ589815 JYV589815 KIR589815 KSN589815 LCJ589815 LMF589815 LWB589815 MFX589815 MPT589815 MZP589815 NJL589815 NTH589815 ODD589815 OMZ589815 OWV589815 PGR589815 PQN589815 QAJ589815 QKF589815 QUB589815 RDX589815 RNT589815 RXP589815 SHL589815 SRH589815 TBD589815 TKZ589815 TUV589815 UER589815 UON589815 UYJ589815 VIF589815 VSB589815 WBX589815 WLT589815 WVP589815 J655351 JD655351 SZ655351 ACV655351 AMR655351 AWN655351 BGJ655351 BQF655351 CAB655351 CJX655351 CTT655351 DDP655351 DNL655351 DXH655351 EHD655351 EQZ655351 FAV655351 FKR655351 FUN655351 GEJ655351 GOF655351 GYB655351 HHX655351 HRT655351 IBP655351 ILL655351 IVH655351 JFD655351 JOZ655351 JYV655351 KIR655351 KSN655351 LCJ655351 LMF655351 LWB655351 MFX655351 MPT655351 MZP655351 NJL655351 NTH655351 ODD655351 OMZ655351 OWV655351 PGR655351 PQN655351 QAJ655351 QKF655351 QUB655351 RDX655351 RNT655351 RXP655351 SHL655351 SRH655351 TBD655351 TKZ655351 TUV655351 UER655351 UON655351 UYJ655351 VIF655351 VSB655351 WBX655351 WLT655351 WVP655351 J720887 JD720887 SZ720887 ACV720887 AMR720887 AWN720887 BGJ720887 BQF720887 CAB720887 CJX720887 CTT720887 DDP720887 DNL720887 DXH720887 EHD720887 EQZ720887 FAV720887 FKR720887 FUN720887 GEJ720887 GOF720887 GYB720887 HHX720887 HRT720887 IBP720887 ILL720887 IVH720887 JFD720887 JOZ720887 JYV720887 KIR720887 KSN720887 LCJ720887 LMF720887 LWB720887 MFX720887 MPT720887 MZP720887 NJL720887 NTH720887 ODD720887 OMZ720887 OWV720887 PGR720887 PQN720887 QAJ720887 QKF720887 QUB720887 RDX720887 RNT720887 RXP720887 SHL720887 SRH720887 TBD720887 TKZ720887 TUV720887 UER720887 UON720887 UYJ720887 VIF720887 VSB720887 WBX720887 WLT720887 WVP720887 J786423 JD786423 SZ786423 ACV786423 AMR786423 AWN786423 BGJ786423 BQF786423 CAB786423 CJX786423 CTT786423 DDP786423 DNL786423 DXH786423 EHD786423 EQZ786423 FAV786423 FKR786423 FUN786423 GEJ786423 GOF786423 GYB786423 HHX786423 HRT786423 IBP786423 ILL786423 IVH786423 JFD786423 JOZ786423 JYV786423 KIR786423 KSN786423 LCJ786423 LMF786423 LWB786423 MFX786423 MPT786423 MZP786423 NJL786423 NTH786423 ODD786423 OMZ786423 OWV786423 PGR786423 PQN786423 QAJ786423 QKF786423 QUB786423 RDX786423 RNT786423 RXP786423 SHL786423 SRH786423 TBD786423 TKZ786423 TUV786423 UER786423 UON786423 UYJ786423 VIF786423 VSB786423 WBX786423 WLT786423 WVP786423 J851959 JD851959 SZ851959 ACV851959 AMR851959 AWN851959 BGJ851959 BQF851959 CAB851959 CJX851959 CTT851959 DDP851959 DNL851959 DXH851959 EHD851959 EQZ851959 FAV851959 FKR851959 FUN851959 GEJ851959 GOF851959 GYB851959 HHX851959 HRT851959 IBP851959 ILL851959 IVH851959 JFD851959 JOZ851959 JYV851959 KIR851959 KSN851959 LCJ851959 LMF851959 LWB851959 MFX851959 MPT851959 MZP851959 NJL851959 NTH851959 ODD851959 OMZ851959 OWV851959 PGR851959 PQN851959 QAJ851959 QKF851959 QUB851959 RDX851959 RNT851959 RXP851959 SHL851959 SRH851959 TBD851959 TKZ851959 TUV851959 UER851959 UON851959 UYJ851959 VIF851959 VSB851959 WBX851959 WLT851959 WVP851959 J917495 JD917495 SZ917495 ACV917495 AMR917495 AWN917495 BGJ917495 BQF917495 CAB917495 CJX917495 CTT917495 DDP917495 DNL917495 DXH917495 EHD917495 EQZ917495 FAV917495 FKR917495 FUN917495 GEJ917495 GOF917495 GYB917495 HHX917495 HRT917495 IBP917495 ILL917495 IVH917495 JFD917495 JOZ917495 JYV917495 KIR917495 KSN917495 LCJ917495 LMF917495 LWB917495 MFX917495 MPT917495 MZP917495 NJL917495 NTH917495 ODD917495 OMZ917495 OWV917495 PGR917495 PQN917495 QAJ917495 QKF917495 QUB917495 RDX917495 RNT917495 RXP917495 SHL917495 SRH917495 TBD917495 TKZ917495 TUV917495 UER917495 UON917495 UYJ917495 VIF917495 VSB917495 WBX917495 WLT917495 WVP917495 J983031 JD983031 SZ983031 ACV983031 AMR983031 AWN983031 BGJ983031 BQF983031 CAB983031 CJX983031 CTT983031 DDP983031 DNL983031 DXH983031 EHD983031 EQZ983031 FAV983031 FKR983031 FUN983031 GEJ983031 GOF983031 GYB983031 HHX983031 HRT983031 IBP983031 ILL983031 IVH983031 JFD983031 JOZ983031 JYV983031 KIR983031 KSN983031 LCJ983031 LMF983031 LWB983031 MFX983031 MPT983031 MZP983031 NJL983031 NTH983031 ODD983031 OMZ983031 OWV983031 PGR983031 PQN983031 QAJ983031 QKF983031 QUB983031 RDX983031 RNT983031 RXP983031 SHL983031 SRH983031 TBD983031 TKZ983031 TUV983031 UER983031 UON983031 UYJ983031 VIF983031 VSB983031 WBX983031 WLT983031 WVP983031 J65540 JD65540 SZ65540 ACV65540 AMR65540 AWN65540 BGJ65540 BQF65540 CAB65540 CJX65540 CTT65540 DDP65540 DNL65540 DXH65540 EHD65540 EQZ65540 FAV65540 FKR65540 FUN65540 GEJ65540 GOF65540 GYB65540 HHX65540 HRT65540 IBP65540 ILL65540 IVH65540 JFD65540 JOZ65540 JYV65540 KIR65540 KSN65540 LCJ65540 LMF65540 LWB65540 MFX65540 MPT65540 MZP65540 NJL65540 NTH65540 ODD65540 OMZ65540 OWV65540 PGR65540 PQN65540 QAJ65540 QKF65540 QUB65540 RDX65540 RNT65540 RXP65540 SHL65540 SRH65540 TBD65540 TKZ65540 TUV65540 UER65540 UON65540 UYJ65540 VIF65540 VSB65540 WBX65540 WLT65540 WVP65540 J131076 JD131076 SZ131076 ACV131076 AMR131076 AWN131076 BGJ131076 BQF131076 CAB131076 CJX131076 CTT131076 DDP131076 DNL131076 DXH131076 EHD131076 EQZ131076 FAV131076 FKR131076 FUN131076 GEJ131076 GOF131076 GYB131076 HHX131076 HRT131076 IBP131076 ILL131076 IVH131076 JFD131076 JOZ131076 JYV131076 KIR131076 KSN131076 LCJ131076 LMF131076 LWB131076 MFX131076 MPT131076 MZP131076 NJL131076 NTH131076 ODD131076 OMZ131076 OWV131076 PGR131076 PQN131076 QAJ131076 QKF131076 QUB131076 RDX131076 RNT131076 RXP131076 SHL131076 SRH131076 TBD131076 TKZ131076 TUV131076 UER131076 UON131076 UYJ131076 VIF131076 VSB131076 WBX131076 WLT131076 WVP131076 J196612 JD196612 SZ196612 ACV196612 AMR196612 AWN196612 BGJ196612 BQF196612 CAB196612 CJX196612 CTT196612 DDP196612 DNL196612 DXH196612 EHD196612 EQZ196612 FAV196612 FKR196612 FUN196612 GEJ196612 GOF196612 GYB196612 HHX196612 HRT196612 IBP196612 ILL196612 IVH196612 JFD196612 JOZ196612 JYV196612 KIR196612 KSN196612 LCJ196612 LMF196612 LWB196612 MFX196612 MPT196612 MZP196612 NJL196612 NTH196612 ODD196612 OMZ196612 OWV196612 PGR196612 PQN196612 QAJ196612 QKF196612 QUB196612 RDX196612 RNT196612 RXP196612 SHL196612 SRH196612 TBD196612 TKZ196612 TUV196612 UER196612 UON196612 UYJ196612 VIF196612 VSB196612 WBX196612 WLT196612 WVP196612 J262148 JD262148 SZ262148 ACV262148 AMR262148 AWN262148 BGJ262148 BQF262148 CAB262148 CJX262148 CTT262148 DDP262148 DNL262148 DXH262148 EHD262148 EQZ262148 FAV262148 FKR262148 FUN262148 GEJ262148 GOF262148 GYB262148 HHX262148 HRT262148 IBP262148 ILL262148 IVH262148 JFD262148 JOZ262148 JYV262148 KIR262148 KSN262148 LCJ262148 LMF262148 LWB262148 MFX262148 MPT262148 MZP262148 NJL262148 NTH262148 ODD262148 OMZ262148 OWV262148 PGR262148 PQN262148 QAJ262148 QKF262148 QUB262148 RDX262148 RNT262148 RXP262148 SHL262148 SRH262148 TBD262148 TKZ262148 TUV262148 UER262148 UON262148 UYJ262148 VIF262148 VSB262148 WBX262148 WLT262148 WVP262148 J327684 JD327684 SZ327684 ACV327684 AMR327684 AWN327684 BGJ327684 BQF327684 CAB327684 CJX327684 CTT327684 DDP327684 DNL327684 DXH327684 EHD327684 EQZ327684 FAV327684 FKR327684 FUN327684 GEJ327684 GOF327684 GYB327684 HHX327684 HRT327684 IBP327684 ILL327684 IVH327684 JFD327684 JOZ327684 JYV327684 KIR327684 KSN327684 LCJ327684 LMF327684 LWB327684 MFX327684 MPT327684 MZP327684 NJL327684 NTH327684 ODD327684 OMZ327684 OWV327684 PGR327684 PQN327684 QAJ327684 QKF327684 QUB327684 RDX327684 RNT327684 RXP327684 SHL327684 SRH327684 TBD327684 TKZ327684 TUV327684 UER327684 UON327684 UYJ327684 VIF327684 VSB327684 WBX327684 WLT327684 WVP327684 J393220 JD393220 SZ393220 ACV393220 AMR393220 AWN393220 BGJ393220 BQF393220 CAB393220 CJX393220 CTT393220 DDP393220 DNL393220 DXH393220 EHD393220 EQZ393220 FAV393220 FKR393220 FUN393220 GEJ393220 GOF393220 GYB393220 HHX393220 HRT393220 IBP393220 ILL393220 IVH393220 JFD393220 JOZ393220 JYV393220 KIR393220 KSN393220 LCJ393220 LMF393220 LWB393220 MFX393220 MPT393220 MZP393220 NJL393220 NTH393220 ODD393220 OMZ393220 OWV393220 PGR393220 PQN393220 QAJ393220 QKF393220 QUB393220 RDX393220 RNT393220 RXP393220 SHL393220 SRH393220 TBD393220 TKZ393220 TUV393220 UER393220 UON393220 UYJ393220 VIF393220 VSB393220 WBX393220 WLT393220 WVP393220 J458756 JD458756 SZ458756 ACV458756 AMR458756 AWN458756 BGJ458756 BQF458756 CAB458756 CJX458756 CTT458756 DDP458756 DNL458756 DXH458756 EHD458756 EQZ458756 FAV458756 FKR458756 FUN458756 GEJ458756 GOF458756 GYB458756 HHX458756 HRT458756 IBP458756 ILL458756 IVH458756 JFD458756 JOZ458756 JYV458756 KIR458756 KSN458756 LCJ458756 LMF458756 LWB458756 MFX458756 MPT458756 MZP458756 NJL458756 NTH458756 ODD458756 OMZ458756 OWV458756 PGR458756 PQN458756 QAJ458756 QKF458756 QUB458756 RDX458756 RNT458756 RXP458756 SHL458756 SRH458756 TBD458756 TKZ458756 TUV458756 UER458756 UON458756 UYJ458756 VIF458756 VSB458756 WBX458756 WLT458756 WVP458756 J524292 JD524292 SZ524292 ACV524292 AMR524292 AWN524292 BGJ524292 BQF524292 CAB524292 CJX524292 CTT524292 DDP524292 DNL524292 DXH524292 EHD524292 EQZ524292 FAV524292 FKR524292 FUN524292 GEJ524292 GOF524292 GYB524292 HHX524292 HRT524292 IBP524292 ILL524292 IVH524292 JFD524292 JOZ524292 JYV524292 KIR524292 KSN524292 LCJ524292 LMF524292 LWB524292 MFX524292 MPT524292 MZP524292 NJL524292 NTH524292 ODD524292 OMZ524292 OWV524292 PGR524292 PQN524292 QAJ524292 QKF524292 QUB524292 RDX524292 RNT524292 RXP524292 SHL524292 SRH524292 TBD524292 TKZ524292 TUV524292 UER524292 UON524292 UYJ524292 VIF524292 VSB524292 WBX524292 WLT524292 WVP524292 J589828 JD589828 SZ589828 ACV589828 AMR589828 AWN589828 BGJ589828 BQF589828 CAB589828 CJX589828 CTT589828 DDP589828 DNL589828 DXH589828 EHD589828 EQZ589828 FAV589828 FKR589828 FUN589828 GEJ589828 GOF589828 GYB589828 HHX589828 HRT589828 IBP589828 ILL589828 IVH589828 JFD589828 JOZ589828 JYV589828 KIR589828 KSN589828 LCJ589828 LMF589828 LWB589828 MFX589828 MPT589828 MZP589828 NJL589828 NTH589828 ODD589828 OMZ589828 OWV589828 PGR589828 PQN589828 QAJ589828 QKF589828 QUB589828 RDX589828 RNT589828 RXP589828 SHL589828 SRH589828 TBD589828 TKZ589828 TUV589828 UER589828 UON589828 UYJ589828 VIF589828 VSB589828 WBX589828 WLT589828 WVP589828 J655364 JD655364 SZ655364 ACV655364 AMR655364 AWN655364 BGJ655364 BQF655364 CAB655364 CJX655364 CTT655364 DDP655364 DNL655364 DXH655364 EHD655364 EQZ655364 FAV655364 FKR655364 FUN655364 GEJ655364 GOF655364 GYB655364 HHX655364 HRT655364 IBP655364 ILL655364 IVH655364 JFD655364 JOZ655364 JYV655364 KIR655364 KSN655364 LCJ655364 LMF655364 LWB655364 MFX655364 MPT655364 MZP655364 NJL655364 NTH655364 ODD655364 OMZ655364 OWV655364 PGR655364 PQN655364 QAJ655364 QKF655364 QUB655364 RDX655364 RNT655364 RXP655364 SHL655364 SRH655364 TBD655364 TKZ655364 TUV655364 UER655364 UON655364 UYJ655364 VIF655364 VSB655364 WBX655364 WLT655364 WVP655364 J720900 JD720900 SZ720900 ACV720900 AMR720900 AWN720900 BGJ720900 BQF720900 CAB720900 CJX720900 CTT720900 DDP720900 DNL720900 DXH720900 EHD720900 EQZ720900 FAV720900 FKR720900 FUN720900 GEJ720900 GOF720900 GYB720900 HHX720900 HRT720900 IBP720900 ILL720900 IVH720900 JFD720900 JOZ720900 JYV720900 KIR720900 KSN720900 LCJ720900 LMF720900 LWB720900 MFX720900 MPT720900 MZP720900 NJL720900 NTH720900 ODD720900 OMZ720900 OWV720900 PGR720900 PQN720900 QAJ720900 QKF720900 QUB720900 RDX720900 RNT720900 RXP720900 SHL720900 SRH720900 TBD720900 TKZ720900 TUV720900 UER720900 UON720900 UYJ720900 VIF720900 VSB720900 WBX720900 WLT720900 WVP720900 J786436 JD786436 SZ786436 ACV786436 AMR786436 AWN786436 BGJ786436 BQF786436 CAB786436 CJX786436 CTT786436 DDP786436 DNL786436 DXH786436 EHD786436 EQZ786436 FAV786436 FKR786436 FUN786436 GEJ786436 GOF786436 GYB786436 HHX786436 HRT786436 IBP786436 ILL786436 IVH786436 JFD786436 JOZ786436 JYV786436 KIR786436 KSN786436 LCJ786436 LMF786436 LWB786436 MFX786436 MPT786436 MZP786436 NJL786436 NTH786436 ODD786436 OMZ786436 OWV786436 PGR786436 PQN786436 QAJ786436 QKF786436 QUB786436 RDX786436 RNT786436 RXP786436 SHL786436 SRH786436 TBD786436 TKZ786436 TUV786436 UER786436 UON786436 UYJ786436 VIF786436 VSB786436 WBX786436 WLT786436 WVP786436 J851972 JD851972 SZ851972 ACV851972 AMR851972 AWN851972 BGJ851972 BQF851972 CAB851972 CJX851972 CTT851972 DDP851972 DNL851972 DXH851972 EHD851972 EQZ851972 FAV851972 FKR851972 FUN851972 GEJ851972 GOF851972 GYB851972 HHX851972 HRT851972 IBP851972 ILL851972 IVH851972 JFD851972 JOZ851972 JYV851972 KIR851972 KSN851972 LCJ851972 LMF851972 LWB851972 MFX851972 MPT851972 MZP851972 NJL851972 NTH851972 ODD851972 OMZ851972 OWV851972 PGR851972 PQN851972 QAJ851972 QKF851972 QUB851972 RDX851972 RNT851972 RXP851972 SHL851972 SRH851972 TBD851972 TKZ851972 TUV851972 UER851972 UON851972 UYJ851972 VIF851972 VSB851972 WBX851972 WLT851972 WVP851972 J917508 JD917508 SZ917508 ACV917508 AMR917508 AWN917508 BGJ917508 BQF917508 CAB917508 CJX917508 CTT917508 DDP917508 DNL917508 DXH917508 EHD917508 EQZ917508 FAV917508 FKR917508 FUN917508 GEJ917508 GOF917508 GYB917508 HHX917508 HRT917508 IBP917508 ILL917508 IVH917508 JFD917508 JOZ917508 JYV917508 KIR917508 KSN917508 LCJ917508 LMF917508 LWB917508 MFX917508 MPT917508 MZP917508 NJL917508 NTH917508 ODD917508 OMZ917508 OWV917508 PGR917508 PQN917508 QAJ917508 QKF917508 QUB917508 RDX917508 RNT917508 RXP917508 SHL917508 SRH917508 TBD917508 TKZ917508 TUV917508 UER917508 UON917508 UYJ917508 VIF917508 VSB917508 WBX917508 WLT917508 WVP917508 J983044 JD983044 SZ983044 ACV983044 AMR983044 AWN983044 BGJ983044 BQF983044 CAB983044 CJX983044 CTT983044 DDP983044 DNL983044 DXH983044 EHD983044 EQZ983044 FAV983044 FKR983044 FUN983044 GEJ983044 GOF983044 GYB983044 HHX983044 HRT983044 IBP983044 ILL983044 IVH983044 JFD983044 JOZ983044 JYV983044 KIR983044 KSN983044 LCJ983044 LMF983044 LWB983044 MFX983044 MPT983044 MZP983044 NJL983044 NTH983044 ODD983044 OMZ983044 OWV983044 PGR983044 PQN983044 QAJ983044 QKF983044 QUB983044 RDX983044 RNT983044 RXP983044 SHL983044 SRH983044 TBD983044 TKZ983044 TUV983044 UER983044 UON983044 UYJ983044 VIF983044 VSB983044" xr:uid="{00000000-0002-0000-1000-000002000000}">
      <formula1>BankNames</formula1>
    </dataValidation>
    <dataValidation type="list" allowBlank="1" showInputMessage="1" showErrorMessage="1" sqref="WVT983043 JH11 TD11 ACZ11 AMV11 AWR11 BGN11 BQJ11 CAF11 CKB11 CTX11 DDT11 DNP11 DXL11 EHH11 ERD11 FAZ11 FKV11 FUR11 GEN11 GOJ11 GYF11 HIB11 HRX11 IBT11 ILP11 IVL11 JFH11 JPD11 JYZ11 KIV11 KSR11 LCN11 LMJ11 LWF11 MGB11 MPX11 MZT11 NJP11 NTL11 ODH11 OND11 OWZ11 PGV11 PQR11 QAN11 QKJ11 QUF11 REB11 RNX11 RXT11 SHP11 SRL11 TBH11 TLD11 TUZ11 UEV11 UOR11 UYN11 VIJ11 VSF11 WCB11 WLX11 WVT11 N65487 JH65487 TD65487 ACZ65487 AMV65487 AWR65487 BGN65487 BQJ65487 CAF65487 CKB65487 CTX65487 DDT65487 DNP65487 DXL65487 EHH65487 ERD65487 FAZ65487 FKV65487 FUR65487 GEN65487 GOJ65487 GYF65487 HIB65487 HRX65487 IBT65487 ILP65487 IVL65487 JFH65487 JPD65487 JYZ65487 KIV65487 KSR65487 LCN65487 LMJ65487 LWF65487 MGB65487 MPX65487 MZT65487 NJP65487 NTL65487 ODH65487 OND65487 OWZ65487 PGV65487 PQR65487 QAN65487 QKJ65487 QUF65487 REB65487 RNX65487 RXT65487 SHP65487 SRL65487 TBH65487 TLD65487 TUZ65487 UEV65487 UOR65487 UYN65487 VIJ65487 VSF65487 WCB65487 WLX65487 WVT65487 N131023 JH131023 TD131023 ACZ131023 AMV131023 AWR131023 BGN131023 BQJ131023 CAF131023 CKB131023 CTX131023 DDT131023 DNP131023 DXL131023 EHH131023 ERD131023 FAZ131023 FKV131023 FUR131023 GEN131023 GOJ131023 GYF131023 HIB131023 HRX131023 IBT131023 ILP131023 IVL131023 JFH131023 JPD131023 JYZ131023 KIV131023 KSR131023 LCN131023 LMJ131023 LWF131023 MGB131023 MPX131023 MZT131023 NJP131023 NTL131023 ODH131023 OND131023 OWZ131023 PGV131023 PQR131023 QAN131023 QKJ131023 QUF131023 REB131023 RNX131023 RXT131023 SHP131023 SRL131023 TBH131023 TLD131023 TUZ131023 UEV131023 UOR131023 UYN131023 VIJ131023 VSF131023 WCB131023 WLX131023 WVT131023 N196559 JH196559 TD196559 ACZ196559 AMV196559 AWR196559 BGN196559 BQJ196559 CAF196559 CKB196559 CTX196559 DDT196559 DNP196559 DXL196559 EHH196559 ERD196559 FAZ196559 FKV196559 FUR196559 GEN196559 GOJ196559 GYF196559 HIB196559 HRX196559 IBT196559 ILP196559 IVL196559 JFH196559 JPD196559 JYZ196559 KIV196559 KSR196559 LCN196559 LMJ196559 LWF196559 MGB196559 MPX196559 MZT196559 NJP196559 NTL196559 ODH196559 OND196559 OWZ196559 PGV196559 PQR196559 QAN196559 QKJ196559 QUF196559 REB196559 RNX196559 RXT196559 SHP196559 SRL196559 TBH196559 TLD196559 TUZ196559 UEV196559 UOR196559 UYN196559 VIJ196559 VSF196559 WCB196559 WLX196559 WVT196559 N262095 JH262095 TD262095 ACZ262095 AMV262095 AWR262095 BGN262095 BQJ262095 CAF262095 CKB262095 CTX262095 DDT262095 DNP262095 DXL262095 EHH262095 ERD262095 FAZ262095 FKV262095 FUR262095 GEN262095 GOJ262095 GYF262095 HIB262095 HRX262095 IBT262095 ILP262095 IVL262095 JFH262095 JPD262095 JYZ262095 KIV262095 KSR262095 LCN262095 LMJ262095 LWF262095 MGB262095 MPX262095 MZT262095 NJP262095 NTL262095 ODH262095 OND262095 OWZ262095 PGV262095 PQR262095 QAN262095 QKJ262095 QUF262095 REB262095 RNX262095 RXT262095 SHP262095 SRL262095 TBH262095 TLD262095 TUZ262095 UEV262095 UOR262095 UYN262095 VIJ262095 VSF262095 WCB262095 WLX262095 WVT262095 N327631 JH327631 TD327631 ACZ327631 AMV327631 AWR327631 BGN327631 BQJ327631 CAF327631 CKB327631 CTX327631 DDT327631 DNP327631 DXL327631 EHH327631 ERD327631 FAZ327631 FKV327631 FUR327631 GEN327631 GOJ327631 GYF327631 HIB327631 HRX327631 IBT327631 ILP327631 IVL327631 JFH327631 JPD327631 JYZ327631 KIV327631 KSR327631 LCN327631 LMJ327631 LWF327631 MGB327631 MPX327631 MZT327631 NJP327631 NTL327631 ODH327631 OND327631 OWZ327631 PGV327631 PQR327631 QAN327631 QKJ327631 QUF327631 REB327631 RNX327631 RXT327631 SHP327631 SRL327631 TBH327631 TLD327631 TUZ327631 UEV327631 UOR327631 UYN327631 VIJ327631 VSF327631 WCB327631 WLX327631 WVT327631 N393167 JH393167 TD393167 ACZ393167 AMV393167 AWR393167 BGN393167 BQJ393167 CAF393167 CKB393167 CTX393167 DDT393167 DNP393167 DXL393167 EHH393167 ERD393167 FAZ393167 FKV393167 FUR393167 GEN393167 GOJ393167 GYF393167 HIB393167 HRX393167 IBT393167 ILP393167 IVL393167 JFH393167 JPD393167 JYZ393167 KIV393167 KSR393167 LCN393167 LMJ393167 LWF393167 MGB393167 MPX393167 MZT393167 NJP393167 NTL393167 ODH393167 OND393167 OWZ393167 PGV393167 PQR393167 QAN393167 QKJ393167 QUF393167 REB393167 RNX393167 RXT393167 SHP393167 SRL393167 TBH393167 TLD393167 TUZ393167 UEV393167 UOR393167 UYN393167 VIJ393167 VSF393167 WCB393167 WLX393167 WVT393167 N458703 JH458703 TD458703 ACZ458703 AMV458703 AWR458703 BGN458703 BQJ458703 CAF458703 CKB458703 CTX458703 DDT458703 DNP458703 DXL458703 EHH458703 ERD458703 FAZ458703 FKV458703 FUR458703 GEN458703 GOJ458703 GYF458703 HIB458703 HRX458703 IBT458703 ILP458703 IVL458703 JFH458703 JPD458703 JYZ458703 KIV458703 KSR458703 LCN458703 LMJ458703 LWF458703 MGB458703 MPX458703 MZT458703 NJP458703 NTL458703 ODH458703 OND458703 OWZ458703 PGV458703 PQR458703 QAN458703 QKJ458703 QUF458703 REB458703 RNX458703 RXT458703 SHP458703 SRL458703 TBH458703 TLD458703 TUZ458703 UEV458703 UOR458703 UYN458703 VIJ458703 VSF458703 WCB458703 WLX458703 WVT458703 N524239 JH524239 TD524239 ACZ524239 AMV524239 AWR524239 BGN524239 BQJ524239 CAF524239 CKB524239 CTX524239 DDT524239 DNP524239 DXL524239 EHH524239 ERD524239 FAZ524239 FKV524239 FUR524239 GEN524239 GOJ524239 GYF524239 HIB524239 HRX524239 IBT524239 ILP524239 IVL524239 JFH524239 JPD524239 JYZ524239 KIV524239 KSR524239 LCN524239 LMJ524239 LWF524239 MGB524239 MPX524239 MZT524239 NJP524239 NTL524239 ODH524239 OND524239 OWZ524239 PGV524239 PQR524239 QAN524239 QKJ524239 QUF524239 REB524239 RNX524239 RXT524239 SHP524239 SRL524239 TBH524239 TLD524239 TUZ524239 UEV524239 UOR524239 UYN524239 VIJ524239 VSF524239 WCB524239 WLX524239 WVT524239 N589775 JH589775 TD589775 ACZ589775 AMV589775 AWR589775 BGN589775 BQJ589775 CAF589775 CKB589775 CTX589775 DDT589775 DNP589775 DXL589775 EHH589775 ERD589775 FAZ589775 FKV589775 FUR589775 GEN589775 GOJ589775 GYF589775 HIB589775 HRX589775 IBT589775 ILP589775 IVL589775 JFH589775 JPD589775 JYZ589775 KIV589775 KSR589775 LCN589775 LMJ589775 LWF589775 MGB589775 MPX589775 MZT589775 NJP589775 NTL589775 ODH589775 OND589775 OWZ589775 PGV589775 PQR589775 QAN589775 QKJ589775 QUF589775 REB589775 RNX589775 RXT589775 SHP589775 SRL589775 TBH589775 TLD589775 TUZ589775 UEV589775 UOR589775 UYN589775 VIJ589775 VSF589775 WCB589775 WLX589775 WVT589775 N655311 JH655311 TD655311 ACZ655311 AMV655311 AWR655311 BGN655311 BQJ655311 CAF655311 CKB655311 CTX655311 DDT655311 DNP655311 DXL655311 EHH655311 ERD655311 FAZ655311 FKV655311 FUR655311 GEN655311 GOJ655311 GYF655311 HIB655311 HRX655311 IBT655311 ILP655311 IVL655311 JFH655311 JPD655311 JYZ655311 KIV655311 KSR655311 LCN655311 LMJ655311 LWF655311 MGB655311 MPX655311 MZT655311 NJP655311 NTL655311 ODH655311 OND655311 OWZ655311 PGV655311 PQR655311 QAN655311 QKJ655311 QUF655311 REB655311 RNX655311 RXT655311 SHP655311 SRL655311 TBH655311 TLD655311 TUZ655311 UEV655311 UOR655311 UYN655311 VIJ655311 VSF655311 WCB655311 WLX655311 WVT655311 N720847 JH720847 TD720847 ACZ720847 AMV720847 AWR720847 BGN720847 BQJ720847 CAF720847 CKB720847 CTX720847 DDT720847 DNP720847 DXL720847 EHH720847 ERD720847 FAZ720847 FKV720847 FUR720847 GEN720847 GOJ720847 GYF720847 HIB720847 HRX720847 IBT720847 ILP720847 IVL720847 JFH720847 JPD720847 JYZ720847 KIV720847 KSR720847 LCN720847 LMJ720847 LWF720847 MGB720847 MPX720847 MZT720847 NJP720847 NTL720847 ODH720847 OND720847 OWZ720847 PGV720847 PQR720847 QAN720847 QKJ720847 QUF720847 REB720847 RNX720847 RXT720847 SHP720847 SRL720847 TBH720847 TLD720847 TUZ720847 UEV720847 UOR720847 UYN720847 VIJ720847 VSF720847 WCB720847 WLX720847 WVT720847 N786383 JH786383 TD786383 ACZ786383 AMV786383 AWR786383 BGN786383 BQJ786383 CAF786383 CKB786383 CTX786383 DDT786383 DNP786383 DXL786383 EHH786383 ERD786383 FAZ786383 FKV786383 FUR786383 GEN786383 GOJ786383 GYF786383 HIB786383 HRX786383 IBT786383 ILP786383 IVL786383 JFH786383 JPD786383 JYZ786383 KIV786383 KSR786383 LCN786383 LMJ786383 LWF786383 MGB786383 MPX786383 MZT786383 NJP786383 NTL786383 ODH786383 OND786383 OWZ786383 PGV786383 PQR786383 QAN786383 QKJ786383 QUF786383 REB786383 RNX786383 RXT786383 SHP786383 SRL786383 TBH786383 TLD786383 TUZ786383 UEV786383 UOR786383 UYN786383 VIJ786383 VSF786383 WCB786383 WLX786383 WVT786383 N851919 JH851919 TD851919 ACZ851919 AMV851919 AWR851919 BGN851919 BQJ851919 CAF851919 CKB851919 CTX851919 DDT851919 DNP851919 DXL851919 EHH851919 ERD851919 FAZ851919 FKV851919 FUR851919 GEN851919 GOJ851919 GYF851919 HIB851919 HRX851919 IBT851919 ILP851919 IVL851919 JFH851919 JPD851919 JYZ851919 KIV851919 KSR851919 LCN851919 LMJ851919 LWF851919 MGB851919 MPX851919 MZT851919 NJP851919 NTL851919 ODH851919 OND851919 OWZ851919 PGV851919 PQR851919 QAN851919 QKJ851919 QUF851919 REB851919 RNX851919 RXT851919 SHP851919 SRL851919 TBH851919 TLD851919 TUZ851919 UEV851919 UOR851919 UYN851919 VIJ851919 VSF851919 WCB851919 WLX851919 WVT851919 N917455 JH917455 TD917455 ACZ917455 AMV917455 AWR917455 BGN917455 BQJ917455 CAF917455 CKB917455 CTX917455 DDT917455 DNP917455 DXL917455 EHH917455 ERD917455 FAZ917455 FKV917455 FUR917455 GEN917455 GOJ917455 GYF917455 HIB917455 HRX917455 IBT917455 ILP917455 IVL917455 JFH917455 JPD917455 JYZ917455 KIV917455 KSR917455 LCN917455 LMJ917455 LWF917455 MGB917455 MPX917455 MZT917455 NJP917455 NTL917455 ODH917455 OND917455 OWZ917455 PGV917455 PQR917455 QAN917455 QKJ917455 QUF917455 REB917455 RNX917455 RXT917455 SHP917455 SRL917455 TBH917455 TLD917455 TUZ917455 UEV917455 UOR917455 UYN917455 VIJ917455 VSF917455 WCB917455 WLX917455 WVT917455 N982991 JH982991 TD982991 ACZ982991 AMV982991 AWR982991 BGN982991 BQJ982991 CAF982991 CKB982991 CTX982991 DDT982991 DNP982991 DXL982991 EHH982991 ERD982991 FAZ982991 FKV982991 FUR982991 GEN982991 GOJ982991 GYF982991 HIB982991 HRX982991 IBT982991 ILP982991 IVL982991 JFH982991 JPD982991 JYZ982991 KIV982991 KSR982991 LCN982991 LMJ982991 LWF982991 MGB982991 MPX982991 MZT982991 NJP982991 NTL982991 ODH982991 OND982991 OWZ982991 PGV982991 PQR982991 QAN982991 QKJ982991 QUF982991 REB982991 RNX982991 RXT982991 SHP982991 SRL982991 TBH982991 TLD982991 TUZ982991 UEV982991 UOR982991 UYN982991 VIJ982991 VSF982991 WCB982991 WLX982991 WVT982991 WLX983043 JH28 TD28 ACZ28 AMV28 AWR28 BGN28 BQJ28 CAF28 CKB28 CTX28 DDT28 DNP28 DXL28 EHH28 ERD28 FAZ28 FKV28 FUR28 GEN28 GOJ28 GYF28 HIB28 HRX28 IBT28 ILP28 IVL28 JFH28 JPD28 JYZ28 KIV28 KSR28 LCN28 LMJ28 LWF28 MGB28 MPX28 MZT28 NJP28 NTL28 ODH28 OND28 OWZ28 PGV28 PQR28 QAN28 QKJ28 QUF28 REB28 RNX28 RXT28 SHP28 SRL28 TBH28 TLD28 TUZ28 UEV28 UOR28 UYN28 VIJ28 VSF28 WCB28 WLX28 WVT28 N65500 JH65500 TD65500 ACZ65500 AMV65500 AWR65500 BGN65500 BQJ65500 CAF65500 CKB65500 CTX65500 DDT65500 DNP65500 DXL65500 EHH65500 ERD65500 FAZ65500 FKV65500 FUR65500 GEN65500 GOJ65500 GYF65500 HIB65500 HRX65500 IBT65500 ILP65500 IVL65500 JFH65500 JPD65500 JYZ65500 KIV65500 KSR65500 LCN65500 LMJ65500 LWF65500 MGB65500 MPX65500 MZT65500 NJP65500 NTL65500 ODH65500 OND65500 OWZ65500 PGV65500 PQR65500 QAN65500 QKJ65500 QUF65500 REB65500 RNX65500 RXT65500 SHP65500 SRL65500 TBH65500 TLD65500 TUZ65500 UEV65500 UOR65500 UYN65500 VIJ65500 VSF65500 WCB65500 WLX65500 WVT65500 N131036 JH131036 TD131036 ACZ131036 AMV131036 AWR131036 BGN131036 BQJ131036 CAF131036 CKB131036 CTX131036 DDT131036 DNP131036 DXL131036 EHH131036 ERD131036 FAZ131036 FKV131036 FUR131036 GEN131036 GOJ131036 GYF131036 HIB131036 HRX131036 IBT131036 ILP131036 IVL131036 JFH131036 JPD131036 JYZ131036 KIV131036 KSR131036 LCN131036 LMJ131036 LWF131036 MGB131036 MPX131036 MZT131036 NJP131036 NTL131036 ODH131036 OND131036 OWZ131036 PGV131036 PQR131036 QAN131036 QKJ131036 QUF131036 REB131036 RNX131036 RXT131036 SHP131036 SRL131036 TBH131036 TLD131036 TUZ131036 UEV131036 UOR131036 UYN131036 VIJ131036 VSF131036 WCB131036 WLX131036 WVT131036 N196572 JH196572 TD196572 ACZ196572 AMV196572 AWR196572 BGN196572 BQJ196572 CAF196572 CKB196572 CTX196572 DDT196572 DNP196572 DXL196572 EHH196572 ERD196572 FAZ196572 FKV196572 FUR196572 GEN196572 GOJ196572 GYF196572 HIB196572 HRX196572 IBT196572 ILP196572 IVL196572 JFH196572 JPD196572 JYZ196572 KIV196572 KSR196572 LCN196572 LMJ196572 LWF196572 MGB196572 MPX196572 MZT196572 NJP196572 NTL196572 ODH196572 OND196572 OWZ196572 PGV196572 PQR196572 QAN196572 QKJ196572 QUF196572 REB196572 RNX196572 RXT196572 SHP196572 SRL196572 TBH196572 TLD196572 TUZ196572 UEV196572 UOR196572 UYN196572 VIJ196572 VSF196572 WCB196572 WLX196572 WVT196572 N262108 JH262108 TD262108 ACZ262108 AMV262108 AWR262108 BGN262108 BQJ262108 CAF262108 CKB262108 CTX262108 DDT262108 DNP262108 DXL262108 EHH262108 ERD262108 FAZ262108 FKV262108 FUR262108 GEN262108 GOJ262108 GYF262108 HIB262108 HRX262108 IBT262108 ILP262108 IVL262108 JFH262108 JPD262108 JYZ262108 KIV262108 KSR262108 LCN262108 LMJ262108 LWF262108 MGB262108 MPX262108 MZT262108 NJP262108 NTL262108 ODH262108 OND262108 OWZ262108 PGV262108 PQR262108 QAN262108 QKJ262108 QUF262108 REB262108 RNX262108 RXT262108 SHP262108 SRL262108 TBH262108 TLD262108 TUZ262108 UEV262108 UOR262108 UYN262108 VIJ262108 VSF262108 WCB262108 WLX262108 WVT262108 N327644 JH327644 TD327644 ACZ327644 AMV327644 AWR327644 BGN327644 BQJ327644 CAF327644 CKB327644 CTX327644 DDT327644 DNP327644 DXL327644 EHH327644 ERD327644 FAZ327644 FKV327644 FUR327644 GEN327644 GOJ327644 GYF327644 HIB327644 HRX327644 IBT327644 ILP327644 IVL327644 JFH327644 JPD327644 JYZ327644 KIV327644 KSR327644 LCN327644 LMJ327644 LWF327644 MGB327644 MPX327644 MZT327644 NJP327644 NTL327644 ODH327644 OND327644 OWZ327644 PGV327644 PQR327644 QAN327644 QKJ327644 QUF327644 REB327644 RNX327644 RXT327644 SHP327644 SRL327644 TBH327644 TLD327644 TUZ327644 UEV327644 UOR327644 UYN327644 VIJ327644 VSF327644 WCB327644 WLX327644 WVT327644 N393180 JH393180 TD393180 ACZ393180 AMV393180 AWR393180 BGN393180 BQJ393180 CAF393180 CKB393180 CTX393180 DDT393180 DNP393180 DXL393180 EHH393180 ERD393180 FAZ393180 FKV393180 FUR393180 GEN393180 GOJ393180 GYF393180 HIB393180 HRX393180 IBT393180 ILP393180 IVL393180 JFH393180 JPD393180 JYZ393180 KIV393180 KSR393180 LCN393180 LMJ393180 LWF393180 MGB393180 MPX393180 MZT393180 NJP393180 NTL393180 ODH393180 OND393180 OWZ393180 PGV393180 PQR393180 QAN393180 QKJ393180 QUF393180 REB393180 RNX393180 RXT393180 SHP393180 SRL393180 TBH393180 TLD393180 TUZ393180 UEV393180 UOR393180 UYN393180 VIJ393180 VSF393180 WCB393180 WLX393180 WVT393180 N458716 JH458716 TD458716 ACZ458716 AMV458716 AWR458716 BGN458716 BQJ458716 CAF458716 CKB458716 CTX458716 DDT458716 DNP458716 DXL458716 EHH458716 ERD458716 FAZ458716 FKV458716 FUR458716 GEN458716 GOJ458716 GYF458716 HIB458716 HRX458716 IBT458716 ILP458716 IVL458716 JFH458716 JPD458716 JYZ458716 KIV458716 KSR458716 LCN458716 LMJ458716 LWF458716 MGB458716 MPX458716 MZT458716 NJP458716 NTL458716 ODH458716 OND458716 OWZ458716 PGV458716 PQR458716 QAN458716 QKJ458716 QUF458716 REB458716 RNX458716 RXT458716 SHP458716 SRL458716 TBH458716 TLD458716 TUZ458716 UEV458716 UOR458716 UYN458716 VIJ458716 VSF458716 WCB458716 WLX458716 WVT458716 N524252 JH524252 TD524252 ACZ524252 AMV524252 AWR524252 BGN524252 BQJ524252 CAF524252 CKB524252 CTX524252 DDT524252 DNP524252 DXL524252 EHH524252 ERD524252 FAZ524252 FKV524252 FUR524252 GEN524252 GOJ524252 GYF524252 HIB524252 HRX524252 IBT524252 ILP524252 IVL524252 JFH524252 JPD524252 JYZ524252 KIV524252 KSR524252 LCN524252 LMJ524252 LWF524252 MGB524252 MPX524252 MZT524252 NJP524252 NTL524252 ODH524252 OND524252 OWZ524252 PGV524252 PQR524252 QAN524252 QKJ524252 QUF524252 REB524252 RNX524252 RXT524252 SHP524252 SRL524252 TBH524252 TLD524252 TUZ524252 UEV524252 UOR524252 UYN524252 VIJ524252 VSF524252 WCB524252 WLX524252 WVT524252 N589788 JH589788 TD589788 ACZ589788 AMV589788 AWR589788 BGN589788 BQJ589788 CAF589788 CKB589788 CTX589788 DDT589788 DNP589788 DXL589788 EHH589788 ERD589788 FAZ589788 FKV589788 FUR589788 GEN589788 GOJ589788 GYF589788 HIB589788 HRX589788 IBT589788 ILP589788 IVL589788 JFH589788 JPD589788 JYZ589788 KIV589788 KSR589788 LCN589788 LMJ589788 LWF589788 MGB589788 MPX589788 MZT589788 NJP589788 NTL589788 ODH589788 OND589788 OWZ589788 PGV589788 PQR589788 QAN589788 QKJ589788 QUF589788 REB589788 RNX589788 RXT589788 SHP589788 SRL589788 TBH589788 TLD589788 TUZ589788 UEV589788 UOR589788 UYN589788 VIJ589788 VSF589788 WCB589788 WLX589788 WVT589788 N655324 JH655324 TD655324 ACZ655324 AMV655324 AWR655324 BGN655324 BQJ655324 CAF655324 CKB655324 CTX655324 DDT655324 DNP655324 DXL655324 EHH655324 ERD655324 FAZ655324 FKV655324 FUR655324 GEN655324 GOJ655324 GYF655324 HIB655324 HRX655324 IBT655324 ILP655324 IVL655324 JFH655324 JPD655324 JYZ655324 KIV655324 KSR655324 LCN655324 LMJ655324 LWF655324 MGB655324 MPX655324 MZT655324 NJP655324 NTL655324 ODH655324 OND655324 OWZ655324 PGV655324 PQR655324 QAN655324 QKJ655324 QUF655324 REB655324 RNX655324 RXT655324 SHP655324 SRL655324 TBH655324 TLD655324 TUZ655324 UEV655324 UOR655324 UYN655324 VIJ655324 VSF655324 WCB655324 WLX655324 WVT655324 N720860 JH720860 TD720860 ACZ720860 AMV720860 AWR720860 BGN720860 BQJ720860 CAF720860 CKB720860 CTX720860 DDT720860 DNP720860 DXL720860 EHH720860 ERD720860 FAZ720860 FKV720860 FUR720860 GEN720860 GOJ720860 GYF720860 HIB720860 HRX720860 IBT720860 ILP720860 IVL720860 JFH720860 JPD720860 JYZ720860 KIV720860 KSR720860 LCN720860 LMJ720860 LWF720860 MGB720860 MPX720860 MZT720860 NJP720860 NTL720860 ODH720860 OND720860 OWZ720860 PGV720860 PQR720860 QAN720860 QKJ720860 QUF720860 REB720860 RNX720860 RXT720860 SHP720860 SRL720860 TBH720860 TLD720860 TUZ720860 UEV720860 UOR720860 UYN720860 VIJ720860 VSF720860 WCB720860 WLX720860 WVT720860 N786396 JH786396 TD786396 ACZ786396 AMV786396 AWR786396 BGN786396 BQJ786396 CAF786396 CKB786396 CTX786396 DDT786396 DNP786396 DXL786396 EHH786396 ERD786396 FAZ786396 FKV786396 FUR786396 GEN786396 GOJ786396 GYF786396 HIB786396 HRX786396 IBT786396 ILP786396 IVL786396 JFH786396 JPD786396 JYZ786396 KIV786396 KSR786396 LCN786396 LMJ786396 LWF786396 MGB786396 MPX786396 MZT786396 NJP786396 NTL786396 ODH786396 OND786396 OWZ786396 PGV786396 PQR786396 QAN786396 QKJ786396 QUF786396 REB786396 RNX786396 RXT786396 SHP786396 SRL786396 TBH786396 TLD786396 TUZ786396 UEV786396 UOR786396 UYN786396 VIJ786396 VSF786396 WCB786396 WLX786396 WVT786396 N851932 JH851932 TD851932 ACZ851932 AMV851932 AWR851932 BGN851932 BQJ851932 CAF851932 CKB851932 CTX851932 DDT851932 DNP851932 DXL851932 EHH851932 ERD851932 FAZ851932 FKV851932 FUR851932 GEN851932 GOJ851932 GYF851932 HIB851932 HRX851932 IBT851932 ILP851932 IVL851932 JFH851932 JPD851932 JYZ851932 KIV851932 KSR851932 LCN851932 LMJ851932 LWF851932 MGB851932 MPX851932 MZT851932 NJP851932 NTL851932 ODH851932 OND851932 OWZ851932 PGV851932 PQR851932 QAN851932 QKJ851932 QUF851932 REB851932 RNX851932 RXT851932 SHP851932 SRL851932 TBH851932 TLD851932 TUZ851932 UEV851932 UOR851932 UYN851932 VIJ851932 VSF851932 WCB851932 WLX851932 WVT851932 N917468 JH917468 TD917468 ACZ917468 AMV917468 AWR917468 BGN917468 BQJ917468 CAF917468 CKB917468 CTX917468 DDT917468 DNP917468 DXL917468 EHH917468 ERD917468 FAZ917468 FKV917468 FUR917468 GEN917468 GOJ917468 GYF917468 HIB917468 HRX917468 IBT917468 ILP917468 IVL917468 JFH917468 JPD917468 JYZ917468 KIV917468 KSR917468 LCN917468 LMJ917468 LWF917468 MGB917468 MPX917468 MZT917468 NJP917468 NTL917468 ODH917468 OND917468 OWZ917468 PGV917468 PQR917468 QAN917468 QKJ917468 QUF917468 REB917468 RNX917468 RXT917468 SHP917468 SRL917468 TBH917468 TLD917468 TUZ917468 UEV917468 UOR917468 UYN917468 VIJ917468 VSF917468 WCB917468 WLX917468 WVT917468 N983004 JH983004 TD983004 ACZ983004 AMV983004 AWR983004 BGN983004 BQJ983004 CAF983004 CKB983004 CTX983004 DDT983004 DNP983004 DXL983004 EHH983004 ERD983004 FAZ983004 FKV983004 FUR983004 GEN983004 GOJ983004 GYF983004 HIB983004 HRX983004 IBT983004 ILP983004 IVL983004 JFH983004 JPD983004 JYZ983004 KIV983004 KSR983004 LCN983004 LMJ983004 LWF983004 MGB983004 MPX983004 MZT983004 NJP983004 NTL983004 ODH983004 OND983004 OWZ983004 PGV983004 PQR983004 QAN983004 QKJ983004 QUF983004 REB983004 RNX983004 RXT983004 SHP983004 SRL983004 TBH983004 TLD983004 TUZ983004 UEV983004 UOR983004 UYN983004 VIJ983004 VSF983004 WCB983004 WLX983004 WVT983004 WCB983043 JH45 TD45 ACZ45 AMV45 AWR45 BGN45 BQJ45 CAF45 CKB45 CTX45 DDT45 DNP45 DXL45 EHH45 ERD45 FAZ45 FKV45 FUR45 GEN45 GOJ45 GYF45 HIB45 HRX45 IBT45 ILP45 IVL45 JFH45 JPD45 JYZ45 KIV45 KSR45 LCN45 LMJ45 LWF45 MGB45 MPX45 MZT45 NJP45 NTL45 ODH45 OND45 OWZ45 PGV45 PQR45 QAN45 QKJ45 QUF45 REB45 RNX45 RXT45 SHP45 SRL45 TBH45 TLD45 TUZ45 UEV45 UOR45 UYN45 VIJ45 VSF45 WCB45 WLX45 WVT45 N65513 JH65513 TD65513 ACZ65513 AMV65513 AWR65513 BGN65513 BQJ65513 CAF65513 CKB65513 CTX65513 DDT65513 DNP65513 DXL65513 EHH65513 ERD65513 FAZ65513 FKV65513 FUR65513 GEN65513 GOJ65513 GYF65513 HIB65513 HRX65513 IBT65513 ILP65513 IVL65513 JFH65513 JPD65513 JYZ65513 KIV65513 KSR65513 LCN65513 LMJ65513 LWF65513 MGB65513 MPX65513 MZT65513 NJP65513 NTL65513 ODH65513 OND65513 OWZ65513 PGV65513 PQR65513 QAN65513 QKJ65513 QUF65513 REB65513 RNX65513 RXT65513 SHP65513 SRL65513 TBH65513 TLD65513 TUZ65513 UEV65513 UOR65513 UYN65513 VIJ65513 VSF65513 WCB65513 WLX65513 WVT65513 N131049 JH131049 TD131049 ACZ131049 AMV131049 AWR131049 BGN131049 BQJ131049 CAF131049 CKB131049 CTX131049 DDT131049 DNP131049 DXL131049 EHH131049 ERD131049 FAZ131049 FKV131049 FUR131049 GEN131049 GOJ131049 GYF131049 HIB131049 HRX131049 IBT131049 ILP131049 IVL131049 JFH131049 JPD131049 JYZ131049 KIV131049 KSR131049 LCN131049 LMJ131049 LWF131049 MGB131049 MPX131049 MZT131049 NJP131049 NTL131049 ODH131049 OND131049 OWZ131049 PGV131049 PQR131049 QAN131049 QKJ131049 QUF131049 REB131049 RNX131049 RXT131049 SHP131049 SRL131049 TBH131049 TLD131049 TUZ131049 UEV131049 UOR131049 UYN131049 VIJ131049 VSF131049 WCB131049 WLX131049 WVT131049 N196585 JH196585 TD196585 ACZ196585 AMV196585 AWR196585 BGN196585 BQJ196585 CAF196585 CKB196585 CTX196585 DDT196585 DNP196585 DXL196585 EHH196585 ERD196585 FAZ196585 FKV196585 FUR196585 GEN196585 GOJ196585 GYF196585 HIB196585 HRX196585 IBT196585 ILP196585 IVL196585 JFH196585 JPD196585 JYZ196585 KIV196585 KSR196585 LCN196585 LMJ196585 LWF196585 MGB196585 MPX196585 MZT196585 NJP196585 NTL196585 ODH196585 OND196585 OWZ196585 PGV196585 PQR196585 QAN196585 QKJ196585 QUF196585 REB196585 RNX196585 RXT196585 SHP196585 SRL196585 TBH196585 TLD196585 TUZ196585 UEV196585 UOR196585 UYN196585 VIJ196585 VSF196585 WCB196585 WLX196585 WVT196585 N262121 JH262121 TD262121 ACZ262121 AMV262121 AWR262121 BGN262121 BQJ262121 CAF262121 CKB262121 CTX262121 DDT262121 DNP262121 DXL262121 EHH262121 ERD262121 FAZ262121 FKV262121 FUR262121 GEN262121 GOJ262121 GYF262121 HIB262121 HRX262121 IBT262121 ILP262121 IVL262121 JFH262121 JPD262121 JYZ262121 KIV262121 KSR262121 LCN262121 LMJ262121 LWF262121 MGB262121 MPX262121 MZT262121 NJP262121 NTL262121 ODH262121 OND262121 OWZ262121 PGV262121 PQR262121 QAN262121 QKJ262121 QUF262121 REB262121 RNX262121 RXT262121 SHP262121 SRL262121 TBH262121 TLD262121 TUZ262121 UEV262121 UOR262121 UYN262121 VIJ262121 VSF262121 WCB262121 WLX262121 WVT262121 N327657 JH327657 TD327657 ACZ327657 AMV327657 AWR327657 BGN327657 BQJ327657 CAF327657 CKB327657 CTX327657 DDT327657 DNP327657 DXL327657 EHH327657 ERD327657 FAZ327657 FKV327657 FUR327657 GEN327657 GOJ327657 GYF327657 HIB327657 HRX327657 IBT327657 ILP327657 IVL327657 JFH327657 JPD327657 JYZ327657 KIV327657 KSR327657 LCN327657 LMJ327657 LWF327657 MGB327657 MPX327657 MZT327657 NJP327657 NTL327657 ODH327657 OND327657 OWZ327657 PGV327657 PQR327657 QAN327657 QKJ327657 QUF327657 REB327657 RNX327657 RXT327657 SHP327657 SRL327657 TBH327657 TLD327657 TUZ327657 UEV327657 UOR327657 UYN327657 VIJ327657 VSF327657 WCB327657 WLX327657 WVT327657 N393193 JH393193 TD393193 ACZ393193 AMV393193 AWR393193 BGN393193 BQJ393193 CAF393193 CKB393193 CTX393193 DDT393193 DNP393193 DXL393193 EHH393193 ERD393193 FAZ393193 FKV393193 FUR393193 GEN393193 GOJ393193 GYF393193 HIB393193 HRX393193 IBT393193 ILP393193 IVL393193 JFH393193 JPD393193 JYZ393193 KIV393193 KSR393193 LCN393193 LMJ393193 LWF393193 MGB393193 MPX393193 MZT393193 NJP393193 NTL393193 ODH393193 OND393193 OWZ393193 PGV393193 PQR393193 QAN393193 QKJ393193 QUF393193 REB393193 RNX393193 RXT393193 SHP393193 SRL393193 TBH393193 TLD393193 TUZ393193 UEV393193 UOR393193 UYN393193 VIJ393193 VSF393193 WCB393193 WLX393193 WVT393193 N458729 JH458729 TD458729 ACZ458729 AMV458729 AWR458729 BGN458729 BQJ458729 CAF458729 CKB458729 CTX458729 DDT458729 DNP458729 DXL458729 EHH458729 ERD458729 FAZ458729 FKV458729 FUR458729 GEN458729 GOJ458729 GYF458729 HIB458729 HRX458729 IBT458729 ILP458729 IVL458729 JFH458729 JPD458729 JYZ458729 KIV458729 KSR458729 LCN458729 LMJ458729 LWF458729 MGB458729 MPX458729 MZT458729 NJP458729 NTL458729 ODH458729 OND458729 OWZ458729 PGV458729 PQR458729 QAN458729 QKJ458729 QUF458729 REB458729 RNX458729 RXT458729 SHP458729 SRL458729 TBH458729 TLD458729 TUZ458729 UEV458729 UOR458729 UYN458729 VIJ458729 VSF458729 WCB458729 WLX458729 WVT458729 N524265 JH524265 TD524265 ACZ524265 AMV524265 AWR524265 BGN524265 BQJ524265 CAF524265 CKB524265 CTX524265 DDT524265 DNP524265 DXL524265 EHH524265 ERD524265 FAZ524265 FKV524265 FUR524265 GEN524265 GOJ524265 GYF524265 HIB524265 HRX524265 IBT524265 ILP524265 IVL524265 JFH524265 JPD524265 JYZ524265 KIV524265 KSR524265 LCN524265 LMJ524265 LWF524265 MGB524265 MPX524265 MZT524265 NJP524265 NTL524265 ODH524265 OND524265 OWZ524265 PGV524265 PQR524265 QAN524265 QKJ524265 QUF524265 REB524265 RNX524265 RXT524265 SHP524265 SRL524265 TBH524265 TLD524265 TUZ524265 UEV524265 UOR524265 UYN524265 VIJ524265 VSF524265 WCB524265 WLX524265 WVT524265 N589801 JH589801 TD589801 ACZ589801 AMV589801 AWR589801 BGN589801 BQJ589801 CAF589801 CKB589801 CTX589801 DDT589801 DNP589801 DXL589801 EHH589801 ERD589801 FAZ589801 FKV589801 FUR589801 GEN589801 GOJ589801 GYF589801 HIB589801 HRX589801 IBT589801 ILP589801 IVL589801 JFH589801 JPD589801 JYZ589801 KIV589801 KSR589801 LCN589801 LMJ589801 LWF589801 MGB589801 MPX589801 MZT589801 NJP589801 NTL589801 ODH589801 OND589801 OWZ589801 PGV589801 PQR589801 QAN589801 QKJ589801 QUF589801 REB589801 RNX589801 RXT589801 SHP589801 SRL589801 TBH589801 TLD589801 TUZ589801 UEV589801 UOR589801 UYN589801 VIJ589801 VSF589801 WCB589801 WLX589801 WVT589801 N655337 JH655337 TD655337 ACZ655337 AMV655337 AWR655337 BGN655337 BQJ655337 CAF655337 CKB655337 CTX655337 DDT655337 DNP655337 DXL655337 EHH655337 ERD655337 FAZ655337 FKV655337 FUR655337 GEN655337 GOJ655337 GYF655337 HIB655337 HRX655337 IBT655337 ILP655337 IVL655337 JFH655337 JPD655337 JYZ655337 KIV655337 KSR655337 LCN655337 LMJ655337 LWF655337 MGB655337 MPX655337 MZT655337 NJP655337 NTL655337 ODH655337 OND655337 OWZ655337 PGV655337 PQR655337 QAN655337 QKJ655337 QUF655337 REB655337 RNX655337 RXT655337 SHP655337 SRL655337 TBH655337 TLD655337 TUZ655337 UEV655337 UOR655337 UYN655337 VIJ655337 VSF655337 WCB655337 WLX655337 WVT655337 N720873 JH720873 TD720873 ACZ720873 AMV720873 AWR720873 BGN720873 BQJ720873 CAF720873 CKB720873 CTX720873 DDT720873 DNP720873 DXL720873 EHH720873 ERD720873 FAZ720873 FKV720873 FUR720873 GEN720873 GOJ720873 GYF720873 HIB720873 HRX720873 IBT720873 ILP720873 IVL720873 JFH720873 JPD720873 JYZ720873 KIV720873 KSR720873 LCN720873 LMJ720873 LWF720873 MGB720873 MPX720873 MZT720873 NJP720873 NTL720873 ODH720873 OND720873 OWZ720873 PGV720873 PQR720873 QAN720873 QKJ720873 QUF720873 REB720873 RNX720873 RXT720873 SHP720873 SRL720873 TBH720873 TLD720873 TUZ720873 UEV720873 UOR720873 UYN720873 VIJ720873 VSF720873 WCB720873 WLX720873 WVT720873 N786409 JH786409 TD786409 ACZ786409 AMV786409 AWR786409 BGN786409 BQJ786409 CAF786409 CKB786409 CTX786409 DDT786409 DNP786409 DXL786409 EHH786409 ERD786409 FAZ786409 FKV786409 FUR786409 GEN786409 GOJ786409 GYF786409 HIB786409 HRX786409 IBT786409 ILP786409 IVL786409 JFH786409 JPD786409 JYZ786409 KIV786409 KSR786409 LCN786409 LMJ786409 LWF786409 MGB786409 MPX786409 MZT786409 NJP786409 NTL786409 ODH786409 OND786409 OWZ786409 PGV786409 PQR786409 QAN786409 QKJ786409 QUF786409 REB786409 RNX786409 RXT786409 SHP786409 SRL786409 TBH786409 TLD786409 TUZ786409 UEV786409 UOR786409 UYN786409 VIJ786409 VSF786409 WCB786409 WLX786409 WVT786409 N851945 JH851945 TD851945 ACZ851945 AMV851945 AWR851945 BGN851945 BQJ851945 CAF851945 CKB851945 CTX851945 DDT851945 DNP851945 DXL851945 EHH851945 ERD851945 FAZ851945 FKV851945 FUR851945 GEN851945 GOJ851945 GYF851945 HIB851945 HRX851945 IBT851945 ILP851945 IVL851945 JFH851945 JPD851945 JYZ851945 KIV851945 KSR851945 LCN851945 LMJ851945 LWF851945 MGB851945 MPX851945 MZT851945 NJP851945 NTL851945 ODH851945 OND851945 OWZ851945 PGV851945 PQR851945 QAN851945 QKJ851945 QUF851945 REB851945 RNX851945 RXT851945 SHP851945 SRL851945 TBH851945 TLD851945 TUZ851945 UEV851945 UOR851945 UYN851945 VIJ851945 VSF851945 WCB851945 WLX851945 WVT851945 N917481 JH917481 TD917481 ACZ917481 AMV917481 AWR917481 BGN917481 BQJ917481 CAF917481 CKB917481 CTX917481 DDT917481 DNP917481 DXL917481 EHH917481 ERD917481 FAZ917481 FKV917481 FUR917481 GEN917481 GOJ917481 GYF917481 HIB917481 HRX917481 IBT917481 ILP917481 IVL917481 JFH917481 JPD917481 JYZ917481 KIV917481 KSR917481 LCN917481 LMJ917481 LWF917481 MGB917481 MPX917481 MZT917481 NJP917481 NTL917481 ODH917481 OND917481 OWZ917481 PGV917481 PQR917481 QAN917481 QKJ917481 QUF917481 REB917481 RNX917481 RXT917481 SHP917481 SRL917481 TBH917481 TLD917481 TUZ917481 UEV917481 UOR917481 UYN917481 VIJ917481 VSF917481 WCB917481 WLX917481 WVT917481 N983017 JH983017 TD983017 ACZ983017 AMV983017 AWR983017 BGN983017 BQJ983017 CAF983017 CKB983017 CTX983017 DDT983017 DNP983017 DXL983017 EHH983017 ERD983017 FAZ983017 FKV983017 FUR983017 GEN983017 GOJ983017 GYF983017 HIB983017 HRX983017 IBT983017 ILP983017 IVL983017 JFH983017 JPD983017 JYZ983017 KIV983017 KSR983017 LCN983017 LMJ983017 LWF983017 MGB983017 MPX983017 MZT983017 NJP983017 NTL983017 ODH983017 OND983017 OWZ983017 PGV983017 PQR983017 QAN983017 QKJ983017 QUF983017 REB983017 RNX983017 RXT983017 SHP983017 SRL983017 TBH983017 TLD983017 TUZ983017 UEV983017 UOR983017 UYN983017 VIJ983017 VSF983017 WCB983017 WLX983017 WVT983017 N65526 JH65526 TD65526 ACZ65526 AMV65526 AWR65526 BGN65526 BQJ65526 CAF65526 CKB65526 CTX65526 DDT65526 DNP65526 DXL65526 EHH65526 ERD65526 FAZ65526 FKV65526 FUR65526 GEN65526 GOJ65526 GYF65526 HIB65526 HRX65526 IBT65526 ILP65526 IVL65526 JFH65526 JPD65526 JYZ65526 KIV65526 KSR65526 LCN65526 LMJ65526 LWF65526 MGB65526 MPX65526 MZT65526 NJP65526 NTL65526 ODH65526 OND65526 OWZ65526 PGV65526 PQR65526 QAN65526 QKJ65526 QUF65526 REB65526 RNX65526 RXT65526 SHP65526 SRL65526 TBH65526 TLD65526 TUZ65526 UEV65526 UOR65526 UYN65526 VIJ65526 VSF65526 WCB65526 WLX65526 WVT65526 N131062 JH131062 TD131062 ACZ131062 AMV131062 AWR131062 BGN131062 BQJ131062 CAF131062 CKB131062 CTX131062 DDT131062 DNP131062 DXL131062 EHH131062 ERD131062 FAZ131062 FKV131062 FUR131062 GEN131062 GOJ131062 GYF131062 HIB131062 HRX131062 IBT131062 ILP131062 IVL131062 JFH131062 JPD131062 JYZ131062 KIV131062 KSR131062 LCN131062 LMJ131062 LWF131062 MGB131062 MPX131062 MZT131062 NJP131062 NTL131062 ODH131062 OND131062 OWZ131062 PGV131062 PQR131062 QAN131062 QKJ131062 QUF131062 REB131062 RNX131062 RXT131062 SHP131062 SRL131062 TBH131062 TLD131062 TUZ131062 UEV131062 UOR131062 UYN131062 VIJ131062 VSF131062 WCB131062 WLX131062 WVT131062 N196598 JH196598 TD196598 ACZ196598 AMV196598 AWR196598 BGN196598 BQJ196598 CAF196598 CKB196598 CTX196598 DDT196598 DNP196598 DXL196598 EHH196598 ERD196598 FAZ196598 FKV196598 FUR196598 GEN196598 GOJ196598 GYF196598 HIB196598 HRX196598 IBT196598 ILP196598 IVL196598 JFH196598 JPD196598 JYZ196598 KIV196598 KSR196598 LCN196598 LMJ196598 LWF196598 MGB196598 MPX196598 MZT196598 NJP196598 NTL196598 ODH196598 OND196598 OWZ196598 PGV196598 PQR196598 QAN196598 QKJ196598 QUF196598 REB196598 RNX196598 RXT196598 SHP196598 SRL196598 TBH196598 TLD196598 TUZ196598 UEV196598 UOR196598 UYN196598 VIJ196598 VSF196598 WCB196598 WLX196598 WVT196598 N262134 JH262134 TD262134 ACZ262134 AMV262134 AWR262134 BGN262134 BQJ262134 CAF262134 CKB262134 CTX262134 DDT262134 DNP262134 DXL262134 EHH262134 ERD262134 FAZ262134 FKV262134 FUR262134 GEN262134 GOJ262134 GYF262134 HIB262134 HRX262134 IBT262134 ILP262134 IVL262134 JFH262134 JPD262134 JYZ262134 KIV262134 KSR262134 LCN262134 LMJ262134 LWF262134 MGB262134 MPX262134 MZT262134 NJP262134 NTL262134 ODH262134 OND262134 OWZ262134 PGV262134 PQR262134 QAN262134 QKJ262134 QUF262134 REB262134 RNX262134 RXT262134 SHP262134 SRL262134 TBH262134 TLD262134 TUZ262134 UEV262134 UOR262134 UYN262134 VIJ262134 VSF262134 WCB262134 WLX262134 WVT262134 N327670 JH327670 TD327670 ACZ327670 AMV327670 AWR327670 BGN327670 BQJ327670 CAF327670 CKB327670 CTX327670 DDT327670 DNP327670 DXL327670 EHH327670 ERD327670 FAZ327670 FKV327670 FUR327670 GEN327670 GOJ327670 GYF327670 HIB327670 HRX327670 IBT327670 ILP327670 IVL327670 JFH327670 JPD327670 JYZ327670 KIV327670 KSR327670 LCN327670 LMJ327670 LWF327670 MGB327670 MPX327670 MZT327670 NJP327670 NTL327670 ODH327670 OND327670 OWZ327670 PGV327670 PQR327670 QAN327670 QKJ327670 QUF327670 REB327670 RNX327670 RXT327670 SHP327670 SRL327670 TBH327670 TLD327670 TUZ327670 UEV327670 UOR327670 UYN327670 VIJ327670 VSF327670 WCB327670 WLX327670 WVT327670 N393206 JH393206 TD393206 ACZ393206 AMV393206 AWR393206 BGN393206 BQJ393206 CAF393206 CKB393206 CTX393206 DDT393206 DNP393206 DXL393206 EHH393206 ERD393206 FAZ393206 FKV393206 FUR393206 GEN393206 GOJ393206 GYF393206 HIB393206 HRX393206 IBT393206 ILP393206 IVL393206 JFH393206 JPD393206 JYZ393206 KIV393206 KSR393206 LCN393206 LMJ393206 LWF393206 MGB393206 MPX393206 MZT393206 NJP393206 NTL393206 ODH393206 OND393206 OWZ393206 PGV393206 PQR393206 QAN393206 QKJ393206 QUF393206 REB393206 RNX393206 RXT393206 SHP393206 SRL393206 TBH393206 TLD393206 TUZ393206 UEV393206 UOR393206 UYN393206 VIJ393206 VSF393206 WCB393206 WLX393206 WVT393206 N458742 JH458742 TD458742 ACZ458742 AMV458742 AWR458742 BGN458742 BQJ458742 CAF458742 CKB458742 CTX458742 DDT458742 DNP458742 DXL458742 EHH458742 ERD458742 FAZ458742 FKV458742 FUR458742 GEN458742 GOJ458742 GYF458742 HIB458742 HRX458742 IBT458742 ILP458742 IVL458742 JFH458742 JPD458742 JYZ458742 KIV458742 KSR458742 LCN458742 LMJ458742 LWF458742 MGB458742 MPX458742 MZT458742 NJP458742 NTL458742 ODH458742 OND458742 OWZ458742 PGV458742 PQR458742 QAN458742 QKJ458742 QUF458742 REB458742 RNX458742 RXT458742 SHP458742 SRL458742 TBH458742 TLD458742 TUZ458742 UEV458742 UOR458742 UYN458742 VIJ458742 VSF458742 WCB458742 WLX458742 WVT458742 N524278 JH524278 TD524278 ACZ524278 AMV524278 AWR524278 BGN524278 BQJ524278 CAF524278 CKB524278 CTX524278 DDT524278 DNP524278 DXL524278 EHH524278 ERD524278 FAZ524278 FKV524278 FUR524278 GEN524278 GOJ524278 GYF524278 HIB524278 HRX524278 IBT524278 ILP524278 IVL524278 JFH524278 JPD524278 JYZ524278 KIV524278 KSR524278 LCN524278 LMJ524278 LWF524278 MGB524278 MPX524278 MZT524278 NJP524278 NTL524278 ODH524278 OND524278 OWZ524278 PGV524278 PQR524278 QAN524278 QKJ524278 QUF524278 REB524278 RNX524278 RXT524278 SHP524278 SRL524278 TBH524278 TLD524278 TUZ524278 UEV524278 UOR524278 UYN524278 VIJ524278 VSF524278 WCB524278 WLX524278 WVT524278 N589814 JH589814 TD589814 ACZ589814 AMV589814 AWR589814 BGN589814 BQJ589814 CAF589814 CKB589814 CTX589814 DDT589814 DNP589814 DXL589814 EHH589814 ERD589814 FAZ589814 FKV589814 FUR589814 GEN589814 GOJ589814 GYF589814 HIB589814 HRX589814 IBT589814 ILP589814 IVL589814 JFH589814 JPD589814 JYZ589814 KIV589814 KSR589814 LCN589814 LMJ589814 LWF589814 MGB589814 MPX589814 MZT589814 NJP589814 NTL589814 ODH589814 OND589814 OWZ589814 PGV589814 PQR589814 QAN589814 QKJ589814 QUF589814 REB589814 RNX589814 RXT589814 SHP589814 SRL589814 TBH589814 TLD589814 TUZ589814 UEV589814 UOR589814 UYN589814 VIJ589814 VSF589814 WCB589814 WLX589814 WVT589814 N655350 JH655350 TD655350 ACZ655350 AMV655350 AWR655350 BGN655350 BQJ655350 CAF655350 CKB655350 CTX655350 DDT655350 DNP655350 DXL655350 EHH655350 ERD655350 FAZ655350 FKV655350 FUR655350 GEN655350 GOJ655350 GYF655350 HIB655350 HRX655350 IBT655350 ILP655350 IVL655350 JFH655350 JPD655350 JYZ655350 KIV655350 KSR655350 LCN655350 LMJ655350 LWF655350 MGB655350 MPX655350 MZT655350 NJP655350 NTL655350 ODH655350 OND655350 OWZ655350 PGV655350 PQR655350 QAN655350 QKJ655350 QUF655350 REB655350 RNX655350 RXT655350 SHP655350 SRL655350 TBH655350 TLD655350 TUZ655350 UEV655350 UOR655350 UYN655350 VIJ655350 VSF655350 WCB655350 WLX655350 WVT655350 N720886 JH720886 TD720886 ACZ720886 AMV720886 AWR720886 BGN720886 BQJ720886 CAF720886 CKB720886 CTX720886 DDT720886 DNP720886 DXL720886 EHH720886 ERD720886 FAZ720886 FKV720886 FUR720886 GEN720886 GOJ720886 GYF720886 HIB720886 HRX720886 IBT720886 ILP720886 IVL720886 JFH720886 JPD720886 JYZ720886 KIV720886 KSR720886 LCN720886 LMJ720886 LWF720886 MGB720886 MPX720886 MZT720886 NJP720886 NTL720886 ODH720886 OND720886 OWZ720886 PGV720886 PQR720886 QAN720886 QKJ720886 QUF720886 REB720886 RNX720886 RXT720886 SHP720886 SRL720886 TBH720886 TLD720886 TUZ720886 UEV720886 UOR720886 UYN720886 VIJ720886 VSF720886 WCB720886 WLX720886 WVT720886 N786422 JH786422 TD786422 ACZ786422 AMV786422 AWR786422 BGN786422 BQJ786422 CAF786422 CKB786422 CTX786422 DDT786422 DNP786422 DXL786422 EHH786422 ERD786422 FAZ786422 FKV786422 FUR786422 GEN786422 GOJ786422 GYF786422 HIB786422 HRX786422 IBT786422 ILP786422 IVL786422 JFH786422 JPD786422 JYZ786422 KIV786422 KSR786422 LCN786422 LMJ786422 LWF786422 MGB786422 MPX786422 MZT786422 NJP786422 NTL786422 ODH786422 OND786422 OWZ786422 PGV786422 PQR786422 QAN786422 QKJ786422 QUF786422 REB786422 RNX786422 RXT786422 SHP786422 SRL786422 TBH786422 TLD786422 TUZ786422 UEV786422 UOR786422 UYN786422 VIJ786422 VSF786422 WCB786422 WLX786422 WVT786422 N851958 JH851958 TD851958 ACZ851958 AMV851958 AWR851958 BGN851958 BQJ851958 CAF851958 CKB851958 CTX851958 DDT851958 DNP851958 DXL851958 EHH851958 ERD851958 FAZ851958 FKV851958 FUR851958 GEN851958 GOJ851958 GYF851958 HIB851958 HRX851958 IBT851958 ILP851958 IVL851958 JFH851958 JPD851958 JYZ851958 KIV851958 KSR851958 LCN851958 LMJ851958 LWF851958 MGB851958 MPX851958 MZT851958 NJP851958 NTL851958 ODH851958 OND851958 OWZ851958 PGV851958 PQR851958 QAN851958 QKJ851958 QUF851958 REB851958 RNX851958 RXT851958 SHP851958 SRL851958 TBH851958 TLD851958 TUZ851958 UEV851958 UOR851958 UYN851958 VIJ851958 VSF851958 WCB851958 WLX851958 WVT851958 N917494 JH917494 TD917494 ACZ917494 AMV917494 AWR917494 BGN917494 BQJ917494 CAF917494 CKB917494 CTX917494 DDT917494 DNP917494 DXL917494 EHH917494 ERD917494 FAZ917494 FKV917494 FUR917494 GEN917494 GOJ917494 GYF917494 HIB917494 HRX917494 IBT917494 ILP917494 IVL917494 JFH917494 JPD917494 JYZ917494 KIV917494 KSR917494 LCN917494 LMJ917494 LWF917494 MGB917494 MPX917494 MZT917494 NJP917494 NTL917494 ODH917494 OND917494 OWZ917494 PGV917494 PQR917494 QAN917494 QKJ917494 QUF917494 REB917494 RNX917494 RXT917494 SHP917494 SRL917494 TBH917494 TLD917494 TUZ917494 UEV917494 UOR917494 UYN917494 VIJ917494 VSF917494 WCB917494 WLX917494 WVT917494 N983030 JH983030 TD983030 ACZ983030 AMV983030 AWR983030 BGN983030 BQJ983030 CAF983030 CKB983030 CTX983030 DDT983030 DNP983030 DXL983030 EHH983030 ERD983030 FAZ983030 FKV983030 FUR983030 GEN983030 GOJ983030 GYF983030 HIB983030 HRX983030 IBT983030 ILP983030 IVL983030 JFH983030 JPD983030 JYZ983030 KIV983030 KSR983030 LCN983030 LMJ983030 LWF983030 MGB983030 MPX983030 MZT983030 NJP983030 NTL983030 ODH983030 OND983030 OWZ983030 PGV983030 PQR983030 QAN983030 QKJ983030 QUF983030 REB983030 RNX983030 RXT983030 SHP983030 SRL983030 TBH983030 TLD983030 TUZ983030 UEV983030 UOR983030 UYN983030 VIJ983030 VSF983030 WCB983030 WLX983030 WVT983030 N65539 JH65539 TD65539 ACZ65539 AMV65539 AWR65539 BGN65539 BQJ65539 CAF65539 CKB65539 CTX65539 DDT65539 DNP65539 DXL65539 EHH65539 ERD65539 FAZ65539 FKV65539 FUR65539 GEN65539 GOJ65539 GYF65539 HIB65539 HRX65539 IBT65539 ILP65539 IVL65539 JFH65539 JPD65539 JYZ65539 KIV65539 KSR65539 LCN65539 LMJ65539 LWF65539 MGB65539 MPX65539 MZT65539 NJP65539 NTL65539 ODH65539 OND65539 OWZ65539 PGV65539 PQR65539 QAN65539 QKJ65539 QUF65539 REB65539 RNX65539 RXT65539 SHP65539 SRL65539 TBH65539 TLD65539 TUZ65539 UEV65539 UOR65539 UYN65539 VIJ65539 VSF65539 WCB65539 WLX65539 WVT65539 N131075 JH131075 TD131075 ACZ131075 AMV131075 AWR131075 BGN131075 BQJ131075 CAF131075 CKB131075 CTX131075 DDT131075 DNP131075 DXL131075 EHH131075 ERD131075 FAZ131075 FKV131075 FUR131075 GEN131075 GOJ131075 GYF131075 HIB131075 HRX131075 IBT131075 ILP131075 IVL131075 JFH131075 JPD131075 JYZ131075 KIV131075 KSR131075 LCN131075 LMJ131075 LWF131075 MGB131075 MPX131075 MZT131075 NJP131075 NTL131075 ODH131075 OND131075 OWZ131075 PGV131075 PQR131075 QAN131075 QKJ131075 QUF131075 REB131075 RNX131075 RXT131075 SHP131075 SRL131075 TBH131075 TLD131075 TUZ131075 UEV131075 UOR131075 UYN131075 VIJ131075 VSF131075 WCB131075 WLX131075 WVT131075 N196611 JH196611 TD196611 ACZ196611 AMV196611 AWR196611 BGN196611 BQJ196611 CAF196611 CKB196611 CTX196611 DDT196611 DNP196611 DXL196611 EHH196611 ERD196611 FAZ196611 FKV196611 FUR196611 GEN196611 GOJ196611 GYF196611 HIB196611 HRX196611 IBT196611 ILP196611 IVL196611 JFH196611 JPD196611 JYZ196611 KIV196611 KSR196611 LCN196611 LMJ196611 LWF196611 MGB196611 MPX196611 MZT196611 NJP196611 NTL196611 ODH196611 OND196611 OWZ196611 PGV196611 PQR196611 QAN196611 QKJ196611 QUF196611 REB196611 RNX196611 RXT196611 SHP196611 SRL196611 TBH196611 TLD196611 TUZ196611 UEV196611 UOR196611 UYN196611 VIJ196611 VSF196611 WCB196611 WLX196611 WVT196611 N262147 JH262147 TD262147 ACZ262147 AMV262147 AWR262147 BGN262147 BQJ262147 CAF262147 CKB262147 CTX262147 DDT262147 DNP262147 DXL262147 EHH262147 ERD262147 FAZ262147 FKV262147 FUR262147 GEN262147 GOJ262147 GYF262147 HIB262147 HRX262147 IBT262147 ILP262147 IVL262147 JFH262147 JPD262147 JYZ262147 KIV262147 KSR262147 LCN262147 LMJ262147 LWF262147 MGB262147 MPX262147 MZT262147 NJP262147 NTL262147 ODH262147 OND262147 OWZ262147 PGV262147 PQR262147 QAN262147 QKJ262147 QUF262147 REB262147 RNX262147 RXT262147 SHP262147 SRL262147 TBH262147 TLD262147 TUZ262147 UEV262147 UOR262147 UYN262147 VIJ262147 VSF262147 WCB262147 WLX262147 WVT262147 N327683 JH327683 TD327683 ACZ327683 AMV327683 AWR327683 BGN327683 BQJ327683 CAF327683 CKB327683 CTX327683 DDT327683 DNP327683 DXL327683 EHH327683 ERD327683 FAZ327683 FKV327683 FUR327683 GEN327683 GOJ327683 GYF327683 HIB327683 HRX327683 IBT327683 ILP327683 IVL327683 JFH327683 JPD327683 JYZ327683 KIV327683 KSR327683 LCN327683 LMJ327683 LWF327683 MGB327683 MPX327683 MZT327683 NJP327683 NTL327683 ODH327683 OND327683 OWZ327683 PGV327683 PQR327683 QAN327683 QKJ327683 QUF327683 REB327683 RNX327683 RXT327683 SHP327683 SRL327683 TBH327683 TLD327683 TUZ327683 UEV327683 UOR327683 UYN327683 VIJ327683 VSF327683 WCB327683 WLX327683 WVT327683 N393219 JH393219 TD393219 ACZ393219 AMV393219 AWR393219 BGN393219 BQJ393219 CAF393219 CKB393219 CTX393219 DDT393219 DNP393219 DXL393219 EHH393219 ERD393219 FAZ393219 FKV393219 FUR393219 GEN393219 GOJ393219 GYF393219 HIB393219 HRX393219 IBT393219 ILP393219 IVL393219 JFH393219 JPD393219 JYZ393219 KIV393219 KSR393219 LCN393219 LMJ393219 LWF393219 MGB393219 MPX393219 MZT393219 NJP393219 NTL393219 ODH393219 OND393219 OWZ393219 PGV393219 PQR393219 QAN393219 QKJ393219 QUF393219 REB393219 RNX393219 RXT393219 SHP393219 SRL393219 TBH393219 TLD393219 TUZ393219 UEV393219 UOR393219 UYN393219 VIJ393219 VSF393219 WCB393219 WLX393219 WVT393219 N458755 JH458755 TD458755 ACZ458755 AMV458755 AWR458755 BGN458755 BQJ458755 CAF458755 CKB458755 CTX458755 DDT458755 DNP458755 DXL458755 EHH458755 ERD458755 FAZ458755 FKV458755 FUR458755 GEN458755 GOJ458755 GYF458755 HIB458755 HRX458755 IBT458755 ILP458755 IVL458755 JFH458755 JPD458755 JYZ458755 KIV458755 KSR458755 LCN458755 LMJ458755 LWF458755 MGB458755 MPX458755 MZT458755 NJP458755 NTL458755 ODH458755 OND458755 OWZ458755 PGV458755 PQR458755 QAN458755 QKJ458755 QUF458755 REB458755 RNX458755 RXT458755 SHP458755 SRL458755 TBH458755 TLD458755 TUZ458755 UEV458755 UOR458755 UYN458755 VIJ458755 VSF458755 WCB458755 WLX458755 WVT458755 N524291 JH524291 TD524291 ACZ524291 AMV524291 AWR524291 BGN524291 BQJ524291 CAF524291 CKB524291 CTX524291 DDT524291 DNP524291 DXL524291 EHH524291 ERD524291 FAZ524291 FKV524291 FUR524291 GEN524291 GOJ524291 GYF524291 HIB524291 HRX524291 IBT524291 ILP524291 IVL524291 JFH524291 JPD524291 JYZ524291 KIV524291 KSR524291 LCN524291 LMJ524291 LWF524291 MGB524291 MPX524291 MZT524291 NJP524291 NTL524291 ODH524291 OND524291 OWZ524291 PGV524291 PQR524291 QAN524291 QKJ524291 QUF524291 REB524291 RNX524291 RXT524291 SHP524291 SRL524291 TBH524291 TLD524291 TUZ524291 UEV524291 UOR524291 UYN524291 VIJ524291 VSF524291 WCB524291 WLX524291 WVT524291 N589827 JH589827 TD589827 ACZ589827 AMV589827 AWR589827 BGN589827 BQJ589827 CAF589827 CKB589827 CTX589827 DDT589827 DNP589827 DXL589827 EHH589827 ERD589827 FAZ589827 FKV589827 FUR589827 GEN589827 GOJ589827 GYF589827 HIB589827 HRX589827 IBT589827 ILP589827 IVL589827 JFH589827 JPD589827 JYZ589827 KIV589827 KSR589827 LCN589827 LMJ589827 LWF589827 MGB589827 MPX589827 MZT589827 NJP589827 NTL589827 ODH589827 OND589827 OWZ589827 PGV589827 PQR589827 QAN589827 QKJ589827 QUF589827 REB589827 RNX589827 RXT589827 SHP589827 SRL589827 TBH589827 TLD589827 TUZ589827 UEV589827 UOR589827 UYN589827 VIJ589827 VSF589827 WCB589827 WLX589827 WVT589827 N655363 JH655363 TD655363 ACZ655363 AMV655363 AWR655363 BGN655363 BQJ655363 CAF655363 CKB655363 CTX655363 DDT655363 DNP655363 DXL655363 EHH655363 ERD655363 FAZ655363 FKV655363 FUR655363 GEN655363 GOJ655363 GYF655363 HIB655363 HRX655363 IBT655363 ILP655363 IVL655363 JFH655363 JPD655363 JYZ655363 KIV655363 KSR655363 LCN655363 LMJ655363 LWF655363 MGB655363 MPX655363 MZT655363 NJP655363 NTL655363 ODH655363 OND655363 OWZ655363 PGV655363 PQR655363 QAN655363 QKJ655363 QUF655363 REB655363 RNX655363 RXT655363 SHP655363 SRL655363 TBH655363 TLD655363 TUZ655363 UEV655363 UOR655363 UYN655363 VIJ655363 VSF655363 WCB655363 WLX655363 WVT655363 N720899 JH720899 TD720899 ACZ720899 AMV720899 AWR720899 BGN720899 BQJ720899 CAF720899 CKB720899 CTX720899 DDT720899 DNP720899 DXL720899 EHH720899 ERD720899 FAZ720899 FKV720899 FUR720899 GEN720899 GOJ720899 GYF720899 HIB720899 HRX720899 IBT720899 ILP720899 IVL720899 JFH720899 JPD720899 JYZ720899 KIV720899 KSR720899 LCN720899 LMJ720899 LWF720899 MGB720899 MPX720899 MZT720899 NJP720899 NTL720899 ODH720899 OND720899 OWZ720899 PGV720899 PQR720899 QAN720899 QKJ720899 QUF720899 REB720899 RNX720899 RXT720899 SHP720899 SRL720899 TBH720899 TLD720899 TUZ720899 UEV720899 UOR720899 UYN720899 VIJ720899 VSF720899 WCB720899 WLX720899 WVT720899 N786435 JH786435 TD786435 ACZ786435 AMV786435 AWR786435 BGN786435 BQJ786435 CAF786435 CKB786435 CTX786435 DDT786435 DNP786435 DXL786435 EHH786435 ERD786435 FAZ786435 FKV786435 FUR786435 GEN786435 GOJ786435 GYF786435 HIB786435 HRX786435 IBT786435 ILP786435 IVL786435 JFH786435 JPD786435 JYZ786435 KIV786435 KSR786435 LCN786435 LMJ786435 LWF786435 MGB786435 MPX786435 MZT786435 NJP786435 NTL786435 ODH786435 OND786435 OWZ786435 PGV786435 PQR786435 QAN786435 QKJ786435 QUF786435 REB786435 RNX786435 RXT786435 SHP786435 SRL786435 TBH786435 TLD786435 TUZ786435 UEV786435 UOR786435 UYN786435 VIJ786435 VSF786435 WCB786435 WLX786435 WVT786435 N851971 JH851971 TD851971 ACZ851971 AMV851971 AWR851971 BGN851971 BQJ851971 CAF851971 CKB851971 CTX851971 DDT851971 DNP851971 DXL851971 EHH851971 ERD851971 FAZ851971 FKV851971 FUR851971 GEN851971 GOJ851971 GYF851971 HIB851971 HRX851971 IBT851971 ILP851971 IVL851971 JFH851971 JPD851971 JYZ851971 KIV851971 KSR851971 LCN851971 LMJ851971 LWF851971 MGB851971 MPX851971 MZT851971 NJP851971 NTL851971 ODH851971 OND851971 OWZ851971 PGV851971 PQR851971 QAN851971 QKJ851971 QUF851971 REB851971 RNX851971 RXT851971 SHP851971 SRL851971 TBH851971 TLD851971 TUZ851971 UEV851971 UOR851971 UYN851971 VIJ851971 VSF851971 WCB851971 WLX851971 WVT851971 N917507 JH917507 TD917507 ACZ917507 AMV917507 AWR917507 BGN917507 BQJ917507 CAF917507 CKB917507 CTX917507 DDT917507 DNP917507 DXL917507 EHH917507 ERD917507 FAZ917507 FKV917507 FUR917507 GEN917507 GOJ917507 GYF917507 HIB917507 HRX917507 IBT917507 ILP917507 IVL917507 JFH917507 JPD917507 JYZ917507 KIV917507 KSR917507 LCN917507 LMJ917507 LWF917507 MGB917507 MPX917507 MZT917507 NJP917507 NTL917507 ODH917507 OND917507 OWZ917507 PGV917507 PQR917507 QAN917507 QKJ917507 QUF917507 REB917507 RNX917507 RXT917507 SHP917507 SRL917507 TBH917507 TLD917507 TUZ917507 UEV917507 UOR917507 UYN917507 VIJ917507 VSF917507 WCB917507 WLX917507 WVT917507 N983043 JH983043 TD983043 ACZ983043 AMV983043 AWR983043 BGN983043 BQJ983043 CAF983043 CKB983043 CTX983043 DDT983043 DNP983043 DXL983043 EHH983043 ERD983043 FAZ983043 FKV983043 FUR983043 GEN983043 GOJ983043 GYF983043 HIB983043 HRX983043 IBT983043 ILP983043 IVL983043 JFH983043 JPD983043 JYZ983043 KIV983043 KSR983043 LCN983043 LMJ983043 LWF983043 MGB983043 MPX983043 MZT983043 NJP983043 NTL983043 ODH983043 OND983043 OWZ983043 PGV983043 PQR983043 QAN983043 QKJ983043 QUF983043 REB983043 RNX983043 RXT983043 SHP983043 SRL983043 TBH983043 TLD983043 TUZ983043 UEV983043 UOR983043 UYN983043 VIJ983043 VSF983043" xr:uid="{00000000-0002-0000-1000-000003000000}">
      <formula1>N</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H54"/>
  <sheetViews>
    <sheetView topLeftCell="A41" workbookViewId="0">
      <selection activeCell="H52" sqref="H52"/>
    </sheetView>
  </sheetViews>
  <sheetFormatPr defaultRowHeight="15"/>
  <cols>
    <col min="1" max="1" width="9.140625" style="715"/>
    <col min="2" max="2" width="5.140625" style="715" bestFit="1" customWidth="1"/>
    <col min="3" max="3" width="62.28515625" style="715" bestFit="1" customWidth="1"/>
    <col min="4" max="4" width="8.42578125" style="715" bestFit="1" customWidth="1"/>
    <col min="5" max="5" width="5.140625" style="715" bestFit="1" customWidth="1"/>
    <col min="6" max="6" width="12.42578125" style="715" bestFit="1" customWidth="1"/>
    <col min="7" max="7" width="15.7109375" style="715" bestFit="1" customWidth="1"/>
    <col min="8" max="16384" width="9.140625" style="715"/>
  </cols>
  <sheetData>
    <row r="1" spans="2:8" hidden="1"/>
    <row r="2" spans="2:8" ht="15.75" hidden="1" thickBot="1">
      <c r="B2" s="1059" t="s">
        <v>1111</v>
      </c>
      <c r="C2" s="1060"/>
      <c r="D2" s="1060"/>
      <c r="E2" s="1060"/>
      <c r="F2" s="1060"/>
      <c r="G2" s="1061"/>
    </row>
    <row r="3" spans="2:8" ht="15.75" hidden="1" thickBot="1">
      <c r="B3" s="716" t="s">
        <v>76</v>
      </c>
      <c r="C3" s="717" t="s">
        <v>1112</v>
      </c>
      <c r="D3" s="718" t="s">
        <v>1113</v>
      </c>
      <c r="E3" s="718" t="s">
        <v>1114</v>
      </c>
      <c r="F3" s="718" t="s">
        <v>1115</v>
      </c>
      <c r="G3" s="718" t="s">
        <v>1116</v>
      </c>
    </row>
    <row r="4" spans="2:8" ht="15.75" hidden="1" thickBot="1">
      <c r="B4" s="719">
        <v>1</v>
      </c>
      <c r="C4" s="720" t="s">
        <v>1117</v>
      </c>
      <c r="D4" s="721"/>
      <c r="E4" s="721"/>
      <c r="F4" s="722"/>
      <c r="G4" s="721"/>
      <c r="H4" s="715" t="s">
        <v>1282</v>
      </c>
    </row>
    <row r="5" spans="2:8" ht="15.75" hidden="1" thickBot="1">
      <c r="B5" s="719">
        <v>2</v>
      </c>
      <c r="C5" s="723" t="s">
        <v>1118</v>
      </c>
      <c r="D5" s="721"/>
      <c r="E5" s="721"/>
      <c r="F5" s="722"/>
      <c r="G5" s="721"/>
      <c r="H5" s="715" t="s">
        <v>1282</v>
      </c>
    </row>
    <row r="6" spans="2:8" ht="15.75" hidden="1" thickBot="1">
      <c r="B6" s="719">
        <v>3</v>
      </c>
      <c r="C6" s="723" t="s">
        <v>1119</v>
      </c>
      <c r="D6" s="721"/>
      <c r="E6" s="721"/>
      <c r="F6" s="724"/>
      <c r="G6" s="722"/>
      <c r="H6" s="715" t="s">
        <v>1282</v>
      </c>
    </row>
    <row r="7" spans="2:8" ht="15.75" hidden="1" thickBot="1">
      <c r="B7" s="719">
        <v>4</v>
      </c>
      <c r="C7" s="720" t="s">
        <v>1120</v>
      </c>
      <c r="D7" s="721"/>
      <c r="E7" s="721"/>
      <c r="F7" s="722"/>
      <c r="G7" s="722"/>
      <c r="H7" s="715" t="s">
        <v>1282</v>
      </c>
    </row>
    <row r="8" spans="2:8" ht="15.75" hidden="1" thickBot="1">
      <c r="B8" s="719">
        <v>5</v>
      </c>
      <c r="C8" s="723" t="s">
        <v>1121</v>
      </c>
      <c r="D8" s="721"/>
      <c r="E8" s="722"/>
      <c r="F8" s="722"/>
      <c r="G8" s="722"/>
      <c r="H8" s="715" t="s">
        <v>1282</v>
      </c>
    </row>
    <row r="9" spans="2:8" ht="15.75" hidden="1" thickBot="1">
      <c r="B9" s="719">
        <v>5</v>
      </c>
      <c r="C9" s="723" t="s">
        <v>1125</v>
      </c>
      <c r="D9" s="721"/>
      <c r="E9" s="722"/>
      <c r="F9" s="722"/>
      <c r="G9" s="722"/>
      <c r="H9" s="715" t="s">
        <v>1282</v>
      </c>
    </row>
    <row r="10" spans="2:8" hidden="1">
      <c r="B10" s="1053">
        <v>6</v>
      </c>
      <c r="C10" s="1056" t="s">
        <v>1126</v>
      </c>
      <c r="D10" s="1053"/>
      <c r="E10" s="1053"/>
      <c r="F10" s="725"/>
      <c r="G10" s="725"/>
      <c r="H10" s="715" t="s">
        <v>1282</v>
      </c>
    </row>
    <row r="11" spans="2:8" hidden="1">
      <c r="B11" s="1054"/>
      <c r="C11" s="1057"/>
      <c r="D11" s="1054"/>
      <c r="E11" s="1054"/>
      <c r="F11" s="725"/>
      <c r="G11" s="725"/>
    </row>
    <row r="12" spans="2:8" ht="15.75" hidden="1" thickBot="1">
      <c r="B12" s="1055"/>
      <c r="C12" s="1058"/>
      <c r="D12" s="1055"/>
      <c r="E12" s="1055"/>
      <c r="F12" s="734"/>
      <c r="G12" s="722"/>
    </row>
    <row r="13" spans="2:8" hidden="1">
      <c r="B13" s="1053">
        <v>7</v>
      </c>
      <c r="C13" s="1056" t="s">
        <v>1128</v>
      </c>
      <c r="D13" s="1053"/>
      <c r="E13" s="1053"/>
      <c r="F13" s="1062"/>
      <c r="G13" s="725"/>
      <c r="H13" s="715" t="s">
        <v>1282</v>
      </c>
    </row>
    <row r="14" spans="2:8" ht="15.75" hidden="1" thickBot="1">
      <c r="B14" s="1055"/>
      <c r="C14" s="1058"/>
      <c r="D14" s="1055"/>
      <c r="E14" s="1055"/>
      <c r="F14" s="1063"/>
      <c r="G14" s="722"/>
    </row>
    <row r="15" spans="2:8" ht="15.75" hidden="1" thickBot="1">
      <c r="B15" s="719">
        <v>8</v>
      </c>
      <c r="C15" s="723" t="s">
        <v>1129</v>
      </c>
      <c r="D15" s="721"/>
      <c r="E15" s="721"/>
      <c r="F15" s="722"/>
      <c r="G15" s="722"/>
      <c r="H15" s="715" t="s">
        <v>1282</v>
      </c>
    </row>
    <row r="16" spans="2:8" ht="15.75" hidden="1" thickBot="1">
      <c r="B16" s="719">
        <v>9</v>
      </c>
      <c r="C16" s="720" t="s">
        <v>1130</v>
      </c>
      <c r="D16" s="722"/>
      <c r="E16" s="721"/>
      <c r="F16" s="721"/>
      <c r="G16" s="721"/>
      <c r="H16" s="715" t="s">
        <v>1282</v>
      </c>
    </row>
    <row r="17" spans="2:8" ht="15.75" hidden="1" thickBot="1">
      <c r="B17" s="719">
        <v>10</v>
      </c>
      <c r="C17" s="723" t="s">
        <v>1131</v>
      </c>
      <c r="D17" s="721"/>
      <c r="E17" s="722"/>
      <c r="F17" s="721"/>
      <c r="G17" s="721"/>
      <c r="H17" s="715" t="s">
        <v>1282</v>
      </c>
    </row>
    <row r="18" spans="2:8" ht="15.75" hidden="1" thickBot="1">
      <c r="B18" s="719">
        <v>11</v>
      </c>
      <c r="C18" s="723" t="s">
        <v>1132</v>
      </c>
      <c r="D18" s="721"/>
      <c r="E18" s="722"/>
      <c r="F18" s="721"/>
      <c r="G18" s="721"/>
      <c r="H18" s="715" t="s">
        <v>1282</v>
      </c>
    </row>
    <row r="19" spans="2:8" ht="15.75" hidden="1" thickBot="1">
      <c r="B19" s="719">
        <v>12</v>
      </c>
      <c r="C19" s="723" t="s">
        <v>1133</v>
      </c>
      <c r="D19" s="721"/>
      <c r="E19" s="722"/>
      <c r="F19" s="722"/>
      <c r="G19" s="721"/>
      <c r="H19" s="715" t="s">
        <v>1282</v>
      </c>
    </row>
    <row r="20" spans="2:8" ht="15.75" hidden="1" thickBot="1">
      <c r="B20" s="719">
        <v>13</v>
      </c>
      <c r="C20" s="720" t="s">
        <v>1134</v>
      </c>
      <c r="D20" s="721"/>
      <c r="E20" s="722"/>
      <c r="F20" s="722"/>
      <c r="G20" s="721"/>
      <c r="H20" s="715" t="s">
        <v>1282</v>
      </c>
    </row>
    <row r="21" spans="2:8" ht="15.75" hidden="1" thickBot="1">
      <c r="B21" s="719">
        <v>14</v>
      </c>
      <c r="C21" s="723" t="s">
        <v>1137</v>
      </c>
      <c r="D21" s="722"/>
      <c r="E21" s="721"/>
      <c r="F21" s="721"/>
      <c r="G21" s="721"/>
      <c r="H21" s="715" t="s">
        <v>1282</v>
      </c>
    </row>
    <row r="22" spans="2:8" ht="15.75" hidden="1" thickBot="1">
      <c r="B22" s="719">
        <v>15</v>
      </c>
      <c r="C22" s="723" t="s">
        <v>1138</v>
      </c>
      <c r="D22" s="721"/>
      <c r="E22" s="721"/>
      <c r="F22" s="722"/>
      <c r="G22" s="721"/>
      <c r="H22" s="715" t="s">
        <v>1282</v>
      </c>
    </row>
    <row r="23" spans="2:8" ht="15.75" hidden="1" thickBot="1">
      <c r="B23" s="719">
        <v>16</v>
      </c>
      <c r="C23" s="723" t="s">
        <v>1139</v>
      </c>
      <c r="D23" s="721"/>
      <c r="E23" s="722"/>
      <c r="F23" s="721"/>
      <c r="G23" s="721"/>
      <c r="H23" s="715" t="s">
        <v>1282</v>
      </c>
    </row>
    <row r="24" spans="2:8" ht="15.75" hidden="1" thickBot="1">
      <c r="B24" s="719">
        <v>17</v>
      </c>
      <c r="C24" s="723" t="s">
        <v>1140</v>
      </c>
      <c r="D24" s="721"/>
      <c r="E24" s="722"/>
      <c r="F24" s="721"/>
      <c r="G24" s="721"/>
      <c r="H24" s="715" t="s">
        <v>1282</v>
      </c>
    </row>
    <row r="25" spans="2:8" ht="15.75" hidden="1" thickBot="1">
      <c r="B25" s="719">
        <v>18</v>
      </c>
      <c r="C25" s="723" t="s">
        <v>1141</v>
      </c>
      <c r="D25" s="721"/>
      <c r="E25" s="721"/>
      <c r="F25" s="722"/>
      <c r="G25" s="721"/>
      <c r="H25" s="715" t="s">
        <v>1283</v>
      </c>
    </row>
    <row r="26" spans="2:8" ht="15.75" hidden="1" thickBot="1">
      <c r="B26" s="719">
        <v>19</v>
      </c>
      <c r="C26" s="723" t="s">
        <v>1142</v>
      </c>
      <c r="D26" s="721"/>
      <c r="E26" s="722"/>
      <c r="F26" s="722"/>
      <c r="G26" s="721"/>
      <c r="H26" s="715" t="s">
        <v>1283</v>
      </c>
    </row>
    <row r="27" spans="2:8" ht="15.75" hidden="1" thickBot="1">
      <c r="B27" s="719">
        <v>20</v>
      </c>
      <c r="C27" s="723" t="s">
        <v>1143</v>
      </c>
      <c r="D27" s="721"/>
      <c r="E27" s="721"/>
      <c r="F27" s="722"/>
      <c r="G27" s="721"/>
      <c r="H27" s="715" t="s">
        <v>1282</v>
      </c>
    </row>
    <row r="28" spans="2:8" ht="15.75" hidden="1" thickBot="1">
      <c r="B28" s="719">
        <v>21</v>
      </c>
      <c r="C28" s="723" t="s">
        <v>1144</v>
      </c>
      <c r="D28" s="721"/>
      <c r="E28" s="722"/>
      <c r="F28" s="721"/>
      <c r="G28" s="721"/>
      <c r="H28" s="715" t="s">
        <v>1282</v>
      </c>
    </row>
    <row r="29" spans="2:8" ht="15.75" hidden="1" thickBot="1">
      <c r="B29" s="719">
        <v>22</v>
      </c>
      <c r="C29" s="723" t="s">
        <v>1145</v>
      </c>
      <c r="D29" s="726"/>
      <c r="E29" s="721"/>
      <c r="F29" s="721"/>
      <c r="G29" s="721"/>
      <c r="H29" s="715" t="s">
        <v>1282</v>
      </c>
    </row>
    <row r="30" spans="2:8" ht="15.75" hidden="1" thickBot="1">
      <c r="B30" s="719">
        <v>23</v>
      </c>
      <c r="C30" s="723" t="s">
        <v>1146</v>
      </c>
      <c r="D30" s="721"/>
      <c r="E30" s="722"/>
      <c r="F30" s="721"/>
      <c r="G30" s="721"/>
      <c r="H30" s="715" t="s">
        <v>1282</v>
      </c>
    </row>
    <row r="31" spans="2:8" ht="15.75" hidden="1" thickBot="1">
      <c r="B31" s="719">
        <v>24</v>
      </c>
      <c r="C31" s="723" t="s">
        <v>1147</v>
      </c>
      <c r="D31" s="721"/>
      <c r="E31" s="721"/>
      <c r="F31" s="721"/>
      <c r="G31" s="722"/>
      <c r="H31" s="715" t="s">
        <v>1283</v>
      </c>
    </row>
    <row r="32" spans="2:8" ht="15.75" hidden="1" thickBot="1">
      <c r="B32" s="719">
        <v>25</v>
      </c>
      <c r="C32" s="723" t="s">
        <v>1148</v>
      </c>
      <c r="D32" s="721"/>
      <c r="E32" s="721"/>
      <c r="F32" s="721"/>
      <c r="G32" s="722"/>
      <c r="H32" s="715" t="s">
        <v>1283</v>
      </c>
    </row>
    <row r="33" spans="2:8" ht="15.75" hidden="1" thickBot="1">
      <c r="B33" s="719">
        <v>26</v>
      </c>
      <c r="C33" s="723" t="s">
        <v>1150</v>
      </c>
      <c r="D33" s="721"/>
      <c r="E33" s="721"/>
      <c r="F33" s="722"/>
      <c r="G33" s="722"/>
      <c r="H33" s="715" t="s">
        <v>1283</v>
      </c>
    </row>
    <row r="34" spans="2:8" hidden="1"/>
    <row r="36" spans="2:8" ht="15" customHeight="1">
      <c r="B36" s="1050" t="s">
        <v>1284</v>
      </c>
      <c r="C36" s="1051"/>
      <c r="D36" s="1051"/>
      <c r="E36" s="1051"/>
      <c r="F36" s="1051"/>
      <c r="G36" s="1051"/>
      <c r="H36" s="1052"/>
    </row>
    <row r="37" spans="2:8" ht="45">
      <c r="B37" s="727" t="s">
        <v>76</v>
      </c>
      <c r="C37" s="728" t="s">
        <v>1112</v>
      </c>
      <c r="D37" s="729" t="s">
        <v>1285</v>
      </c>
      <c r="E37" s="729" t="s">
        <v>1114</v>
      </c>
      <c r="F37" s="729" t="s">
        <v>1286</v>
      </c>
      <c r="G37" s="729" t="s">
        <v>1115</v>
      </c>
      <c r="H37" s="729" t="s">
        <v>1116</v>
      </c>
    </row>
    <row r="38" spans="2:8">
      <c r="B38" s="730">
        <v>1</v>
      </c>
      <c r="C38" s="731" t="s">
        <v>1117</v>
      </c>
      <c r="D38" s="732" t="s">
        <v>890</v>
      </c>
      <c r="E38" s="732"/>
      <c r="F38" s="732"/>
      <c r="G38" s="733"/>
      <c r="H38" s="732"/>
    </row>
    <row r="39" spans="2:8" ht="30">
      <c r="B39" s="730">
        <v>2</v>
      </c>
      <c r="C39" s="731" t="s">
        <v>1121</v>
      </c>
      <c r="D39" s="732" t="s">
        <v>874</v>
      </c>
      <c r="E39" s="732"/>
      <c r="F39" s="733" t="s">
        <v>1122</v>
      </c>
      <c r="G39" s="733" t="s">
        <v>1123</v>
      </c>
      <c r="H39" s="733" t="s">
        <v>1124</v>
      </c>
    </row>
    <row r="40" spans="2:8" ht="30">
      <c r="B40" s="730">
        <v>3</v>
      </c>
      <c r="C40" s="731" t="s">
        <v>1299</v>
      </c>
      <c r="D40" s="732" t="s">
        <v>874</v>
      </c>
      <c r="E40" s="731"/>
      <c r="F40" s="731"/>
      <c r="G40" s="733" t="s">
        <v>1287</v>
      </c>
      <c r="H40" s="733" t="s">
        <v>1127</v>
      </c>
    </row>
    <row r="41" spans="2:8">
      <c r="B41" s="730">
        <v>4</v>
      </c>
      <c r="C41" s="731" t="s">
        <v>1301</v>
      </c>
      <c r="D41" s="732" t="s">
        <v>874</v>
      </c>
      <c r="E41" s="732"/>
      <c r="F41" s="733" t="s">
        <v>1288</v>
      </c>
      <c r="G41" s="732"/>
      <c r="H41" s="732"/>
    </row>
    <row r="42" spans="2:8">
      <c r="B42" s="730">
        <v>5</v>
      </c>
      <c r="C42" s="731" t="s">
        <v>1130</v>
      </c>
      <c r="D42" s="732" t="s">
        <v>890</v>
      </c>
      <c r="E42" s="733"/>
      <c r="F42" s="732"/>
      <c r="G42" s="732"/>
      <c r="H42" s="732"/>
    </row>
    <row r="43" spans="2:8" ht="30">
      <c r="B43" s="730">
        <v>6</v>
      </c>
      <c r="C43" s="731" t="s">
        <v>1289</v>
      </c>
      <c r="D43" s="732" t="s">
        <v>874</v>
      </c>
      <c r="E43" s="732"/>
      <c r="F43" s="733" t="s">
        <v>1135</v>
      </c>
      <c r="G43" s="733" t="s">
        <v>1136</v>
      </c>
      <c r="H43" s="732"/>
    </row>
    <row r="44" spans="2:8" ht="30">
      <c r="B44" s="730">
        <v>7</v>
      </c>
      <c r="C44" s="731" t="s">
        <v>1290</v>
      </c>
      <c r="D44" s="732" t="s">
        <v>890</v>
      </c>
      <c r="E44" s="732"/>
      <c r="F44" s="733"/>
      <c r="G44" s="732"/>
      <c r="H44" s="732"/>
    </row>
    <row r="45" spans="2:8" ht="30">
      <c r="B45" s="730">
        <v>8</v>
      </c>
      <c r="C45" s="731" t="s">
        <v>1300</v>
      </c>
      <c r="D45" s="732" t="s">
        <v>890</v>
      </c>
      <c r="E45" s="732"/>
      <c r="F45" s="733"/>
      <c r="G45" s="732"/>
      <c r="H45" s="732"/>
    </row>
    <row r="46" spans="2:8">
      <c r="B46" s="730">
        <v>9</v>
      </c>
      <c r="C46" s="731" t="s">
        <v>1291</v>
      </c>
      <c r="D46" s="732" t="s">
        <v>874</v>
      </c>
      <c r="E46" s="732"/>
      <c r="F46" s="733" t="s">
        <v>1292</v>
      </c>
      <c r="G46" s="733" t="s">
        <v>1293</v>
      </c>
      <c r="H46" s="732"/>
    </row>
    <row r="47" spans="2:8">
      <c r="B47" s="730">
        <v>10</v>
      </c>
      <c r="C47" s="731" t="s">
        <v>1144</v>
      </c>
      <c r="D47" s="732" t="s">
        <v>890</v>
      </c>
      <c r="E47" s="732"/>
      <c r="F47" s="733"/>
      <c r="G47" s="732"/>
      <c r="H47" s="732"/>
    </row>
    <row r="48" spans="2:8">
      <c r="B48" s="730">
        <v>11</v>
      </c>
      <c r="C48" s="731" t="s">
        <v>1145</v>
      </c>
      <c r="D48" s="732" t="s">
        <v>890</v>
      </c>
      <c r="E48" s="733"/>
      <c r="F48" s="732"/>
      <c r="G48" s="732"/>
      <c r="H48" s="732"/>
    </row>
    <row r="49" spans="2:8">
      <c r="B49" s="730">
        <v>12</v>
      </c>
      <c r="C49" s="731" t="s">
        <v>1147</v>
      </c>
      <c r="D49" s="732" t="s">
        <v>874</v>
      </c>
      <c r="E49" s="732"/>
      <c r="F49" s="732"/>
      <c r="G49" s="732"/>
      <c r="H49" s="733"/>
    </row>
    <row r="50" spans="2:8" ht="30">
      <c r="B50" s="730">
        <v>13</v>
      </c>
      <c r="C50" s="731" t="s">
        <v>1294</v>
      </c>
      <c r="D50" s="732" t="s">
        <v>890</v>
      </c>
      <c r="E50" s="732"/>
      <c r="F50" s="732"/>
      <c r="G50" s="732"/>
      <c r="H50" s="733" t="s">
        <v>1149</v>
      </c>
    </row>
    <row r="51" spans="2:8" ht="60">
      <c r="B51" s="730">
        <v>14</v>
      </c>
      <c r="C51" s="731" t="s">
        <v>1302</v>
      </c>
      <c r="D51" s="732" t="s">
        <v>874</v>
      </c>
      <c r="E51" s="732"/>
      <c r="F51" s="735"/>
      <c r="G51" s="733" t="s">
        <v>1303</v>
      </c>
      <c r="H51" s="733" t="s">
        <v>1304</v>
      </c>
    </row>
    <row r="52" spans="2:8">
      <c r="B52" s="730">
        <v>15</v>
      </c>
      <c r="C52" s="731" t="s">
        <v>1295</v>
      </c>
      <c r="D52" s="732" t="s">
        <v>890</v>
      </c>
      <c r="E52" s="732"/>
      <c r="F52" s="733"/>
      <c r="G52" s="732"/>
      <c r="H52" s="732"/>
    </row>
    <row r="53" spans="2:8" ht="30">
      <c r="B53" s="730">
        <v>16</v>
      </c>
      <c r="C53" s="731" t="s">
        <v>1296</v>
      </c>
      <c r="D53" s="732" t="s">
        <v>874</v>
      </c>
      <c r="E53" s="732"/>
      <c r="F53" s="733"/>
      <c r="G53" s="732"/>
      <c r="H53" s="732"/>
    </row>
    <row r="54" spans="2:8">
      <c r="B54" s="730">
        <v>17</v>
      </c>
      <c r="C54" s="731" t="s">
        <v>1297</v>
      </c>
      <c r="D54" s="732" t="s">
        <v>890</v>
      </c>
      <c r="E54" s="732"/>
      <c r="F54" s="732"/>
      <c r="G54" s="733" t="s">
        <v>1298</v>
      </c>
      <c r="H54" s="732"/>
    </row>
  </sheetData>
  <sheetProtection password="E03D" sheet="1" objects="1" scenarios="1"/>
  <mergeCells count="11">
    <mergeCell ref="B2:G2"/>
    <mergeCell ref="B13:B14"/>
    <mergeCell ref="C13:C14"/>
    <mergeCell ref="D13:D14"/>
    <mergeCell ref="E13:E14"/>
    <mergeCell ref="F13:F14"/>
    <mergeCell ref="B36:H36"/>
    <mergeCell ref="E10:E12"/>
    <mergeCell ref="D10:D12"/>
    <mergeCell ref="C10:C12"/>
    <mergeCell ref="B10:B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C5:C7"/>
  <sheetViews>
    <sheetView workbookViewId="0">
      <selection activeCell="C8" sqref="C8"/>
    </sheetView>
  </sheetViews>
  <sheetFormatPr defaultRowHeight="12.75"/>
  <sheetData>
    <row r="5" spans="3:3">
      <c r="C5" t="s">
        <v>1338</v>
      </c>
    </row>
    <row r="6" spans="3:3">
      <c r="C6" t="s">
        <v>1337</v>
      </c>
    </row>
    <row r="7" spans="3:3">
      <c r="C7" t="s">
        <v>1339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1376"/>
  <sheetViews>
    <sheetView showZeros="0" view="pageBreakPreview" topLeftCell="A4" zoomScaleNormal="90" zoomScaleSheetLayoutView="100" workbookViewId="0">
      <selection activeCell="G23" sqref="G23"/>
    </sheetView>
  </sheetViews>
  <sheetFormatPr defaultColWidth="21.7109375" defaultRowHeight="12.75"/>
  <cols>
    <col min="1" max="1" width="38" style="120" customWidth="1"/>
    <col min="2" max="2" width="8.42578125" style="126" customWidth="1"/>
    <col min="3" max="3" width="9.5703125" style="125" bestFit="1" customWidth="1"/>
    <col min="4" max="4" width="10.5703125" style="123" bestFit="1" customWidth="1"/>
    <col min="5" max="5" width="8.5703125" style="124" customWidth="1"/>
    <col min="6" max="6" width="11" style="123" bestFit="1" customWidth="1"/>
    <col min="7" max="8" width="8.140625" style="123" bestFit="1" customWidth="1"/>
    <col min="9" max="9" width="8.5703125" style="122" bestFit="1" customWidth="1"/>
    <col min="10" max="10" width="8.140625" style="121" bestFit="1" customWidth="1"/>
    <col min="11" max="11" width="8.7109375" style="121" bestFit="1" customWidth="1"/>
    <col min="12" max="13" width="9.28515625" style="121" bestFit="1" customWidth="1"/>
    <col min="14" max="15" width="9" style="121" hidden="1" customWidth="1"/>
    <col min="16" max="16" width="8" style="121" customWidth="1"/>
    <col min="17" max="17" width="11.28515625" style="121" customWidth="1"/>
    <col min="18" max="22" width="21.7109375" style="121"/>
    <col min="23" max="16384" width="21.7109375" style="120"/>
  </cols>
  <sheetData>
    <row r="1" spans="1:22" ht="18.75" customHeight="1">
      <c r="A1" s="889" t="s">
        <v>572</v>
      </c>
      <c r="B1" s="889"/>
      <c r="C1" s="889"/>
      <c r="D1" s="889"/>
      <c r="E1" s="889"/>
      <c r="F1" s="889"/>
      <c r="G1" s="889"/>
      <c r="H1" s="889"/>
      <c r="I1" s="889"/>
      <c r="J1" s="889"/>
      <c r="K1" s="889"/>
      <c r="L1" s="889"/>
      <c r="M1" s="889"/>
    </row>
    <row r="2" spans="1:22" ht="17.25" customHeight="1">
      <c r="A2" s="889" t="s">
        <v>641</v>
      </c>
      <c r="B2" s="889"/>
      <c r="C2" s="889"/>
      <c r="D2" s="889"/>
      <c r="E2" s="889"/>
      <c r="F2" s="889"/>
      <c r="G2" s="889"/>
      <c r="H2" s="889"/>
      <c r="I2" s="889"/>
      <c r="J2" s="889"/>
      <c r="K2" s="889"/>
      <c r="L2" s="889"/>
      <c r="M2" s="889"/>
    </row>
    <row r="3" spans="1:22" s="143" customFormat="1">
      <c r="A3" s="889" t="s">
        <v>571</v>
      </c>
      <c r="B3" s="889"/>
      <c r="C3" s="889"/>
      <c r="D3" s="889"/>
      <c r="E3" s="889"/>
      <c r="F3" s="889"/>
      <c r="G3" s="889"/>
      <c r="H3" s="889"/>
      <c r="I3" s="889"/>
      <c r="J3" s="889"/>
      <c r="K3" s="889"/>
      <c r="L3" s="889"/>
      <c r="M3" s="889"/>
      <c r="N3" s="131"/>
      <c r="O3" s="131"/>
      <c r="P3" s="131"/>
      <c r="Q3" s="131"/>
      <c r="R3" s="131"/>
      <c r="S3" s="131"/>
      <c r="T3" s="131"/>
      <c r="U3" s="131"/>
      <c r="V3" s="131"/>
    </row>
    <row r="4" spans="1:22">
      <c r="A4" s="146"/>
      <c r="B4" s="146"/>
      <c r="C4" s="146"/>
      <c r="D4" s="157"/>
      <c r="E4" s="129"/>
      <c r="F4" s="157"/>
      <c r="G4" s="157"/>
      <c r="H4" s="157"/>
    </row>
    <row r="5" spans="1:22" ht="25.5">
      <c r="B5" s="135"/>
      <c r="D5" s="140"/>
      <c r="E5" s="246" t="s">
        <v>570</v>
      </c>
      <c r="F5" s="134"/>
    </row>
    <row r="6" spans="1:22">
      <c r="B6" s="156" t="s">
        <v>278</v>
      </c>
      <c r="C6" s="156" t="s">
        <v>569</v>
      </c>
      <c r="D6" s="140" t="s">
        <v>568</v>
      </c>
      <c r="E6" s="140" t="s">
        <v>567</v>
      </c>
      <c r="F6" s="140" t="s">
        <v>566</v>
      </c>
      <c r="G6" s="140" t="s">
        <v>565</v>
      </c>
      <c r="H6" s="140" t="s">
        <v>564</v>
      </c>
      <c r="I6" s="140" t="s">
        <v>563</v>
      </c>
      <c r="J6" s="140" t="s">
        <v>562</v>
      </c>
      <c r="K6" s="140" t="s">
        <v>561</v>
      </c>
      <c r="L6" s="140" t="s">
        <v>731</v>
      </c>
      <c r="M6" s="140" t="s">
        <v>732</v>
      </c>
      <c r="N6" s="140" t="s">
        <v>562</v>
      </c>
      <c r="O6" s="140" t="s">
        <v>561</v>
      </c>
      <c r="P6" s="140"/>
      <c r="Q6" s="140"/>
    </row>
    <row r="7" spans="1:22">
      <c r="B7" s="156" t="s">
        <v>560</v>
      </c>
      <c r="C7" s="156" t="s">
        <v>560</v>
      </c>
      <c r="D7" s="140" t="s">
        <v>277</v>
      </c>
      <c r="E7" s="140" t="s">
        <v>559</v>
      </c>
      <c r="F7" s="140" t="s">
        <v>559</v>
      </c>
      <c r="G7" s="140" t="s">
        <v>559</v>
      </c>
      <c r="H7" s="140" t="s">
        <v>559</v>
      </c>
      <c r="I7" s="140" t="s">
        <v>559</v>
      </c>
      <c r="J7" s="140" t="s">
        <v>559</v>
      </c>
      <c r="K7" s="140" t="s">
        <v>559</v>
      </c>
      <c r="L7" s="140" t="s">
        <v>559</v>
      </c>
      <c r="M7" s="140" t="s">
        <v>559</v>
      </c>
      <c r="N7" s="140" t="s">
        <v>559</v>
      </c>
      <c r="O7" s="140" t="s">
        <v>559</v>
      </c>
      <c r="P7" s="140"/>
      <c r="Q7" s="140"/>
    </row>
    <row r="8" spans="1:22">
      <c r="A8" s="206" t="s">
        <v>300</v>
      </c>
      <c r="B8" s="125"/>
      <c r="E8" s="134"/>
      <c r="F8" s="140"/>
      <c r="G8" s="140"/>
      <c r="H8" s="140"/>
      <c r="I8" s="140"/>
      <c r="J8" s="140"/>
      <c r="K8" s="140"/>
      <c r="L8" s="140"/>
      <c r="M8" s="140"/>
      <c r="N8" s="140"/>
      <c r="O8" s="140"/>
      <c r="P8" s="140"/>
      <c r="Q8" s="140"/>
    </row>
    <row r="9" spans="1:22">
      <c r="B9" s="171"/>
      <c r="C9" s="171"/>
      <c r="D9" s="169"/>
      <c r="E9" s="170"/>
      <c r="F9" s="169"/>
      <c r="G9" s="169"/>
      <c r="H9" s="169"/>
    </row>
    <row r="11" spans="1:22">
      <c r="A11" s="205" t="s">
        <v>558</v>
      </c>
      <c r="B11" s="152"/>
      <c r="C11" s="152"/>
      <c r="D11" s="124"/>
      <c r="F11" s="124"/>
      <c r="G11" s="124"/>
      <c r="H11" s="124"/>
    </row>
    <row r="12" spans="1:22">
      <c r="A12" s="120" t="s">
        <v>557</v>
      </c>
      <c r="B12" s="152">
        <f>+'Gross Receipts Summary'!B11/100000</f>
        <v>240.41159999999999</v>
      </c>
      <c r="C12" s="152">
        <f>+'Gross Receipts Summary'!C11/100000</f>
        <v>312.98557</v>
      </c>
      <c r="D12" s="152" t="e">
        <f>+'Gross Receipts Summary'!D11/100000</f>
        <v>#REF!</v>
      </c>
      <c r="E12" s="152" t="e">
        <f>+'Gross Receipts Summary'!E11/100000</f>
        <v>#REF!</v>
      </c>
      <c r="F12" s="152" t="e">
        <f>+'Gross Receipts Summary'!F11/100000</f>
        <v>#REF!</v>
      </c>
      <c r="G12" s="152" t="e">
        <f>+'Gross Receipts Summary'!G11/100000</f>
        <v>#REF!</v>
      </c>
      <c r="H12" s="152" t="e">
        <f>+'Gross Receipts Summary'!H11/100000</f>
        <v>#REF!</v>
      </c>
      <c r="I12" s="124" t="e">
        <f>+'Gross Receipts Summary'!I11/100000</f>
        <v>#REF!</v>
      </c>
      <c r="J12" s="124" t="e">
        <f>+'Gross Receipts Summary'!J11/100000</f>
        <v>#REF!</v>
      </c>
      <c r="K12" s="124" t="e">
        <f>+'Gross Receipts Summary'!K11/100000</f>
        <v>#REF!</v>
      </c>
      <c r="L12" s="124" t="e">
        <f>+'Gross Receipts Summary'!L11/100000</f>
        <v>#REF!</v>
      </c>
      <c r="M12" s="124" t="e">
        <f>+'Gross Receipts Summary'!M11/100000</f>
        <v>#REF!</v>
      </c>
      <c r="N12" s="152">
        <f>+'Gross Receipts Summary'!O11</f>
        <v>0</v>
      </c>
      <c r="O12" s="152">
        <f>+'Gross Receipts Summary'!P11</f>
        <v>0</v>
      </c>
    </row>
    <row r="13" spans="1:22">
      <c r="A13" s="120" t="s">
        <v>556</v>
      </c>
      <c r="B13" s="152">
        <v>0</v>
      </c>
      <c r="C13" s="152">
        <v>0</v>
      </c>
      <c r="D13" s="124">
        <v>0</v>
      </c>
      <c r="E13" s="124">
        <v>0</v>
      </c>
      <c r="F13" s="124">
        <v>0</v>
      </c>
      <c r="G13" s="124">
        <v>0</v>
      </c>
      <c r="H13" s="124">
        <v>0</v>
      </c>
      <c r="I13" s="124">
        <v>0</v>
      </c>
      <c r="J13" s="124">
        <v>0</v>
      </c>
      <c r="K13" s="124">
        <v>0</v>
      </c>
      <c r="L13" s="124">
        <v>0</v>
      </c>
      <c r="M13" s="124">
        <v>0</v>
      </c>
      <c r="N13" s="124">
        <v>0</v>
      </c>
      <c r="O13" s="124">
        <f>+N13</f>
        <v>0</v>
      </c>
    </row>
    <row r="14" spans="1:22">
      <c r="A14" s="120" t="s">
        <v>555</v>
      </c>
      <c r="B14" s="152"/>
      <c r="C14" s="152"/>
      <c r="D14" s="124"/>
      <c r="F14" s="124"/>
      <c r="G14" s="124"/>
      <c r="H14" s="124"/>
      <c r="I14" s="124"/>
      <c r="J14" s="124"/>
      <c r="K14" s="124"/>
      <c r="L14" s="124"/>
      <c r="M14" s="124"/>
      <c r="N14" s="124"/>
      <c r="O14" s="124"/>
    </row>
    <row r="15" spans="1:22">
      <c r="A15" s="120" t="s">
        <v>554</v>
      </c>
      <c r="B15" s="152">
        <f t="shared" ref="B15:O15" si="0">+B13+B14</f>
        <v>0</v>
      </c>
      <c r="C15" s="152">
        <f t="shared" si="0"/>
        <v>0</v>
      </c>
      <c r="D15" s="124">
        <f t="shared" si="0"/>
        <v>0</v>
      </c>
      <c r="E15" s="124">
        <f t="shared" si="0"/>
        <v>0</v>
      </c>
      <c r="F15" s="124">
        <f t="shared" si="0"/>
        <v>0</v>
      </c>
      <c r="G15" s="124">
        <f t="shared" si="0"/>
        <v>0</v>
      </c>
      <c r="H15" s="124">
        <f t="shared" si="0"/>
        <v>0</v>
      </c>
      <c r="I15" s="124">
        <f t="shared" si="0"/>
        <v>0</v>
      </c>
      <c r="J15" s="124">
        <f t="shared" si="0"/>
        <v>0</v>
      </c>
      <c r="K15" s="124">
        <f t="shared" si="0"/>
        <v>0</v>
      </c>
      <c r="L15" s="124">
        <f t="shared" si="0"/>
        <v>0</v>
      </c>
      <c r="M15" s="124">
        <f>+M13+M14</f>
        <v>0</v>
      </c>
      <c r="N15" s="124">
        <f t="shared" si="0"/>
        <v>0</v>
      </c>
      <c r="O15" s="124">
        <f t="shared" si="0"/>
        <v>0</v>
      </c>
    </row>
    <row r="16" spans="1:22" s="143" customFormat="1">
      <c r="A16" s="145" t="s">
        <v>553</v>
      </c>
      <c r="B16" s="144">
        <f t="shared" ref="B16:O16" si="1">+B12+B15</f>
        <v>240.41159999999999</v>
      </c>
      <c r="C16" s="144">
        <f t="shared" si="1"/>
        <v>312.98557</v>
      </c>
      <c r="D16" s="134" t="e">
        <f t="shared" si="1"/>
        <v>#REF!</v>
      </c>
      <c r="E16" s="134" t="e">
        <f t="shared" si="1"/>
        <v>#REF!</v>
      </c>
      <c r="F16" s="134" t="e">
        <f t="shared" si="1"/>
        <v>#REF!</v>
      </c>
      <c r="G16" s="134" t="e">
        <f t="shared" si="1"/>
        <v>#REF!</v>
      </c>
      <c r="H16" s="134" t="e">
        <f t="shared" si="1"/>
        <v>#REF!</v>
      </c>
      <c r="I16" s="134" t="e">
        <f t="shared" si="1"/>
        <v>#REF!</v>
      </c>
      <c r="J16" s="134" t="e">
        <f t="shared" si="1"/>
        <v>#REF!</v>
      </c>
      <c r="K16" s="134" t="e">
        <f t="shared" si="1"/>
        <v>#REF!</v>
      </c>
      <c r="L16" s="134" t="e">
        <f t="shared" si="1"/>
        <v>#REF!</v>
      </c>
      <c r="M16" s="134" t="e">
        <f>+M12+M15</f>
        <v>#REF!</v>
      </c>
      <c r="N16" s="134">
        <f t="shared" si="1"/>
        <v>0</v>
      </c>
      <c r="O16" s="134">
        <f t="shared" si="1"/>
        <v>0</v>
      </c>
      <c r="P16" s="131"/>
      <c r="Q16" s="131"/>
      <c r="R16" s="131"/>
      <c r="S16" s="131"/>
      <c r="T16" s="131"/>
      <c r="U16" s="131"/>
      <c r="V16" s="131"/>
    </row>
    <row r="17" spans="1:22">
      <c r="A17" s="120" t="s">
        <v>552</v>
      </c>
      <c r="B17" s="152">
        <f>+'Gross Receipts Summary'!B32/100000</f>
        <v>63.482979999999998</v>
      </c>
      <c r="C17" s="152">
        <f>+'Gross Receipts Summary'!C32/100000</f>
        <v>11.865309999999999</v>
      </c>
      <c r="D17" s="152" t="e">
        <f>+'Gross Receipts Summary'!D32/100000</f>
        <v>#REF!</v>
      </c>
      <c r="E17" s="152" t="e">
        <f>+'Gross Receipts Summary'!E32/100000</f>
        <v>#REF!</v>
      </c>
      <c r="F17" s="152" t="e">
        <f>+'Gross Receipts Summary'!F32/100000</f>
        <v>#REF!</v>
      </c>
      <c r="G17" s="152" t="e">
        <f>+'Gross Receipts Summary'!G32/100000</f>
        <v>#REF!</v>
      </c>
      <c r="H17" s="152" t="e">
        <f>+'Gross Receipts Summary'!H32/100000</f>
        <v>#REF!</v>
      </c>
      <c r="I17" s="124" t="e">
        <f>+'Gross Receipts Summary'!I32/100000</f>
        <v>#REF!</v>
      </c>
      <c r="J17" s="124" t="e">
        <f>+'Gross Receipts Summary'!J32/100000</f>
        <v>#REF!</v>
      </c>
      <c r="K17" s="124" t="e">
        <f>+'Gross Receipts Summary'!K32/100000</f>
        <v>#REF!</v>
      </c>
      <c r="L17" s="124" t="e">
        <f>+'Gross Receipts Summary'!L32/100000</f>
        <v>#REF!</v>
      </c>
      <c r="M17" s="124" t="e">
        <f>+'Gross Receipts Summary'!M32/100000</f>
        <v>#REF!</v>
      </c>
      <c r="N17" s="152"/>
      <c r="O17" s="152"/>
    </row>
    <row r="18" spans="1:22">
      <c r="B18" s="152"/>
      <c r="C18" s="152"/>
      <c r="D18" s="124"/>
      <c r="F18" s="124"/>
      <c r="G18" s="124"/>
      <c r="H18" s="124"/>
      <c r="J18" s="122"/>
      <c r="K18" s="122"/>
      <c r="L18" s="122"/>
      <c r="M18" s="122"/>
    </row>
    <row r="19" spans="1:22" s="143" customFormat="1">
      <c r="A19" s="143" t="s">
        <v>3</v>
      </c>
      <c r="B19" s="144">
        <f t="shared" ref="B19:O19" si="2">+B16+B17</f>
        <v>303.89458000000002</v>
      </c>
      <c r="C19" s="144">
        <f t="shared" si="2"/>
        <v>324.85088000000002</v>
      </c>
      <c r="D19" s="134" t="e">
        <f t="shared" si="2"/>
        <v>#REF!</v>
      </c>
      <c r="E19" s="134" t="e">
        <f t="shared" si="2"/>
        <v>#REF!</v>
      </c>
      <c r="F19" s="134" t="e">
        <f t="shared" si="2"/>
        <v>#REF!</v>
      </c>
      <c r="G19" s="134" t="e">
        <f t="shared" si="2"/>
        <v>#REF!</v>
      </c>
      <c r="H19" s="134" t="e">
        <f t="shared" si="2"/>
        <v>#REF!</v>
      </c>
      <c r="I19" s="134" t="e">
        <f t="shared" si="2"/>
        <v>#REF!</v>
      </c>
      <c r="J19" s="134" t="e">
        <f t="shared" si="2"/>
        <v>#REF!</v>
      </c>
      <c r="K19" s="134" t="e">
        <f t="shared" si="2"/>
        <v>#REF!</v>
      </c>
      <c r="L19" s="134" t="e">
        <f t="shared" si="2"/>
        <v>#REF!</v>
      </c>
      <c r="M19" s="134" t="e">
        <f>+M16+M17</f>
        <v>#REF!</v>
      </c>
      <c r="N19" s="134">
        <f t="shared" si="2"/>
        <v>0</v>
      </c>
      <c r="O19" s="134">
        <f t="shared" si="2"/>
        <v>0</v>
      </c>
      <c r="P19" s="131"/>
      <c r="Q19" s="131"/>
      <c r="R19" s="131"/>
      <c r="S19" s="131"/>
      <c r="T19" s="131"/>
      <c r="U19" s="131"/>
      <c r="V19" s="131"/>
    </row>
    <row r="20" spans="1:22">
      <c r="B20" s="152"/>
      <c r="C20" s="152"/>
      <c r="D20" s="124"/>
      <c r="F20" s="124"/>
      <c r="G20" s="124"/>
      <c r="H20" s="124"/>
      <c r="K20" s="130"/>
      <c r="L20" s="130"/>
      <c r="M20" s="130"/>
    </row>
    <row r="21" spans="1:22">
      <c r="A21" s="143" t="s">
        <v>551</v>
      </c>
      <c r="B21" s="152">
        <v>0</v>
      </c>
      <c r="C21" s="152">
        <v>0</v>
      </c>
      <c r="D21" s="124">
        <v>0</v>
      </c>
      <c r="E21" s="204">
        <v>0</v>
      </c>
      <c r="F21" s="124">
        <v>0</v>
      </c>
      <c r="G21" s="124">
        <v>0</v>
      </c>
      <c r="H21" s="124">
        <v>0</v>
      </c>
      <c r="I21" s="124">
        <v>0</v>
      </c>
      <c r="J21" s="124">
        <v>0</v>
      </c>
      <c r="K21" s="124">
        <v>0</v>
      </c>
      <c r="L21" s="124">
        <v>0</v>
      </c>
      <c r="M21" s="124">
        <v>0</v>
      </c>
      <c r="N21" s="124">
        <v>0</v>
      </c>
      <c r="O21" s="124">
        <v>0</v>
      </c>
    </row>
    <row r="22" spans="1:22">
      <c r="B22" s="152"/>
      <c r="C22" s="152"/>
      <c r="D22" s="124"/>
      <c r="E22" s="203"/>
      <c r="F22" s="124"/>
      <c r="G22" s="124"/>
      <c r="H22" s="124"/>
    </row>
    <row r="23" spans="1:22">
      <c r="A23" s="120" t="s">
        <v>550</v>
      </c>
      <c r="B23" s="152"/>
      <c r="C23" s="152"/>
      <c r="D23" s="124"/>
      <c r="F23" s="124"/>
      <c r="G23" s="124"/>
      <c r="H23" s="124"/>
    </row>
    <row r="24" spans="1:22">
      <c r="B24" s="152"/>
      <c r="C24" s="152"/>
      <c r="D24" s="124"/>
      <c r="F24" s="124"/>
      <c r="G24" s="124"/>
      <c r="H24" s="124"/>
    </row>
    <row r="25" spans="1:22">
      <c r="A25" s="143" t="s">
        <v>549</v>
      </c>
      <c r="B25" s="152">
        <f t="shared" ref="B25:O25" si="3">B19-B21</f>
        <v>303.89458000000002</v>
      </c>
      <c r="C25" s="152">
        <f t="shared" si="3"/>
        <v>324.85088000000002</v>
      </c>
      <c r="D25" s="124" t="e">
        <f t="shared" si="3"/>
        <v>#REF!</v>
      </c>
      <c r="E25" s="124" t="e">
        <f t="shared" si="3"/>
        <v>#REF!</v>
      </c>
      <c r="F25" s="124" t="e">
        <f t="shared" si="3"/>
        <v>#REF!</v>
      </c>
      <c r="G25" s="124" t="e">
        <f t="shared" si="3"/>
        <v>#REF!</v>
      </c>
      <c r="H25" s="124" t="e">
        <f t="shared" si="3"/>
        <v>#REF!</v>
      </c>
      <c r="I25" s="124" t="e">
        <f t="shared" si="3"/>
        <v>#REF!</v>
      </c>
      <c r="J25" s="124" t="e">
        <f t="shared" si="3"/>
        <v>#REF!</v>
      </c>
      <c r="K25" s="124" t="e">
        <f t="shared" si="3"/>
        <v>#REF!</v>
      </c>
      <c r="L25" s="124" t="e">
        <f t="shared" si="3"/>
        <v>#REF!</v>
      </c>
      <c r="M25" s="124" t="e">
        <f t="shared" si="3"/>
        <v>#REF!</v>
      </c>
      <c r="N25" s="124">
        <f t="shared" si="3"/>
        <v>0</v>
      </c>
      <c r="O25" s="124">
        <f t="shared" si="3"/>
        <v>0</v>
      </c>
    </row>
    <row r="26" spans="1:22">
      <c r="A26" s="143"/>
      <c r="B26" s="152"/>
      <c r="C26" s="152"/>
      <c r="D26" s="124"/>
      <c r="F26" s="124"/>
      <c r="G26" s="124"/>
      <c r="H26" s="124"/>
    </row>
    <row r="27" spans="1:22">
      <c r="A27" s="120" t="s">
        <v>548</v>
      </c>
      <c r="B27" s="152"/>
      <c r="C27" s="152"/>
      <c r="D27" s="124"/>
      <c r="F27" s="124"/>
      <c r="G27" s="124"/>
      <c r="H27" s="124"/>
    </row>
    <row r="28" spans="1:22">
      <c r="A28" s="120" t="s">
        <v>547</v>
      </c>
      <c r="B28" s="152"/>
      <c r="C28" s="152">
        <f>((C25-B25)/B25%)</f>
        <v>6.8959110754788711</v>
      </c>
      <c r="D28" s="152" t="e">
        <f t="shared" ref="D28:J28" si="4">((D25-C25)/C25%)</f>
        <v>#REF!</v>
      </c>
      <c r="E28" s="152" t="e">
        <f t="shared" si="4"/>
        <v>#REF!</v>
      </c>
      <c r="F28" s="152" t="e">
        <f t="shared" si="4"/>
        <v>#REF!</v>
      </c>
      <c r="G28" s="152" t="e">
        <f t="shared" si="4"/>
        <v>#REF!</v>
      </c>
      <c r="H28" s="152" t="e">
        <f t="shared" si="4"/>
        <v>#REF!</v>
      </c>
      <c r="I28" s="124" t="e">
        <f t="shared" si="4"/>
        <v>#REF!</v>
      </c>
      <c r="J28" s="124" t="e">
        <f t="shared" si="4"/>
        <v>#REF!</v>
      </c>
      <c r="K28" s="124" t="e">
        <f>((K25-J25)/J25%)</f>
        <v>#REF!</v>
      </c>
      <c r="L28" s="124" t="e">
        <f>((L25-K25)/K25%)</f>
        <v>#REF!</v>
      </c>
      <c r="M28" s="124" t="e">
        <f>((M25-L25)/L25%)</f>
        <v>#REF!</v>
      </c>
      <c r="N28" s="152" t="e">
        <f>+N25/M25*100-100</f>
        <v>#REF!</v>
      </c>
      <c r="O28" s="152" t="e">
        <f>+O25/N25*100-100</f>
        <v>#DIV/0!</v>
      </c>
    </row>
    <row r="29" spans="1:22">
      <c r="B29" s="152"/>
      <c r="C29" s="152"/>
      <c r="D29" s="124"/>
      <c r="F29" s="124"/>
      <c r="G29" s="124"/>
      <c r="H29" s="124"/>
    </row>
    <row r="30" spans="1:22" ht="15.75">
      <c r="A30" s="188" t="s">
        <v>546</v>
      </c>
      <c r="B30" s="202"/>
      <c r="C30" s="202"/>
      <c r="D30" s="201"/>
      <c r="E30" s="201"/>
      <c r="F30" s="201"/>
      <c r="G30" s="201"/>
      <c r="H30" s="201"/>
    </row>
    <row r="31" spans="1:22" s="189" customFormat="1" ht="15.75">
      <c r="A31" s="120"/>
      <c r="B31" s="152"/>
      <c r="C31" s="152"/>
      <c r="D31" s="124"/>
      <c r="E31" s="124"/>
      <c r="F31" s="124"/>
      <c r="G31" s="124"/>
      <c r="H31" s="124"/>
      <c r="I31" s="187"/>
      <c r="J31" s="186"/>
      <c r="K31" s="186"/>
      <c r="L31" s="186"/>
      <c r="M31" s="186"/>
      <c r="N31" s="186"/>
      <c r="O31" s="186"/>
      <c r="P31" s="186"/>
      <c r="Q31" s="186"/>
      <c r="R31" s="186"/>
      <c r="S31" s="186"/>
      <c r="T31" s="186"/>
      <c r="U31" s="186"/>
      <c r="V31" s="186"/>
    </row>
    <row r="32" spans="1:22">
      <c r="A32" s="120" t="s">
        <v>637</v>
      </c>
      <c r="B32" s="152">
        <f t="shared" ref="B32:O32" si="5">+B34+B35</f>
        <v>72.440569999999994</v>
      </c>
      <c r="C32" s="152">
        <f t="shared" si="5"/>
        <v>89.840220000000002</v>
      </c>
      <c r="D32" s="124">
        <f t="shared" si="5"/>
        <v>113.23161387499999</v>
      </c>
      <c r="E32" s="124">
        <f t="shared" si="5"/>
        <v>141.80744384375001</v>
      </c>
      <c r="F32" s="124">
        <f t="shared" si="5"/>
        <v>176.8474202796875</v>
      </c>
      <c r="G32" s="124">
        <f t="shared" si="5"/>
        <v>221.41685814585938</v>
      </c>
      <c r="H32" s="124">
        <f t="shared" si="5"/>
        <v>276.22229289801174</v>
      </c>
      <c r="I32" s="124">
        <f t="shared" si="5"/>
        <v>345.72176937055531</v>
      </c>
      <c r="J32" s="124">
        <f t="shared" si="5"/>
        <v>431.46270044844084</v>
      </c>
      <c r="K32" s="124">
        <f t="shared" si="5"/>
        <v>539.85418760608468</v>
      </c>
      <c r="L32" s="124">
        <f t="shared" si="5"/>
        <v>673.98241835996976</v>
      </c>
      <c r="M32" s="124">
        <f t="shared" si="5"/>
        <v>843.07990938018054</v>
      </c>
      <c r="N32" s="124" t="e">
        <f t="shared" si="5"/>
        <v>#REF!</v>
      </c>
      <c r="O32" s="124" t="e">
        <f t="shared" si="5"/>
        <v>#REF!</v>
      </c>
    </row>
    <row r="33" spans="1:22">
      <c r="B33" s="152"/>
      <c r="C33" s="152"/>
      <c r="D33" s="124"/>
      <c r="F33" s="124"/>
      <c r="G33" s="124"/>
      <c r="H33" s="124"/>
      <c r="Q33" s="122"/>
    </row>
    <row r="34" spans="1:22">
      <c r="A34" s="120" t="s">
        <v>545</v>
      </c>
      <c r="B34" s="126">
        <v>0</v>
      </c>
      <c r="C34" s="126">
        <v>0</v>
      </c>
      <c r="D34" s="122">
        <v>0</v>
      </c>
      <c r="E34" s="124">
        <v>0</v>
      </c>
      <c r="F34" s="122"/>
      <c r="G34" s="122">
        <v>0</v>
      </c>
      <c r="H34" s="122">
        <v>0</v>
      </c>
      <c r="I34" s="122">
        <v>0</v>
      </c>
      <c r="J34" s="122">
        <v>0</v>
      </c>
      <c r="K34" s="122"/>
      <c r="L34" s="122"/>
      <c r="M34" s="122"/>
      <c r="N34" s="122" t="e">
        <f>+#REF!</f>
        <v>#REF!</v>
      </c>
      <c r="O34" s="122" t="e">
        <f>+#REF!</f>
        <v>#REF!</v>
      </c>
      <c r="Q34" s="122"/>
      <c r="R34" s="122"/>
      <c r="S34" s="122"/>
      <c r="T34" s="122"/>
      <c r="U34" s="122"/>
      <c r="V34" s="122"/>
    </row>
    <row r="35" spans="1:22">
      <c r="A35" s="120" t="s">
        <v>544</v>
      </c>
      <c r="B35" s="126">
        <f>+'Expenses Summary'!C5/100000</f>
        <v>72.440569999999994</v>
      </c>
      <c r="C35" s="126">
        <f>+'Expenses Summary'!D5/100000</f>
        <v>89.840220000000002</v>
      </c>
      <c r="D35" s="126">
        <f>+'Expenses Summary'!E5/100000</f>
        <v>113.23161387499999</v>
      </c>
      <c r="E35" s="126">
        <f>+'Expenses Summary'!F5/100000</f>
        <v>141.80744384375001</v>
      </c>
      <c r="F35" s="126">
        <f>+'Expenses Summary'!G5/100000</f>
        <v>176.8474202796875</v>
      </c>
      <c r="G35" s="126">
        <f>+'Expenses Summary'!H5/100000</f>
        <v>221.41685814585938</v>
      </c>
      <c r="H35" s="126">
        <f>+'Expenses Summary'!I5/100000</f>
        <v>276.22229289801174</v>
      </c>
      <c r="I35" s="122">
        <f>+'Expenses Summary'!J5/100000</f>
        <v>345.72176937055531</v>
      </c>
      <c r="J35" s="122">
        <f>+'Expenses Summary'!K5/100000</f>
        <v>431.46270044844084</v>
      </c>
      <c r="K35" s="122">
        <f>+'Expenses Summary'!L5/100000</f>
        <v>539.85418760608468</v>
      </c>
      <c r="L35" s="122">
        <f>+'Expenses Summary'!M5/100000</f>
        <v>673.98241835996976</v>
      </c>
      <c r="M35" s="122">
        <f>+'Expenses Summary'!N5/100000</f>
        <v>843.07990938018054</v>
      </c>
      <c r="N35" s="122" t="e">
        <f>+#REF!</f>
        <v>#REF!</v>
      </c>
      <c r="O35" s="122" t="e">
        <f>+N35</f>
        <v>#REF!</v>
      </c>
      <c r="Q35" s="124"/>
      <c r="R35" s="122"/>
      <c r="T35" s="122"/>
      <c r="U35" s="122"/>
    </row>
    <row r="36" spans="1:22">
      <c r="B36" s="152">
        <f t="shared" ref="B36:O36" si="6">+B32/B116*100</f>
        <v>23.837401114557551</v>
      </c>
      <c r="C36" s="152">
        <f t="shared" si="6"/>
        <v>27.655833962955555</v>
      </c>
      <c r="D36" s="124" t="e">
        <f t="shared" si="6"/>
        <v>#REF!</v>
      </c>
      <c r="E36" s="124" t="e">
        <f t="shared" si="6"/>
        <v>#REF!</v>
      </c>
      <c r="F36" s="124" t="e">
        <f t="shared" si="6"/>
        <v>#REF!</v>
      </c>
      <c r="G36" s="124" t="e">
        <f t="shared" si="6"/>
        <v>#REF!</v>
      </c>
      <c r="H36" s="152" t="e">
        <f t="shared" si="6"/>
        <v>#REF!</v>
      </c>
      <c r="I36" s="124" t="e">
        <f t="shared" si="6"/>
        <v>#REF!</v>
      </c>
      <c r="J36" s="124" t="e">
        <f t="shared" si="6"/>
        <v>#REF!</v>
      </c>
      <c r="K36" s="124" t="e">
        <f t="shared" si="6"/>
        <v>#REF!</v>
      </c>
      <c r="L36" s="124" t="e">
        <f t="shared" si="6"/>
        <v>#REF!</v>
      </c>
      <c r="M36" s="124" t="e">
        <f t="shared" si="6"/>
        <v>#REF!</v>
      </c>
      <c r="N36" s="152" t="e">
        <f t="shared" si="6"/>
        <v>#REF!</v>
      </c>
      <c r="O36" s="152" t="e">
        <f t="shared" si="6"/>
        <v>#REF!</v>
      </c>
      <c r="Q36" s="122"/>
      <c r="R36" s="122"/>
      <c r="U36" s="124"/>
    </row>
    <row r="37" spans="1:22">
      <c r="A37" s="120" t="s">
        <v>638</v>
      </c>
      <c r="B37" s="152">
        <f t="shared" ref="B37:O37" si="7">+B38+B39</f>
        <v>2.4643099999999998</v>
      </c>
      <c r="C37" s="152">
        <f t="shared" si="7"/>
        <v>2.8492799999999998</v>
      </c>
      <c r="D37" s="124" t="e">
        <f t="shared" si="7"/>
        <v>#REF!</v>
      </c>
      <c r="E37" s="124" t="e">
        <f t="shared" si="7"/>
        <v>#REF!</v>
      </c>
      <c r="F37" s="124" t="e">
        <f t="shared" si="7"/>
        <v>#REF!</v>
      </c>
      <c r="G37" s="124" t="e">
        <f t="shared" si="7"/>
        <v>#REF!</v>
      </c>
      <c r="H37" s="124" t="e">
        <f t="shared" si="7"/>
        <v>#REF!</v>
      </c>
      <c r="I37" s="124" t="e">
        <f t="shared" si="7"/>
        <v>#REF!</v>
      </c>
      <c r="J37" s="124" t="e">
        <f t="shared" si="7"/>
        <v>#REF!</v>
      </c>
      <c r="K37" s="124" t="e">
        <f t="shared" si="7"/>
        <v>#REF!</v>
      </c>
      <c r="L37" s="124" t="e">
        <f t="shared" si="7"/>
        <v>#REF!</v>
      </c>
      <c r="M37" s="124" t="e">
        <f t="shared" si="7"/>
        <v>#REF!</v>
      </c>
      <c r="N37" s="124" t="e">
        <f t="shared" si="7"/>
        <v>#REF!</v>
      </c>
      <c r="O37" s="124">
        <f t="shared" si="7"/>
        <v>1453.07</v>
      </c>
      <c r="Q37" s="122"/>
      <c r="R37" s="122"/>
      <c r="U37" s="122"/>
    </row>
    <row r="38" spans="1:22">
      <c r="A38" s="120" t="s">
        <v>545</v>
      </c>
      <c r="B38" s="152"/>
      <c r="C38" s="152"/>
      <c r="D38" s="124"/>
      <c r="F38" s="124"/>
      <c r="G38" s="124"/>
      <c r="H38" s="124"/>
      <c r="Q38" s="122"/>
      <c r="R38" s="122"/>
      <c r="S38" s="122"/>
      <c r="T38" s="122"/>
    </row>
    <row r="39" spans="1:22">
      <c r="A39" s="120" t="s">
        <v>544</v>
      </c>
      <c r="B39" s="152">
        <f>+'Expenses Summary'!C8/100000</f>
        <v>2.4643099999999998</v>
      </c>
      <c r="C39" s="152">
        <f>+'Expenses Summary'!D8/100000</f>
        <v>2.8492799999999998</v>
      </c>
      <c r="D39" s="152" t="e">
        <f>+'Expenses Summary'!E8/100000</f>
        <v>#REF!</v>
      </c>
      <c r="E39" s="152" t="e">
        <f>+'Expenses Summary'!F8/100000</f>
        <v>#REF!</v>
      </c>
      <c r="F39" s="152" t="e">
        <f>+'Expenses Summary'!G8/100000</f>
        <v>#REF!</v>
      </c>
      <c r="G39" s="152" t="e">
        <f>+'Expenses Summary'!H8/100000</f>
        <v>#REF!</v>
      </c>
      <c r="H39" s="152" t="e">
        <f>+'Expenses Summary'!I8/100000</f>
        <v>#REF!</v>
      </c>
      <c r="I39" s="124" t="e">
        <f>+'Expenses Summary'!J8/100000</f>
        <v>#REF!</v>
      </c>
      <c r="J39" s="124" t="e">
        <f>+'Expenses Summary'!K8/100000</f>
        <v>#REF!</v>
      </c>
      <c r="K39" s="124" t="e">
        <f>+'Expenses Summary'!L8/100000</f>
        <v>#REF!</v>
      </c>
      <c r="L39" s="124" t="e">
        <f>+'Expenses Summary'!M8/100000</f>
        <v>#REF!</v>
      </c>
      <c r="M39" s="124" t="e">
        <f>+'Expenses Summary'!N8/100000</f>
        <v>#REF!</v>
      </c>
      <c r="N39" s="124" t="e">
        <f>+#REF!+#REF!+#REF!</f>
        <v>#REF!</v>
      </c>
      <c r="O39" s="124">
        <v>1453.07</v>
      </c>
      <c r="Q39" s="122"/>
      <c r="R39" s="122"/>
      <c r="S39" s="122"/>
      <c r="U39" s="122"/>
      <c r="V39" s="122"/>
    </row>
    <row r="40" spans="1:22">
      <c r="B40" s="152">
        <f t="shared" ref="B40:O40" si="8">+B37/B116*100</f>
        <v>0.81090949368034138</v>
      </c>
      <c r="C40" s="152">
        <f t="shared" si="8"/>
        <v>0.87710398075572393</v>
      </c>
      <c r="D40" s="124" t="e">
        <f t="shared" si="8"/>
        <v>#REF!</v>
      </c>
      <c r="E40" s="124" t="e">
        <f t="shared" si="8"/>
        <v>#REF!</v>
      </c>
      <c r="F40" s="124" t="e">
        <f t="shared" si="8"/>
        <v>#REF!</v>
      </c>
      <c r="G40" s="152" t="e">
        <f t="shared" si="8"/>
        <v>#REF!</v>
      </c>
      <c r="H40" s="152" t="e">
        <f t="shared" si="8"/>
        <v>#REF!</v>
      </c>
      <c r="I40" s="124" t="e">
        <f t="shared" si="8"/>
        <v>#REF!</v>
      </c>
      <c r="J40" s="124" t="e">
        <f t="shared" si="8"/>
        <v>#REF!</v>
      </c>
      <c r="K40" s="124" t="e">
        <f t="shared" si="8"/>
        <v>#REF!</v>
      </c>
      <c r="L40" s="124" t="e">
        <f t="shared" si="8"/>
        <v>#REF!</v>
      </c>
      <c r="M40" s="124" t="e">
        <f t="shared" si="8"/>
        <v>#REF!</v>
      </c>
      <c r="N40" s="152" t="e">
        <f t="shared" si="8"/>
        <v>#REF!</v>
      </c>
      <c r="O40" s="152" t="e">
        <f t="shared" si="8"/>
        <v>#REF!</v>
      </c>
      <c r="Q40" s="122"/>
    </row>
    <row r="41" spans="1:22">
      <c r="B41" s="152"/>
      <c r="C41" s="152"/>
      <c r="D41" s="124"/>
      <c r="F41" s="124"/>
      <c r="G41" s="152"/>
      <c r="H41" s="152"/>
      <c r="I41" s="124"/>
      <c r="J41" s="124"/>
      <c r="K41" s="124"/>
      <c r="L41" s="124"/>
      <c r="M41" s="124"/>
      <c r="N41" s="152"/>
      <c r="O41" s="152"/>
      <c r="Q41" s="122"/>
    </row>
    <row r="42" spans="1:22">
      <c r="A42" s="120" t="s">
        <v>639</v>
      </c>
      <c r="B42" s="152">
        <v>0</v>
      </c>
      <c r="C42" s="152">
        <v>0</v>
      </c>
      <c r="D42" s="152">
        <v>0</v>
      </c>
      <c r="E42" s="152">
        <v>0</v>
      </c>
      <c r="F42" s="152">
        <v>0</v>
      </c>
      <c r="G42" s="152">
        <v>0</v>
      </c>
      <c r="H42" s="152">
        <v>0</v>
      </c>
      <c r="I42" s="124">
        <v>0</v>
      </c>
      <c r="J42" s="124">
        <v>0</v>
      </c>
      <c r="K42" s="124"/>
      <c r="L42" s="124"/>
      <c r="M42" s="124"/>
      <c r="N42" s="124" t="e">
        <f>+#REF!</f>
        <v>#REF!</v>
      </c>
      <c r="O42" s="124">
        <v>742.07</v>
      </c>
      <c r="Q42" s="122"/>
      <c r="R42" s="122"/>
      <c r="S42" s="122"/>
      <c r="T42" s="122"/>
      <c r="U42" s="122"/>
      <c r="V42" s="122"/>
    </row>
    <row r="43" spans="1:22">
      <c r="B43" s="152">
        <f t="shared" ref="B43:O43" si="9">+B42/B116*100</f>
        <v>0</v>
      </c>
      <c r="C43" s="152">
        <f t="shared" si="9"/>
        <v>0</v>
      </c>
      <c r="D43" s="124" t="e">
        <f t="shared" si="9"/>
        <v>#REF!</v>
      </c>
      <c r="E43" s="124" t="e">
        <f t="shared" si="9"/>
        <v>#REF!</v>
      </c>
      <c r="F43" s="124" t="e">
        <f t="shared" si="9"/>
        <v>#REF!</v>
      </c>
      <c r="G43" s="152" t="e">
        <f t="shared" si="9"/>
        <v>#REF!</v>
      </c>
      <c r="H43" s="152" t="e">
        <f t="shared" si="9"/>
        <v>#REF!</v>
      </c>
      <c r="I43" s="124" t="e">
        <f t="shared" si="9"/>
        <v>#REF!</v>
      </c>
      <c r="J43" s="124" t="e">
        <f t="shared" si="9"/>
        <v>#REF!</v>
      </c>
      <c r="K43" s="124"/>
      <c r="L43" s="124"/>
      <c r="M43" s="124"/>
      <c r="N43" s="152" t="e">
        <f t="shared" si="9"/>
        <v>#REF!</v>
      </c>
      <c r="O43" s="152" t="e">
        <f t="shared" si="9"/>
        <v>#REF!</v>
      </c>
      <c r="Q43" s="122"/>
      <c r="R43" s="122"/>
      <c r="S43" s="122"/>
      <c r="T43" s="122"/>
      <c r="U43" s="122"/>
      <c r="V43" s="122"/>
    </row>
    <row r="44" spans="1:22">
      <c r="B44" s="152"/>
      <c r="C44" s="152"/>
      <c r="D44" s="124"/>
      <c r="F44" s="124"/>
      <c r="G44" s="152"/>
      <c r="H44" s="152"/>
      <c r="I44" s="124"/>
      <c r="J44" s="124"/>
      <c r="K44" s="124"/>
      <c r="L44" s="124"/>
      <c r="M44" s="124"/>
      <c r="N44" s="152"/>
      <c r="O44" s="152"/>
      <c r="Q44" s="122"/>
      <c r="R44" s="122"/>
      <c r="S44" s="122"/>
      <c r="T44" s="122"/>
      <c r="U44" s="122"/>
      <c r="V44" s="122"/>
    </row>
    <row r="45" spans="1:22">
      <c r="A45" s="120" t="s">
        <v>640</v>
      </c>
      <c r="B45" s="152">
        <f>+'Expenses Summary'!C14/100000</f>
        <v>30.659859999999998</v>
      </c>
      <c r="C45" s="152">
        <f>+'Expenses Summary'!D14/100000</f>
        <v>29.913789999999999</v>
      </c>
      <c r="D45" s="152">
        <f>+'Expenses Summary'!E14/100000</f>
        <v>37.151837499999999</v>
      </c>
      <c r="E45" s="152">
        <f>+'Expenses Summary'!F14/100000</f>
        <v>45.267296875</v>
      </c>
      <c r="F45" s="152">
        <f>+'Expenses Summary'!G14/100000</f>
        <v>55.265621093749999</v>
      </c>
      <c r="G45" s="152">
        <f>+'Expenses Summary'!H14/100000</f>
        <v>67.597363867187497</v>
      </c>
      <c r="H45" s="152">
        <f>+'Expenses Summary'!I14/100000</f>
        <v>82.82261670898437</v>
      </c>
      <c r="I45" s="124">
        <f>+'Expenses Summary'!J14/100000</f>
        <v>101.63787066748047</v>
      </c>
      <c r="J45" s="124">
        <f>+'Expenses Summary'!K14/100000</f>
        <v>124.90949932028808</v>
      </c>
      <c r="K45" s="124">
        <f>+'Expenses Summary'!L14/100000</f>
        <v>153.71550064543825</v>
      </c>
      <c r="L45" s="124">
        <f>+'Expenses Summary'!M14/100000</f>
        <v>189.39754137351264</v>
      </c>
      <c r="M45" s="124">
        <f>+'Expenses Summary'!N14/100000</f>
        <v>233.62585424572538</v>
      </c>
      <c r="N45" s="124" t="e">
        <f>+#REF!</f>
        <v>#REF!</v>
      </c>
      <c r="O45" s="124">
        <v>137.65</v>
      </c>
      <c r="Q45" s="122"/>
      <c r="R45" s="122"/>
      <c r="S45" s="122"/>
      <c r="U45" s="122"/>
      <c r="V45" s="122"/>
    </row>
    <row r="46" spans="1:22">
      <c r="B46" s="152">
        <f t="shared" ref="B46:O46" si="10">+B45/B116*100</f>
        <v>10.088978882084701</v>
      </c>
      <c r="C46" s="152">
        <f t="shared" si="10"/>
        <v>9.2084682054732312</v>
      </c>
      <c r="D46" s="124" t="e">
        <f t="shared" si="10"/>
        <v>#REF!</v>
      </c>
      <c r="E46" s="124" t="e">
        <f t="shared" si="10"/>
        <v>#REF!</v>
      </c>
      <c r="F46" s="124" t="e">
        <f t="shared" si="10"/>
        <v>#REF!</v>
      </c>
      <c r="G46" s="152" t="e">
        <f t="shared" si="10"/>
        <v>#REF!</v>
      </c>
      <c r="H46" s="152" t="e">
        <f t="shared" si="10"/>
        <v>#REF!</v>
      </c>
      <c r="I46" s="124" t="e">
        <f t="shared" si="10"/>
        <v>#REF!</v>
      </c>
      <c r="J46" s="124" t="e">
        <f t="shared" si="10"/>
        <v>#REF!</v>
      </c>
      <c r="K46" s="124" t="e">
        <f t="shared" si="10"/>
        <v>#REF!</v>
      </c>
      <c r="L46" s="124" t="e">
        <f t="shared" si="10"/>
        <v>#REF!</v>
      </c>
      <c r="M46" s="124" t="e">
        <f t="shared" si="10"/>
        <v>#REF!</v>
      </c>
      <c r="N46" s="152" t="e">
        <f t="shared" si="10"/>
        <v>#REF!</v>
      </c>
      <c r="O46" s="152" t="e">
        <f t="shared" si="10"/>
        <v>#REF!</v>
      </c>
      <c r="Q46" s="122"/>
    </row>
    <row r="47" spans="1:22">
      <c r="B47" s="152"/>
      <c r="C47" s="152"/>
      <c r="D47" s="124"/>
      <c r="F47" s="124"/>
      <c r="G47" s="152"/>
      <c r="H47" s="152"/>
      <c r="I47" s="124"/>
      <c r="J47" s="124"/>
      <c r="K47" s="124"/>
      <c r="L47" s="124"/>
      <c r="M47" s="124"/>
      <c r="N47" s="152"/>
      <c r="O47" s="152"/>
      <c r="Q47" s="122"/>
    </row>
    <row r="48" spans="1:22">
      <c r="A48" s="120" t="s">
        <v>543</v>
      </c>
      <c r="B48" s="152">
        <v>0</v>
      </c>
      <c r="C48" s="152">
        <v>0</v>
      </c>
      <c r="D48" s="124">
        <v>0</v>
      </c>
      <c r="E48" s="124">
        <v>0</v>
      </c>
      <c r="F48" s="124">
        <v>0</v>
      </c>
      <c r="G48" s="124">
        <v>0</v>
      </c>
      <c r="H48" s="124">
        <v>0</v>
      </c>
      <c r="I48" s="124">
        <v>0</v>
      </c>
      <c r="J48" s="124">
        <v>0</v>
      </c>
      <c r="K48" s="124"/>
      <c r="L48" s="124"/>
      <c r="M48" s="124"/>
      <c r="N48" s="124" t="e">
        <f>+#REF!</f>
        <v>#REF!</v>
      </c>
      <c r="O48" s="124">
        <v>44.34</v>
      </c>
      <c r="Q48" s="122"/>
      <c r="R48" s="122"/>
      <c r="S48" s="122"/>
      <c r="U48" s="122"/>
      <c r="V48" s="122"/>
    </row>
    <row r="49" spans="1:22">
      <c r="B49" s="152">
        <f t="shared" ref="B49:N49" si="11">+B48/B116*100</f>
        <v>0</v>
      </c>
      <c r="C49" s="152">
        <f t="shared" si="11"/>
        <v>0</v>
      </c>
      <c r="D49" s="124" t="e">
        <f t="shared" si="11"/>
        <v>#REF!</v>
      </c>
      <c r="E49" s="124" t="e">
        <f t="shared" si="11"/>
        <v>#REF!</v>
      </c>
      <c r="F49" s="124" t="e">
        <f t="shared" si="11"/>
        <v>#REF!</v>
      </c>
      <c r="G49" s="152" t="e">
        <f t="shared" si="11"/>
        <v>#REF!</v>
      </c>
      <c r="H49" s="152" t="e">
        <f t="shared" si="11"/>
        <v>#REF!</v>
      </c>
      <c r="I49" s="124" t="e">
        <f t="shared" si="11"/>
        <v>#REF!</v>
      </c>
      <c r="J49" s="124" t="e">
        <f t="shared" si="11"/>
        <v>#REF!</v>
      </c>
      <c r="K49" s="124"/>
      <c r="L49" s="124"/>
      <c r="M49" s="124"/>
      <c r="N49" s="152" t="e">
        <f t="shared" si="11"/>
        <v>#REF!</v>
      </c>
      <c r="O49" s="152">
        <v>0.64</v>
      </c>
      <c r="Q49" s="122"/>
      <c r="S49" s="122"/>
      <c r="V49" s="122"/>
    </row>
    <row r="50" spans="1:22">
      <c r="A50" s="120" t="s">
        <v>542</v>
      </c>
      <c r="B50" s="152">
        <f>+'Expenses Summary'!C26/100000</f>
        <v>69.940354299999996</v>
      </c>
      <c r="C50" s="152">
        <f>+'Expenses Summary'!D26/100000</f>
        <v>69.962010000000006</v>
      </c>
      <c r="D50" s="152">
        <f>+'Expenses Summary'!E26/100000</f>
        <v>63.873550000000002</v>
      </c>
      <c r="E50" s="152">
        <f>+'Expenses Summary'!F26/100000</f>
        <v>61.994535600000006</v>
      </c>
      <c r="F50" s="152">
        <f>+'Expenses Summary'!G26/100000</f>
        <v>274.16203154999999</v>
      </c>
      <c r="G50" s="152">
        <f>+'Expenses Summary'!H26/100000</f>
        <v>249.89010447850004</v>
      </c>
      <c r="H50" s="152">
        <f>+'Expenses Summary'!I26/100000</f>
        <v>227.99872870162505</v>
      </c>
      <c r="I50" s="124">
        <f>+'Expenses Summary'!J26/100000</f>
        <v>213.43184530179127</v>
      </c>
      <c r="J50" s="124">
        <f>+'Expenses Summary'!K26/100000</f>
        <v>201.18670182139155</v>
      </c>
      <c r="K50" s="124">
        <f>+'Expenses Summary'!L26/100000</f>
        <v>220.37636653156497</v>
      </c>
      <c r="L50" s="124">
        <f>+'Expenses Summary'!M26/100000</f>
        <v>236.25081453687406</v>
      </c>
      <c r="M50" s="124">
        <f>+'Expenses Summary'!N26/100000</f>
        <v>342.97600504288255</v>
      </c>
      <c r="N50" s="124" t="e">
        <f>+#REF!</f>
        <v>#REF!</v>
      </c>
      <c r="O50" s="124">
        <v>238.9</v>
      </c>
      <c r="Q50" s="122"/>
    </row>
    <row r="51" spans="1:22">
      <c r="B51" s="152"/>
      <c r="C51" s="152"/>
      <c r="D51" s="124"/>
      <c r="F51" s="124"/>
      <c r="G51" s="124"/>
      <c r="H51" s="124"/>
      <c r="Q51" s="122"/>
    </row>
    <row r="52" spans="1:22">
      <c r="A52" s="200" t="s">
        <v>541</v>
      </c>
      <c r="B52" s="152">
        <f t="shared" ref="B52:O52" si="12">+B34+B35+B39+B42+B45+B48+B50</f>
        <v>175.5050943</v>
      </c>
      <c r="C52" s="152">
        <f t="shared" si="12"/>
        <v>192.56529999999998</v>
      </c>
      <c r="D52" s="124" t="e">
        <f t="shared" si="12"/>
        <v>#REF!</v>
      </c>
      <c r="E52" s="124" t="e">
        <f t="shared" si="12"/>
        <v>#REF!</v>
      </c>
      <c r="F52" s="124" t="e">
        <f t="shared" si="12"/>
        <v>#REF!</v>
      </c>
      <c r="G52" s="124" t="e">
        <f t="shared" si="12"/>
        <v>#REF!</v>
      </c>
      <c r="H52" s="124" t="e">
        <f t="shared" si="12"/>
        <v>#REF!</v>
      </c>
      <c r="I52" s="124" t="e">
        <f t="shared" si="12"/>
        <v>#REF!</v>
      </c>
      <c r="J52" s="124" t="e">
        <f t="shared" si="12"/>
        <v>#REF!</v>
      </c>
      <c r="K52" s="124" t="e">
        <f t="shared" si="12"/>
        <v>#REF!</v>
      </c>
      <c r="L52" s="124" t="e">
        <f t="shared" si="12"/>
        <v>#REF!</v>
      </c>
      <c r="M52" s="124" t="e">
        <f>+M34+M35+M39+M42+M45+M48+M50</f>
        <v>#REF!</v>
      </c>
      <c r="N52" s="124" t="e">
        <f t="shared" si="12"/>
        <v>#REF!</v>
      </c>
      <c r="O52" s="124" t="e">
        <f t="shared" si="12"/>
        <v>#REF!</v>
      </c>
      <c r="Q52" s="122"/>
      <c r="R52" s="122"/>
      <c r="S52" s="122"/>
      <c r="U52" s="122"/>
      <c r="V52" s="122"/>
    </row>
    <row r="53" spans="1:22">
      <c r="B53" s="152"/>
      <c r="C53" s="152"/>
      <c r="D53" s="124"/>
      <c r="F53" s="124"/>
      <c r="G53" s="124"/>
      <c r="H53" s="124"/>
      <c r="Q53" s="122"/>
      <c r="R53" s="122"/>
      <c r="S53" s="122"/>
      <c r="T53" s="122"/>
      <c r="U53" s="122"/>
      <c r="V53" s="122"/>
    </row>
    <row r="54" spans="1:22">
      <c r="A54" s="120" t="s">
        <v>540</v>
      </c>
      <c r="B54" s="152">
        <v>0</v>
      </c>
      <c r="C54" s="152">
        <f>+B63</f>
        <v>0</v>
      </c>
      <c r="D54" s="124">
        <f>+C63</f>
        <v>0</v>
      </c>
      <c r="E54" s="124">
        <f>+D63</f>
        <v>0</v>
      </c>
      <c r="F54" s="124">
        <f>+E63</f>
        <v>0</v>
      </c>
      <c r="G54" s="124">
        <f>+E63</f>
        <v>0</v>
      </c>
      <c r="H54" s="124">
        <f>+E63</f>
        <v>0</v>
      </c>
      <c r="I54" s="124">
        <f>+G63</f>
        <v>0</v>
      </c>
      <c r="J54" s="124">
        <f t="shared" ref="J54:O54" si="13">+I63</f>
        <v>0</v>
      </c>
      <c r="K54" s="124">
        <f t="shared" si="13"/>
        <v>0</v>
      </c>
      <c r="L54" s="124"/>
      <c r="M54" s="124"/>
      <c r="N54" s="124">
        <f t="shared" si="13"/>
        <v>0</v>
      </c>
      <c r="O54" s="124" t="e">
        <f t="shared" si="13"/>
        <v>#REF!</v>
      </c>
      <c r="Q54" s="122"/>
      <c r="R54" s="122"/>
      <c r="S54" s="122"/>
      <c r="T54" s="122"/>
      <c r="U54" s="122"/>
      <c r="V54" s="122"/>
    </row>
    <row r="55" spans="1:22">
      <c r="B55" s="152"/>
      <c r="C55" s="152"/>
      <c r="D55" s="124"/>
      <c r="F55" s="124"/>
      <c r="G55" s="124"/>
      <c r="H55" s="124"/>
      <c r="Q55" s="122"/>
      <c r="R55" s="122"/>
      <c r="S55" s="122"/>
      <c r="T55" s="122"/>
      <c r="U55" s="122"/>
      <c r="V55" s="122"/>
    </row>
    <row r="56" spans="1:22">
      <c r="A56" s="200" t="s">
        <v>539</v>
      </c>
      <c r="B56" s="152">
        <f t="shared" ref="B56:O56" si="14">B52+B54</f>
        <v>175.5050943</v>
      </c>
      <c r="C56" s="152">
        <f t="shared" si="14"/>
        <v>192.56529999999998</v>
      </c>
      <c r="D56" s="124" t="e">
        <f t="shared" si="14"/>
        <v>#REF!</v>
      </c>
      <c r="E56" s="124" t="e">
        <f t="shared" si="14"/>
        <v>#REF!</v>
      </c>
      <c r="F56" s="124" t="e">
        <f t="shared" si="14"/>
        <v>#REF!</v>
      </c>
      <c r="G56" s="124" t="e">
        <f t="shared" si="14"/>
        <v>#REF!</v>
      </c>
      <c r="H56" s="124" t="e">
        <f t="shared" si="14"/>
        <v>#REF!</v>
      </c>
      <c r="I56" s="124" t="e">
        <f t="shared" si="14"/>
        <v>#REF!</v>
      </c>
      <c r="J56" s="124" t="e">
        <f t="shared" si="14"/>
        <v>#REF!</v>
      </c>
      <c r="K56" s="124" t="e">
        <f t="shared" si="14"/>
        <v>#REF!</v>
      </c>
      <c r="L56" s="124" t="e">
        <f t="shared" si="14"/>
        <v>#REF!</v>
      </c>
      <c r="M56" s="124" t="e">
        <f>M52+M54</f>
        <v>#REF!</v>
      </c>
      <c r="N56" s="124" t="e">
        <f t="shared" si="14"/>
        <v>#REF!</v>
      </c>
      <c r="O56" s="124" t="e">
        <f t="shared" si="14"/>
        <v>#REF!</v>
      </c>
      <c r="Q56" s="122"/>
      <c r="R56" s="122"/>
      <c r="S56" s="122"/>
      <c r="U56" s="122"/>
      <c r="V56" s="122"/>
    </row>
    <row r="57" spans="1:22">
      <c r="Q57" s="122"/>
      <c r="R57" s="122"/>
      <c r="S57" s="122"/>
      <c r="U57" s="122"/>
      <c r="V57" s="122"/>
    </row>
    <row r="58" spans="1:22" ht="15.75">
      <c r="A58" s="195"/>
      <c r="B58" s="167"/>
      <c r="C58" s="198"/>
      <c r="D58" s="193"/>
      <c r="E58" s="199"/>
      <c r="F58" s="193"/>
      <c r="G58" s="193"/>
      <c r="H58" s="193"/>
      <c r="Q58" s="122"/>
      <c r="U58" s="122"/>
      <c r="V58" s="122"/>
    </row>
    <row r="59" spans="1:22" s="195" customFormat="1" ht="15.75">
      <c r="B59" s="167"/>
      <c r="C59" s="198"/>
      <c r="D59" s="140"/>
      <c r="E59" s="134"/>
      <c r="F59" s="134"/>
      <c r="G59" s="134"/>
      <c r="H59" s="134"/>
      <c r="I59" s="197"/>
      <c r="J59" s="197"/>
      <c r="K59" s="197"/>
      <c r="L59" s="197"/>
      <c r="M59" s="197"/>
      <c r="N59" s="197"/>
      <c r="O59" s="197"/>
      <c r="P59" s="197"/>
      <c r="Q59" s="196"/>
      <c r="R59" s="197"/>
      <c r="S59" s="197"/>
      <c r="T59" s="197"/>
      <c r="U59" s="197"/>
      <c r="V59" s="197"/>
    </row>
    <row r="60" spans="1:22" s="195" customFormat="1" ht="15.75">
      <c r="A60" s="143" t="s">
        <v>300</v>
      </c>
      <c r="B60" s="156" t="str">
        <f t="shared" ref="B60:G61" si="15">+B6</f>
        <v>31.03.12</v>
      </c>
      <c r="C60" s="156" t="str">
        <f t="shared" si="15"/>
        <v>31.03.13</v>
      </c>
      <c r="D60" s="140" t="str">
        <f t="shared" si="15"/>
        <v>31.03.14</v>
      </c>
      <c r="E60" s="134" t="str">
        <f t="shared" si="15"/>
        <v>31.03.15</v>
      </c>
      <c r="F60" s="140" t="str">
        <f t="shared" si="15"/>
        <v>31.03.16</v>
      </c>
      <c r="G60" s="140" t="str">
        <f t="shared" si="15"/>
        <v>31.03.17</v>
      </c>
      <c r="H60" s="140" t="s">
        <v>278</v>
      </c>
      <c r="I60" s="140" t="str">
        <f t="shared" ref="I60:O61" si="16">+I6</f>
        <v>31.03.19</v>
      </c>
      <c r="J60" s="140" t="str">
        <f t="shared" si="16"/>
        <v>31.03.20</v>
      </c>
      <c r="K60" s="140" t="str">
        <f t="shared" si="16"/>
        <v>31.03.21</v>
      </c>
      <c r="L60" s="140" t="str">
        <f t="shared" si="16"/>
        <v>31.03.22</v>
      </c>
      <c r="M60" s="140" t="str">
        <f>+M6</f>
        <v>31.03.23</v>
      </c>
      <c r="N60" s="140" t="str">
        <f t="shared" si="16"/>
        <v>31.03.20</v>
      </c>
      <c r="O60" s="140" t="str">
        <f t="shared" si="16"/>
        <v>31.03.21</v>
      </c>
      <c r="P60" s="197"/>
      <c r="Q60" s="196"/>
      <c r="R60" s="136"/>
      <c r="S60" s="136"/>
      <c r="T60" s="137"/>
      <c r="U60" s="136"/>
      <c r="V60" s="136"/>
    </row>
    <row r="61" spans="1:22">
      <c r="B61" s="156" t="str">
        <f t="shared" si="15"/>
        <v>AUDITED</v>
      </c>
      <c r="C61" s="156" t="str">
        <f t="shared" si="15"/>
        <v>AUDITED</v>
      </c>
      <c r="D61" s="140" t="str">
        <f t="shared" si="15"/>
        <v>Prov.</v>
      </c>
      <c r="E61" s="134" t="str">
        <f t="shared" si="15"/>
        <v>Proj.</v>
      </c>
      <c r="F61" s="140" t="str">
        <f t="shared" si="15"/>
        <v>Proj.</v>
      </c>
      <c r="G61" s="140" t="str">
        <f t="shared" si="15"/>
        <v>Proj.</v>
      </c>
      <c r="H61" s="140" t="s">
        <v>277</v>
      </c>
      <c r="I61" s="140" t="str">
        <f t="shared" si="16"/>
        <v>Proj.</v>
      </c>
      <c r="J61" s="140" t="str">
        <f t="shared" si="16"/>
        <v>Proj.</v>
      </c>
      <c r="K61" s="140" t="str">
        <f t="shared" si="16"/>
        <v>Proj.</v>
      </c>
      <c r="L61" s="140" t="str">
        <f t="shared" si="16"/>
        <v>Proj.</v>
      </c>
      <c r="M61" s="140" t="str">
        <f>+M7</f>
        <v>Proj.</v>
      </c>
      <c r="N61" s="140" t="str">
        <f t="shared" si="16"/>
        <v>Proj.</v>
      </c>
      <c r="O61" s="140" t="str">
        <f t="shared" si="16"/>
        <v>Proj.</v>
      </c>
      <c r="Q61" s="122"/>
      <c r="R61" s="136"/>
      <c r="S61" s="136"/>
      <c r="T61" s="137"/>
      <c r="U61" s="136"/>
      <c r="V61" s="136"/>
    </row>
    <row r="62" spans="1:22">
      <c r="Q62" s="122"/>
      <c r="R62" s="137"/>
      <c r="S62" s="136"/>
      <c r="T62" s="137"/>
      <c r="U62" s="136"/>
      <c r="V62" s="136"/>
    </row>
    <row r="63" spans="1:22">
      <c r="A63" s="120" t="s">
        <v>538</v>
      </c>
      <c r="B63" s="152">
        <v>0</v>
      </c>
      <c r="C63" s="152">
        <v>0</v>
      </c>
      <c r="D63" s="124">
        <v>0</v>
      </c>
      <c r="E63" s="124">
        <v>0</v>
      </c>
      <c r="F63" s="124">
        <v>0</v>
      </c>
      <c r="G63" s="124">
        <v>0</v>
      </c>
      <c r="H63" s="124">
        <v>0</v>
      </c>
      <c r="I63" s="124">
        <v>0</v>
      </c>
      <c r="J63" s="124">
        <v>0</v>
      </c>
      <c r="K63" s="124">
        <v>0</v>
      </c>
      <c r="L63" s="124">
        <v>0</v>
      </c>
      <c r="M63" s="124">
        <v>0</v>
      </c>
      <c r="N63" s="124" t="e">
        <f>+#REF!</f>
        <v>#REF!</v>
      </c>
      <c r="O63" s="124">
        <v>50</v>
      </c>
      <c r="Q63" s="122"/>
      <c r="R63" s="137"/>
      <c r="S63" s="137"/>
      <c r="T63" s="137"/>
      <c r="U63" s="137"/>
      <c r="V63" s="137"/>
    </row>
    <row r="64" spans="1:22">
      <c r="B64" s="152"/>
      <c r="C64" s="152"/>
      <c r="D64" s="124"/>
      <c r="F64" s="124"/>
      <c r="G64" s="124"/>
      <c r="H64" s="124"/>
      <c r="Q64" s="122"/>
      <c r="R64" s="137"/>
      <c r="S64" s="137"/>
      <c r="T64" s="137"/>
      <c r="U64" s="137"/>
      <c r="V64" s="137"/>
    </row>
    <row r="65" spans="1:22">
      <c r="A65" s="143" t="s">
        <v>537</v>
      </c>
      <c r="B65" s="144">
        <f t="shared" ref="B65:O65" si="17">+B56-B63</f>
        <v>175.5050943</v>
      </c>
      <c r="C65" s="144">
        <f t="shared" si="17"/>
        <v>192.56529999999998</v>
      </c>
      <c r="D65" s="134" t="e">
        <f t="shared" si="17"/>
        <v>#REF!</v>
      </c>
      <c r="E65" s="134" t="e">
        <f t="shared" si="17"/>
        <v>#REF!</v>
      </c>
      <c r="F65" s="134" t="e">
        <f t="shared" si="17"/>
        <v>#REF!</v>
      </c>
      <c r="G65" s="134" t="e">
        <f t="shared" si="17"/>
        <v>#REF!</v>
      </c>
      <c r="H65" s="134" t="e">
        <f t="shared" si="17"/>
        <v>#REF!</v>
      </c>
      <c r="I65" s="134" t="e">
        <f t="shared" si="17"/>
        <v>#REF!</v>
      </c>
      <c r="J65" s="134" t="e">
        <f t="shared" si="17"/>
        <v>#REF!</v>
      </c>
      <c r="K65" s="134" t="e">
        <f t="shared" si="17"/>
        <v>#REF!</v>
      </c>
      <c r="L65" s="134" t="e">
        <f t="shared" si="17"/>
        <v>#REF!</v>
      </c>
      <c r="M65" s="134" t="e">
        <f>+M56-M63</f>
        <v>#REF!</v>
      </c>
      <c r="N65" s="134" t="e">
        <f t="shared" si="17"/>
        <v>#REF!</v>
      </c>
      <c r="O65" s="134" t="e">
        <f t="shared" si="17"/>
        <v>#REF!</v>
      </c>
      <c r="Q65" s="122"/>
      <c r="R65" s="137"/>
      <c r="S65" s="137"/>
      <c r="T65" s="137"/>
      <c r="U65" s="137"/>
      <c r="V65" s="137"/>
    </row>
    <row r="66" spans="1:22">
      <c r="A66" s="143"/>
      <c r="B66" s="152"/>
      <c r="C66" s="152"/>
      <c r="D66" s="124"/>
      <c r="F66" s="124"/>
      <c r="G66" s="124"/>
      <c r="H66" s="124"/>
      <c r="Q66" s="122"/>
      <c r="R66" s="137"/>
      <c r="S66" s="137"/>
      <c r="T66" s="137"/>
      <c r="U66" s="137"/>
      <c r="V66" s="137"/>
    </row>
    <row r="67" spans="1:22">
      <c r="A67" s="120" t="s">
        <v>536</v>
      </c>
      <c r="B67" s="152">
        <v>0</v>
      </c>
      <c r="C67" s="152">
        <f>+B71</f>
        <v>0</v>
      </c>
      <c r="D67" s="124">
        <f>+C71</f>
        <v>0</v>
      </c>
      <c r="E67" s="124">
        <v>0</v>
      </c>
      <c r="F67" s="124">
        <f>+E71</f>
        <v>0</v>
      </c>
      <c r="G67" s="124">
        <f>+E71</f>
        <v>0</v>
      </c>
      <c r="H67" s="124">
        <f>+E71</f>
        <v>0</v>
      </c>
      <c r="I67" s="124">
        <f>+G71</f>
        <v>0</v>
      </c>
      <c r="J67" s="124">
        <f t="shared" ref="J67:O67" si="18">+I71</f>
        <v>0</v>
      </c>
      <c r="K67" s="124">
        <f t="shared" si="18"/>
        <v>0</v>
      </c>
      <c r="L67" s="124">
        <v>0</v>
      </c>
      <c r="M67" s="124">
        <v>0</v>
      </c>
      <c r="N67" s="124">
        <f t="shared" si="18"/>
        <v>0</v>
      </c>
      <c r="O67" s="124" t="e">
        <f t="shared" si="18"/>
        <v>#REF!</v>
      </c>
      <c r="Q67" s="122"/>
      <c r="R67" s="137"/>
      <c r="S67" s="136"/>
      <c r="T67" s="137"/>
      <c r="U67" s="137"/>
      <c r="V67" s="137"/>
    </row>
    <row r="68" spans="1:22">
      <c r="B68" s="152"/>
      <c r="C68" s="152"/>
      <c r="D68" s="124"/>
      <c r="E68" s="124" t="s">
        <v>320</v>
      </c>
      <c r="F68" s="124"/>
      <c r="G68" s="124"/>
      <c r="H68" s="124"/>
      <c r="Q68" s="122"/>
      <c r="T68" s="120"/>
      <c r="U68" s="120"/>
      <c r="V68" s="120"/>
    </row>
    <row r="69" spans="1:22">
      <c r="A69" s="147" t="s">
        <v>518</v>
      </c>
      <c r="B69" s="152">
        <f t="shared" ref="B69:O69" si="19">B65+B67</f>
        <v>175.5050943</v>
      </c>
      <c r="C69" s="152">
        <f t="shared" si="19"/>
        <v>192.56529999999998</v>
      </c>
      <c r="D69" s="124" t="e">
        <f t="shared" si="19"/>
        <v>#REF!</v>
      </c>
      <c r="E69" s="124" t="e">
        <f t="shared" si="19"/>
        <v>#REF!</v>
      </c>
      <c r="F69" s="124" t="e">
        <f t="shared" si="19"/>
        <v>#REF!</v>
      </c>
      <c r="G69" s="124" t="e">
        <f t="shared" si="19"/>
        <v>#REF!</v>
      </c>
      <c r="H69" s="124" t="e">
        <f t="shared" si="19"/>
        <v>#REF!</v>
      </c>
      <c r="I69" s="124" t="e">
        <f t="shared" si="19"/>
        <v>#REF!</v>
      </c>
      <c r="J69" s="124" t="e">
        <f t="shared" si="19"/>
        <v>#REF!</v>
      </c>
      <c r="K69" s="124" t="e">
        <f t="shared" si="19"/>
        <v>#REF!</v>
      </c>
      <c r="L69" s="124" t="e">
        <f t="shared" si="19"/>
        <v>#REF!</v>
      </c>
      <c r="M69" s="124" t="e">
        <f>M65+M67</f>
        <v>#REF!</v>
      </c>
      <c r="N69" s="124" t="e">
        <f t="shared" si="19"/>
        <v>#REF!</v>
      </c>
      <c r="O69" s="124" t="e">
        <f t="shared" si="19"/>
        <v>#REF!</v>
      </c>
      <c r="Q69" s="122"/>
      <c r="T69" s="120"/>
      <c r="U69" s="120"/>
      <c r="V69" s="120"/>
    </row>
    <row r="70" spans="1:22">
      <c r="B70" s="152"/>
      <c r="C70" s="152"/>
      <c r="D70" s="124"/>
      <c r="F70" s="124"/>
      <c r="G70" s="124"/>
      <c r="H70" s="124"/>
      <c r="Q70" s="122"/>
      <c r="T70" s="120"/>
      <c r="U70" s="120"/>
      <c r="V70" s="120"/>
    </row>
    <row r="71" spans="1:22">
      <c r="A71" s="120" t="s">
        <v>535</v>
      </c>
      <c r="B71" s="152">
        <v>0</v>
      </c>
      <c r="C71" s="152">
        <v>0</v>
      </c>
      <c r="D71" s="124">
        <v>0</v>
      </c>
      <c r="E71" s="124">
        <v>0</v>
      </c>
      <c r="F71" s="124">
        <v>0</v>
      </c>
      <c r="G71" s="124">
        <v>0</v>
      </c>
      <c r="H71" s="124">
        <v>0</v>
      </c>
      <c r="I71" s="124">
        <v>0</v>
      </c>
      <c r="J71" s="124">
        <v>0</v>
      </c>
      <c r="K71" s="124">
        <v>0</v>
      </c>
      <c r="L71" s="124">
        <v>0</v>
      </c>
      <c r="M71" s="124">
        <v>0</v>
      </c>
      <c r="N71" s="124" t="e">
        <f>+#REF!</f>
        <v>#REF!</v>
      </c>
      <c r="O71" s="124">
        <v>404.85</v>
      </c>
      <c r="Q71" s="122"/>
      <c r="T71" s="120"/>
      <c r="U71" s="120"/>
      <c r="V71" s="120"/>
    </row>
    <row r="72" spans="1:22">
      <c r="B72" s="152"/>
      <c r="C72" s="152"/>
      <c r="D72" s="124"/>
      <c r="F72" s="124"/>
      <c r="G72" s="124"/>
      <c r="H72" s="124"/>
      <c r="Q72" s="122"/>
      <c r="T72" s="120"/>
      <c r="U72" s="120"/>
      <c r="V72" s="120"/>
    </row>
    <row r="73" spans="1:22">
      <c r="A73" s="143" t="s">
        <v>534</v>
      </c>
      <c r="B73" s="144">
        <f t="shared" ref="B73:O73" si="20">B69-B71</f>
        <v>175.5050943</v>
      </c>
      <c r="C73" s="144">
        <f t="shared" si="20"/>
        <v>192.56529999999998</v>
      </c>
      <c r="D73" s="134" t="e">
        <f t="shared" si="20"/>
        <v>#REF!</v>
      </c>
      <c r="E73" s="134" t="e">
        <f t="shared" si="20"/>
        <v>#REF!</v>
      </c>
      <c r="F73" s="134" t="e">
        <f t="shared" si="20"/>
        <v>#REF!</v>
      </c>
      <c r="G73" s="134" t="e">
        <f t="shared" si="20"/>
        <v>#REF!</v>
      </c>
      <c r="H73" s="134" t="e">
        <f t="shared" si="20"/>
        <v>#REF!</v>
      </c>
      <c r="I73" s="134" t="e">
        <f t="shared" si="20"/>
        <v>#REF!</v>
      </c>
      <c r="J73" s="134" t="e">
        <f t="shared" si="20"/>
        <v>#REF!</v>
      </c>
      <c r="K73" s="134" t="e">
        <f t="shared" si="20"/>
        <v>#REF!</v>
      </c>
      <c r="L73" s="134" t="e">
        <f t="shared" si="20"/>
        <v>#REF!</v>
      </c>
      <c r="M73" s="134" t="e">
        <f>M69-M71</f>
        <v>#REF!</v>
      </c>
      <c r="N73" s="134" t="e">
        <f t="shared" si="20"/>
        <v>#REF!</v>
      </c>
      <c r="O73" s="134" t="e">
        <f t="shared" si="20"/>
        <v>#REF!</v>
      </c>
      <c r="Q73" s="122"/>
      <c r="R73" s="122"/>
      <c r="S73" s="122"/>
      <c r="T73" s="120"/>
      <c r="U73" s="120"/>
      <c r="V73" s="120"/>
    </row>
    <row r="74" spans="1:22">
      <c r="A74" s="143" t="s">
        <v>320</v>
      </c>
      <c r="B74" s="152"/>
      <c r="C74" s="152"/>
      <c r="D74" s="124"/>
      <c r="F74" s="124"/>
      <c r="G74" s="124"/>
      <c r="H74" s="124"/>
      <c r="Q74" s="122"/>
      <c r="T74" s="120"/>
      <c r="U74" s="120"/>
      <c r="V74" s="120"/>
    </row>
    <row r="75" spans="1:22">
      <c r="A75" s="147" t="s">
        <v>533</v>
      </c>
      <c r="B75" s="152">
        <f>+'Expenses Summary'!C11/100000</f>
        <v>24.819900000000001</v>
      </c>
      <c r="C75" s="152">
        <f>+'Expenses Summary'!D11/100000</f>
        <v>26.67991</v>
      </c>
      <c r="D75" s="152">
        <f>+'Expenses Summary'!E11/100000</f>
        <v>33.548752700000001</v>
      </c>
      <c r="E75" s="152">
        <f>+'Expenses Summary'!F11/100000</f>
        <v>45.514083147000001</v>
      </c>
      <c r="F75" s="152">
        <f>+'Expenses Summary'!G11/100000</f>
        <v>49.371901895500002</v>
      </c>
      <c r="G75" s="152">
        <f>+'Expenses Summary'!H11/100000</f>
        <v>53.912787505920001</v>
      </c>
      <c r="H75" s="152">
        <f>+'Expenses Summary'!I11/100000</f>
        <v>60.633271528427507</v>
      </c>
      <c r="I75" s="124">
        <f>+'Expenses Summary'!J11/100000</f>
        <v>67.954680509438077</v>
      </c>
      <c r="J75" s="124">
        <f>+'Expenses Summary'!K11/100000</f>
        <v>77.347374053480536</v>
      </c>
      <c r="K75" s="124">
        <f>+'Expenses Summary'!L11/100000</f>
        <v>91.571988250071982</v>
      </c>
      <c r="L75" s="124">
        <f>+'Expenses Summary'!M11/100000</f>
        <v>108.06346142868357</v>
      </c>
      <c r="M75" s="124">
        <f>+'Expenses Summary'!N11/100000</f>
        <v>126.55476287753362</v>
      </c>
      <c r="N75" s="124" t="e">
        <f>+#REF!</f>
        <v>#REF!</v>
      </c>
      <c r="O75" s="124">
        <v>245</v>
      </c>
      <c r="Q75" s="122"/>
      <c r="T75" s="120"/>
      <c r="U75" s="120"/>
      <c r="V75" s="120"/>
    </row>
    <row r="76" spans="1:22">
      <c r="B76" s="152">
        <f t="shared" ref="B76:O76" si="21">+B75/B116*100</f>
        <v>8.1672730063168615</v>
      </c>
      <c r="C76" s="152">
        <f t="shared" si="21"/>
        <v>8.2129714409269869</v>
      </c>
      <c r="D76" s="124" t="e">
        <f t="shared" si="21"/>
        <v>#REF!</v>
      </c>
      <c r="E76" s="124" t="e">
        <f t="shared" si="21"/>
        <v>#REF!</v>
      </c>
      <c r="F76" s="124" t="e">
        <f t="shared" si="21"/>
        <v>#REF!</v>
      </c>
      <c r="G76" s="124" t="e">
        <f t="shared" si="21"/>
        <v>#REF!</v>
      </c>
      <c r="H76" s="124" t="e">
        <f t="shared" si="21"/>
        <v>#REF!</v>
      </c>
      <c r="I76" s="124" t="e">
        <f t="shared" si="21"/>
        <v>#REF!</v>
      </c>
      <c r="J76" s="124" t="e">
        <f t="shared" si="21"/>
        <v>#REF!</v>
      </c>
      <c r="K76" s="124" t="e">
        <f t="shared" si="21"/>
        <v>#REF!</v>
      </c>
      <c r="L76" s="124" t="e">
        <f t="shared" si="21"/>
        <v>#REF!</v>
      </c>
      <c r="M76" s="124" t="e">
        <f>+M75/M116*100</f>
        <v>#REF!</v>
      </c>
      <c r="N76" s="124" t="e">
        <f t="shared" si="21"/>
        <v>#REF!</v>
      </c>
      <c r="O76" s="124" t="e">
        <f t="shared" si="21"/>
        <v>#REF!</v>
      </c>
      <c r="Q76" s="122"/>
      <c r="T76" s="120"/>
      <c r="U76" s="120"/>
      <c r="V76" s="120"/>
    </row>
    <row r="77" spans="1:22">
      <c r="B77" s="152"/>
      <c r="C77" s="152"/>
      <c r="D77" s="124"/>
      <c r="F77" s="124"/>
      <c r="G77" s="124"/>
      <c r="H77" s="124"/>
      <c r="I77" s="124"/>
      <c r="J77" s="124"/>
      <c r="K77" s="124"/>
      <c r="L77" s="124"/>
      <c r="M77" s="124"/>
      <c r="N77" s="124"/>
      <c r="O77" s="124"/>
      <c r="Q77" s="122"/>
      <c r="T77" s="120"/>
      <c r="U77" s="120"/>
      <c r="V77" s="120"/>
    </row>
    <row r="78" spans="1:22">
      <c r="A78" s="120" t="s">
        <v>532</v>
      </c>
      <c r="B78" s="152">
        <f t="shared" ref="B78:O78" si="22">B73+B75</f>
        <v>200.32499429999999</v>
      </c>
      <c r="C78" s="152">
        <f t="shared" si="22"/>
        <v>219.24520999999999</v>
      </c>
      <c r="D78" s="124" t="e">
        <f t="shared" si="22"/>
        <v>#REF!</v>
      </c>
      <c r="E78" s="124" t="e">
        <f t="shared" si="22"/>
        <v>#REF!</v>
      </c>
      <c r="F78" s="124" t="e">
        <f t="shared" si="22"/>
        <v>#REF!</v>
      </c>
      <c r="G78" s="124" t="e">
        <f t="shared" si="22"/>
        <v>#REF!</v>
      </c>
      <c r="H78" s="124" t="e">
        <f t="shared" si="22"/>
        <v>#REF!</v>
      </c>
      <c r="I78" s="124" t="e">
        <f t="shared" si="22"/>
        <v>#REF!</v>
      </c>
      <c r="J78" s="124" t="e">
        <f t="shared" si="22"/>
        <v>#REF!</v>
      </c>
      <c r="K78" s="124" t="e">
        <f t="shared" si="22"/>
        <v>#REF!</v>
      </c>
      <c r="L78" s="124" t="e">
        <f t="shared" si="22"/>
        <v>#REF!</v>
      </c>
      <c r="M78" s="124" t="e">
        <f>M73+M75</f>
        <v>#REF!</v>
      </c>
      <c r="N78" s="124" t="e">
        <f t="shared" si="22"/>
        <v>#REF!</v>
      </c>
      <c r="O78" s="124" t="e">
        <f t="shared" si="22"/>
        <v>#REF!</v>
      </c>
      <c r="Q78" s="122"/>
      <c r="T78" s="120"/>
      <c r="U78" s="120"/>
      <c r="V78" s="120"/>
    </row>
    <row r="79" spans="1:22">
      <c r="B79" s="152"/>
      <c r="C79" s="152"/>
      <c r="D79" s="124"/>
      <c r="F79" s="124"/>
      <c r="G79" s="124"/>
      <c r="H79" s="124"/>
      <c r="Q79" s="122"/>
      <c r="T79" s="120"/>
      <c r="U79" s="120"/>
      <c r="V79" s="120"/>
    </row>
    <row r="80" spans="1:22">
      <c r="A80" s="120" t="s">
        <v>531</v>
      </c>
      <c r="B80" s="152">
        <f t="shared" ref="B80:O80" si="23">+B25-B78</f>
        <v>103.56958570000003</v>
      </c>
      <c r="C80" s="152">
        <f t="shared" si="23"/>
        <v>105.60567000000003</v>
      </c>
      <c r="D80" s="124" t="e">
        <f t="shared" si="23"/>
        <v>#REF!</v>
      </c>
      <c r="E80" s="124" t="e">
        <f t="shared" si="23"/>
        <v>#REF!</v>
      </c>
      <c r="F80" s="124" t="e">
        <f t="shared" si="23"/>
        <v>#REF!</v>
      </c>
      <c r="G80" s="124" t="e">
        <f t="shared" si="23"/>
        <v>#REF!</v>
      </c>
      <c r="H80" s="124" t="e">
        <f t="shared" si="23"/>
        <v>#REF!</v>
      </c>
      <c r="I80" s="124" t="e">
        <f t="shared" si="23"/>
        <v>#REF!</v>
      </c>
      <c r="J80" s="124" t="e">
        <f t="shared" si="23"/>
        <v>#REF!</v>
      </c>
      <c r="K80" s="124" t="e">
        <f t="shared" si="23"/>
        <v>#REF!</v>
      </c>
      <c r="L80" s="124" t="e">
        <f t="shared" si="23"/>
        <v>#REF!</v>
      </c>
      <c r="M80" s="124" t="e">
        <f>+M25-M78</f>
        <v>#REF!</v>
      </c>
      <c r="N80" s="124" t="e">
        <f t="shared" si="23"/>
        <v>#REF!</v>
      </c>
      <c r="O80" s="124" t="e">
        <f t="shared" si="23"/>
        <v>#REF!</v>
      </c>
      <c r="Q80" s="122"/>
      <c r="T80" s="120"/>
      <c r="U80" s="120"/>
      <c r="V80" s="120"/>
    </row>
    <row r="81" spans="1:22">
      <c r="B81" s="152"/>
      <c r="C81" s="152"/>
      <c r="D81" s="124"/>
      <c r="F81" s="124"/>
      <c r="G81" s="124"/>
      <c r="H81" s="124"/>
      <c r="Q81" s="122"/>
      <c r="T81" s="120"/>
      <c r="U81" s="120"/>
      <c r="V81" s="120"/>
    </row>
    <row r="82" spans="1:22">
      <c r="A82" s="120" t="s">
        <v>530</v>
      </c>
      <c r="B82" s="152">
        <f>+'Expenses Summary'!C20/100000</f>
        <v>173.76510999999999</v>
      </c>
      <c r="C82" s="152">
        <f>+'Expenses Summary'!D20/100000</f>
        <v>169.99654000000001</v>
      </c>
      <c r="D82" s="152">
        <f>+'Expenses Summary'!E20/100000</f>
        <v>138.17970000000003</v>
      </c>
      <c r="E82" s="152">
        <f>+'Expenses Summary'!F20/100000</f>
        <v>251.00576000000001</v>
      </c>
      <c r="F82" s="152">
        <f>+'Expenses Summary'!G20/100000</f>
        <v>272.07233000000002</v>
      </c>
      <c r="G82" s="152">
        <f>+'Expenses Summary'!H20/100000</f>
        <v>252.41799333333336</v>
      </c>
      <c r="H82" s="152">
        <f>+'Expenses Summary'!I20/100000</f>
        <v>226.07</v>
      </c>
      <c r="I82" s="124">
        <f>+'Expenses Summary'!J20/100000</f>
        <v>193.14666666666665</v>
      </c>
      <c r="J82" s="124">
        <f>+'Expenses Summary'!K20/100000</f>
        <v>146.56791666666669</v>
      </c>
      <c r="K82" s="124">
        <f>+'Expenses Summary'!L20/100000</f>
        <v>112.285</v>
      </c>
      <c r="L82" s="124">
        <f>+'Expenses Summary'!M20/100000</f>
        <v>76.545000000000002</v>
      </c>
      <c r="M82" s="124">
        <f>+'Expenses Summary'!N20/100000</f>
        <v>49.7425</v>
      </c>
      <c r="N82" s="124" t="e">
        <f>+#REF!</f>
        <v>#REF!</v>
      </c>
      <c r="O82" s="124" t="e">
        <f>+#REF!</f>
        <v>#REF!</v>
      </c>
      <c r="Q82" s="122"/>
      <c r="T82" s="120"/>
      <c r="U82" s="120"/>
      <c r="V82" s="120"/>
    </row>
    <row r="83" spans="1:22">
      <c r="B83" s="152"/>
      <c r="C83" s="152"/>
      <c r="D83" s="124"/>
      <c r="F83" s="124"/>
      <c r="G83" s="124"/>
      <c r="H83" s="124"/>
      <c r="Q83" s="122"/>
      <c r="T83" s="120"/>
      <c r="U83" s="120"/>
      <c r="V83" s="120"/>
    </row>
    <row r="84" spans="1:22">
      <c r="A84" s="143" t="s">
        <v>529</v>
      </c>
      <c r="B84" s="144">
        <f t="shared" ref="B84:O84" si="24">B80-B82</f>
        <v>-70.19552429999996</v>
      </c>
      <c r="C84" s="144">
        <f t="shared" si="24"/>
        <v>-64.390869999999978</v>
      </c>
      <c r="D84" s="134" t="e">
        <f t="shared" si="24"/>
        <v>#REF!</v>
      </c>
      <c r="E84" s="134" t="e">
        <f t="shared" si="24"/>
        <v>#REF!</v>
      </c>
      <c r="F84" s="134" t="e">
        <f t="shared" si="24"/>
        <v>#REF!</v>
      </c>
      <c r="G84" s="134" t="e">
        <f t="shared" si="24"/>
        <v>#REF!</v>
      </c>
      <c r="H84" s="134" t="e">
        <f t="shared" si="24"/>
        <v>#REF!</v>
      </c>
      <c r="I84" s="134" t="e">
        <f t="shared" si="24"/>
        <v>#REF!</v>
      </c>
      <c r="J84" s="134" t="e">
        <f t="shared" si="24"/>
        <v>#REF!</v>
      </c>
      <c r="K84" s="134" t="e">
        <f t="shared" si="24"/>
        <v>#REF!</v>
      </c>
      <c r="L84" s="134" t="e">
        <f t="shared" si="24"/>
        <v>#REF!</v>
      </c>
      <c r="M84" s="134" t="e">
        <f>M80-M82</f>
        <v>#REF!</v>
      </c>
      <c r="N84" s="134" t="e">
        <f t="shared" si="24"/>
        <v>#REF!</v>
      </c>
      <c r="O84" s="134" t="e">
        <f t="shared" si="24"/>
        <v>#REF!</v>
      </c>
      <c r="Q84" s="122"/>
      <c r="S84" s="122"/>
      <c r="T84" s="120"/>
      <c r="U84" s="120"/>
      <c r="V84" s="120"/>
    </row>
    <row r="85" spans="1:22" s="126" customFormat="1">
      <c r="A85" s="120"/>
      <c r="B85" s="152"/>
      <c r="C85" s="152"/>
      <c r="D85" s="124" t="s">
        <v>280</v>
      </c>
      <c r="E85" s="124"/>
      <c r="F85" s="124"/>
      <c r="G85" s="124"/>
      <c r="H85" s="124"/>
      <c r="I85" s="122"/>
      <c r="J85" s="122"/>
      <c r="K85" s="122"/>
      <c r="L85" s="122"/>
      <c r="M85" s="122"/>
      <c r="N85" s="122"/>
      <c r="O85" s="122"/>
      <c r="P85" s="122"/>
      <c r="Q85" s="122"/>
      <c r="R85" s="122"/>
      <c r="S85" s="122"/>
      <c r="T85" s="122"/>
      <c r="U85" s="122"/>
      <c r="V85" s="122"/>
    </row>
    <row r="86" spans="1:22" s="126" customFormat="1">
      <c r="A86" s="120" t="s">
        <v>528</v>
      </c>
      <c r="B86" s="152"/>
      <c r="C86" s="152"/>
      <c r="D86" s="124"/>
      <c r="E86" s="124"/>
      <c r="F86" s="124"/>
      <c r="G86" s="124"/>
      <c r="H86" s="124"/>
      <c r="I86" s="122"/>
      <c r="J86" s="122"/>
      <c r="K86" s="122"/>
      <c r="L86" s="122"/>
      <c r="M86" s="122"/>
      <c r="N86" s="122"/>
      <c r="O86" s="122"/>
      <c r="P86" s="122"/>
      <c r="Q86" s="122"/>
      <c r="R86" s="122"/>
      <c r="S86" s="122"/>
      <c r="T86" s="122"/>
      <c r="U86" s="122"/>
      <c r="V86" s="122"/>
    </row>
    <row r="87" spans="1:22" s="126" customFormat="1">
      <c r="A87" s="120" t="s">
        <v>527</v>
      </c>
      <c r="B87" s="152"/>
      <c r="C87" s="152"/>
      <c r="D87" s="124"/>
      <c r="E87" s="124"/>
      <c r="F87" s="124"/>
      <c r="G87" s="124"/>
      <c r="H87" s="124"/>
      <c r="I87" s="122"/>
      <c r="J87" s="122"/>
      <c r="K87" s="122"/>
      <c r="L87" s="122"/>
      <c r="M87" s="122"/>
      <c r="N87" s="122"/>
      <c r="O87" s="122"/>
      <c r="P87" s="122"/>
      <c r="Q87" s="122"/>
      <c r="R87" s="122"/>
      <c r="S87" s="122"/>
      <c r="T87" s="122"/>
      <c r="U87" s="122"/>
      <c r="V87" s="122"/>
    </row>
    <row r="88" spans="1:22" s="126" customFormat="1">
      <c r="A88" s="194" t="s">
        <v>526</v>
      </c>
      <c r="B88" s="152"/>
      <c r="C88" s="152"/>
      <c r="D88" s="124"/>
      <c r="E88" s="124"/>
      <c r="F88" s="124"/>
      <c r="G88" s="124"/>
      <c r="H88" s="124"/>
      <c r="I88" s="122"/>
      <c r="J88" s="122"/>
      <c r="K88" s="122"/>
      <c r="L88" s="122"/>
      <c r="M88" s="122"/>
      <c r="N88" s="122"/>
      <c r="O88" s="122"/>
      <c r="P88" s="122"/>
      <c r="Q88" s="122"/>
      <c r="R88" s="122"/>
      <c r="S88" s="122"/>
      <c r="T88" s="122"/>
      <c r="U88" s="122"/>
      <c r="V88" s="122"/>
    </row>
    <row r="89" spans="1:22" s="126" customFormat="1">
      <c r="A89" s="194" t="s">
        <v>525</v>
      </c>
      <c r="B89" s="152">
        <v>0</v>
      </c>
      <c r="C89" s="152">
        <v>0</v>
      </c>
      <c r="D89" s="124">
        <v>0</v>
      </c>
      <c r="E89" s="124">
        <v>0</v>
      </c>
      <c r="F89" s="124">
        <v>0</v>
      </c>
      <c r="G89" s="124">
        <v>0</v>
      </c>
      <c r="H89" s="124">
        <v>0</v>
      </c>
      <c r="I89" s="124">
        <v>0</v>
      </c>
      <c r="J89" s="124">
        <v>0</v>
      </c>
      <c r="K89" s="124">
        <v>0</v>
      </c>
      <c r="L89" s="124">
        <v>0</v>
      </c>
      <c r="M89" s="124">
        <v>0</v>
      </c>
      <c r="N89" s="124" t="e">
        <f>+#REF!</f>
        <v>#REF!</v>
      </c>
      <c r="O89" s="124">
        <v>1</v>
      </c>
      <c r="P89" s="122"/>
      <c r="Q89" s="122"/>
      <c r="R89" s="122"/>
      <c r="S89" s="122"/>
      <c r="T89" s="122"/>
      <c r="U89" s="122"/>
      <c r="V89" s="122"/>
    </row>
    <row r="90" spans="1:22" s="126" customFormat="1">
      <c r="A90" s="120"/>
      <c r="B90" s="152"/>
      <c r="C90" s="152"/>
      <c r="D90" s="124"/>
      <c r="E90" s="124"/>
      <c r="F90" s="124"/>
      <c r="G90" s="124"/>
      <c r="H90" s="124"/>
      <c r="I90" s="122"/>
      <c r="J90" s="122"/>
      <c r="K90" s="122"/>
      <c r="L90" s="122">
        <v>0</v>
      </c>
      <c r="M90" s="122"/>
      <c r="N90" s="122"/>
      <c r="O90" s="122"/>
      <c r="P90" s="122"/>
      <c r="Q90" s="122"/>
      <c r="R90" s="122"/>
      <c r="S90" s="122"/>
      <c r="T90" s="122"/>
      <c r="U90" s="122"/>
      <c r="V90" s="122"/>
    </row>
    <row r="91" spans="1:22" s="126" customFormat="1">
      <c r="A91" s="147" t="s">
        <v>518</v>
      </c>
      <c r="B91" s="152">
        <f t="shared" ref="B91:O91" si="25">SUM(B87:B89)</f>
        <v>0</v>
      </c>
      <c r="C91" s="152">
        <f t="shared" si="25"/>
        <v>0</v>
      </c>
      <c r="D91" s="124">
        <f t="shared" si="25"/>
        <v>0</v>
      </c>
      <c r="E91" s="124">
        <f t="shared" si="25"/>
        <v>0</v>
      </c>
      <c r="F91" s="124">
        <f t="shared" si="25"/>
        <v>0</v>
      </c>
      <c r="G91" s="124">
        <f t="shared" si="25"/>
        <v>0</v>
      </c>
      <c r="H91" s="124">
        <f t="shared" si="25"/>
        <v>0</v>
      </c>
      <c r="I91" s="124">
        <f t="shared" si="25"/>
        <v>0</v>
      </c>
      <c r="J91" s="124">
        <f t="shared" si="25"/>
        <v>0</v>
      </c>
      <c r="K91" s="124">
        <f t="shared" si="25"/>
        <v>0</v>
      </c>
      <c r="L91" s="124">
        <f t="shared" si="25"/>
        <v>0</v>
      </c>
      <c r="M91" s="124">
        <f>SUM(M87:M89)</f>
        <v>0</v>
      </c>
      <c r="N91" s="124" t="e">
        <f t="shared" si="25"/>
        <v>#REF!</v>
      </c>
      <c r="O91" s="124">
        <f t="shared" si="25"/>
        <v>1</v>
      </c>
      <c r="P91" s="122"/>
      <c r="Q91" s="122"/>
      <c r="R91" s="122"/>
      <c r="S91" s="122"/>
      <c r="T91" s="122"/>
      <c r="U91" s="122"/>
      <c r="V91" s="122"/>
    </row>
    <row r="92" spans="1:22" s="126" customFormat="1">
      <c r="A92" s="143"/>
      <c r="B92" s="152"/>
      <c r="C92" s="152"/>
      <c r="D92" s="124"/>
      <c r="E92" s="124"/>
      <c r="F92" s="124"/>
      <c r="G92" s="124"/>
      <c r="H92" s="124"/>
      <c r="I92" s="122"/>
      <c r="J92" s="122"/>
      <c r="K92" s="122"/>
      <c r="L92" s="122"/>
      <c r="M92" s="122"/>
      <c r="N92" s="122"/>
      <c r="O92" s="122"/>
      <c r="P92" s="122"/>
      <c r="Q92" s="122"/>
      <c r="R92" s="122"/>
      <c r="S92" s="122"/>
      <c r="T92" s="122"/>
      <c r="U92" s="122"/>
      <c r="V92" s="122"/>
    </row>
    <row r="93" spans="1:22" s="126" customFormat="1">
      <c r="A93" s="120" t="s">
        <v>524</v>
      </c>
      <c r="B93" s="152"/>
      <c r="C93" s="152"/>
      <c r="D93" s="124"/>
      <c r="E93" s="124"/>
      <c r="F93" s="124"/>
      <c r="G93" s="124"/>
      <c r="H93" s="124"/>
      <c r="I93" s="122"/>
      <c r="J93" s="122"/>
      <c r="K93" s="122"/>
      <c r="L93" s="122"/>
      <c r="M93" s="122"/>
      <c r="N93" s="122"/>
      <c r="O93" s="122"/>
      <c r="P93" s="122"/>
      <c r="Q93" s="122"/>
      <c r="R93" s="122"/>
      <c r="S93" s="122"/>
      <c r="T93" s="122"/>
      <c r="U93" s="122"/>
      <c r="V93" s="122"/>
    </row>
    <row r="94" spans="1:22" s="126" customFormat="1">
      <c r="A94" s="120" t="s">
        <v>523</v>
      </c>
      <c r="B94" s="152"/>
      <c r="C94" s="125"/>
      <c r="D94" s="124">
        <v>0</v>
      </c>
      <c r="E94" s="124">
        <v>0</v>
      </c>
      <c r="F94" s="124"/>
      <c r="G94" s="124"/>
      <c r="H94" s="124"/>
      <c r="I94" s="122"/>
      <c r="J94" s="122"/>
      <c r="K94" s="122"/>
      <c r="L94" s="122"/>
      <c r="M94" s="122"/>
      <c r="N94" s="122"/>
      <c r="O94" s="122"/>
      <c r="P94" s="122"/>
      <c r="Q94" s="122"/>
      <c r="R94" s="122"/>
      <c r="S94" s="122"/>
      <c r="T94" s="122"/>
      <c r="U94" s="122"/>
      <c r="V94" s="122"/>
    </row>
    <row r="95" spans="1:22" s="126" customFormat="1">
      <c r="A95" s="120" t="s">
        <v>522</v>
      </c>
      <c r="B95" s="152"/>
      <c r="C95" s="152"/>
      <c r="D95" s="124"/>
      <c r="E95" s="124"/>
      <c r="F95" s="124"/>
      <c r="G95" s="124"/>
      <c r="H95" s="124"/>
      <c r="I95" s="122"/>
      <c r="J95" s="122"/>
      <c r="K95" s="122"/>
      <c r="L95" s="122"/>
      <c r="M95" s="122"/>
      <c r="N95" s="122"/>
      <c r="O95" s="122"/>
      <c r="P95" s="122"/>
      <c r="Q95" s="122"/>
      <c r="R95" s="122"/>
      <c r="S95" s="122"/>
      <c r="T95" s="122"/>
      <c r="U95" s="122"/>
      <c r="V95" s="122"/>
    </row>
    <row r="96" spans="1:22" s="126" customFormat="1">
      <c r="A96" s="120" t="s">
        <v>521</v>
      </c>
      <c r="B96" s="152"/>
      <c r="C96" s="152"/>
      <c r="D96" s="124"/>
      <c r="E96" s="124"/>
      <c r="F96" s="124"/>
      <c r="G96" s="124"/>
      <c r="H96" s="124"/>
      <c r="I96" s="122"/>
      <c r="J96" s="122"/>
      <c r="K96" s="122"/>
      <c r="L96" s="122"/>
      <c r="M96" s="122"/>
      <c r="N96" s="122"/>
      <c r="O96" s="122"/>
      <c r="P96" s="122"/>
      <c r="Q96" s="122"/>
      <c r="R96" s="122"/>
      <c r="S96" s="122"/>
      <c r="T96" s="122"/>
      <c r="U96" s="122"/>
      <c r="V96" s="122"/>
    </row>
    <row r="97" spans="1:22" s="126" customFormat="1">
      <c r="A97" s="120" t="s">
        <v>520</v>
      </c>
      <c r="B97" s="152"/>
      <c r="C97" s="125"/>
      <c r="D97" s="124"/>
      <c r="E97" s="124"/>
      <c r="F97" s="124"/>
      <c r="G97" s="124"/>
      <c r="H97" s="124"/>
      <c r="I97" s="122"/>
      <c r="J97" s="122"/>
      <c r="K97" s="122"/>
      <c r="L97" s="122"/>
      <c r="M97" s="122"/>
      <c r="N97" s="122"/>
      <c r="O97" s="122"/>
      <c r="P97" s="122"/>
      <c r="Q97" s="122"/>
      <c r="R97" s="122"/>
      <c r="S97" s="122"/>
      <c r="T97" s="122"/>
      <c r="U97" s="122"/>
      <c r="V97" s="122"/>
    </row>
    <row r="98" spans="1:22" s="126" customFormat="1">
      <c r="A98" s="120" t="s">
        <v>519</v>
      </c>
      <c r="B98" s="152"/>
      <c r="C98" s="152">
        <v>0</v>
      </c>
      <c r="D98" s="124">
        <v>0</v>
      </c>
      <c r="E98" s="124"/>
      <c r="F98" s="124"/>
      <c r="G98" s="124"/>
      <c r="H98" s="124"/>
      <c r="I98" s="122"/>
      <c r="J98" s="122"/>
      <c r="K98" s="122"/>
      <c r="L98" s="122"/>
      <c r="M98" s="122"/>
      <c r="N98" s="122"/>
      <c r="O98" s="122"/>
      <c r="P98" s="122"/>
      <c r="Q98" s="122"/>
      <c r="R98" s="122"/>
      <c r="S98" s="122"/>
      <c r="T98" s="122"/>
      <c r="U98" s="122"/>
      <c r="V98" s="122"/>
    </row>
    <row r="99" spans="1:22" s="126" customFormat="1">
      <c r="A99" s="147" t="s">
        <v>518</v>
      </c>
      <c r="B99" s="152">
        <f>SUM(B94:B98)</f>
        <v>0</v>
      </c>
      <c r="C99" s="152">
        <f>SUM(C94:C98)</f>
        <v>0</v>
      </c>
      <c r="D99" s="124">
        <f>SUM(D94:D98)</f>
        <v>0</v>
      </c>
      <c r="E99" s="124">
        <f>SUM(E94:E98)</f>
        <v>0</v>
      </c>
      <c r="F99" s="124"/>
      <c r="G99" s="124"/>
      <c r="H99" s="124"/>
      <c r="I99" s="122"/>
      <c r="J99" s="122"/>
      <c r="K99" s="122"/>
      <c r="L99" s="122"/>
      <c r="M99" s="122"/>
      <c r="N99" s="122"/>
      <c r="O99" s="122"/>
      <c r="P99" s="122"/>
      <c r="Q99" s="122"/>
      <c r="R99" s="122"/>
      <c r="S99" s="122"/>
      <c r="T99" s="122"/>
      <c r="U99" s="122"/>
      <c r="V99" s="122"/>
    </row>
    <row r="100" spans="1:22" s="126" customFormat="1">
      <c r="A100" s="143"/>
      <c r="B100" s="152"/>
      <c r="C100" s="152"/>
      <c r="D100" s="124"/>
      <c r="E100" s="124"/>
      <c r="F100" s="124"/>
      <c r="G100" s="124"/>
      <c r="H100" s="124"/>
      <c r="I100" s="122"/>
      <c r="J100" s="122"/>
      <c r="K100" s="122"/>
      <c r="L100" s="122"/>
      <c r="M100" s="122"/>
      <c r="N100" s="122"/>
      <c r="O100" s="122"/>
      <c r="P100" s="122"/>
      <c r="Q100" s="122"/>
      <c r="R100" s="122"/>
      <c r="S100" s="122"/>
      <c r="T100" s="122"/>
      <c r="U100" s="122"/>
      <c r="V100" s="122"/>
    </row>
    <row r="101" spans="1:22">
      <c r="A101" s="147" t="s">
        <v>517</v>
      </c>
      <c r="B101" s="168">
        <f t="shared" ref="B101:O101" si="26">+B91-B99</f>
        <v>0</v>
      </c>
      <c r="C101" s="168">
        <f t="shared" si="26"/>
        <v>0</v>
      </c>
      <c r="D101" s="133">
        <f t="shared" si="26"/>
        <v>0</v>
      </c>
      <c r="E101" s="133">
        <f t="shared" si="26"/>
        <v>0</v>
      </c>
      <c r="F101" s="133">
        <f t="shared" si="26"/>
        <v>0</v>
      </c>
      <c r="G101" s="168">
        <f t="shared" si="26"/>
        <v>0</v>
      </c>
      <c r="H101" s="168">
        <f t="shared" si="26"/>
        <v>0</v>
      </c>
      <c r="I101" s="133">
        <f t="shared" si="26"/>
        <v>0</v>
      </c>
      <c r="J101" s="133">
        <f t="shared" si="26"/>
        <v>0</v>
      </c>
      <c r="K101" s="133">
        <f t="shared" si="26"/>
        <v>0</v>
      </c>
      <c r="L101" s="133">
        <f t="shared" si="26"/>
        <v>0</v>
      </c>
      <c r="M101" s="133">
        <f>+M91-M99</f>
        <v>0</v>
      </c>
      <c r="N101" s="168" t="e">
        <f t="shared" si="26"/>
        <v>#REF!</v>
      </c>
      <c r="O101" s="168">
        <f t="shared" si="26"/>
        <v>1</v>
      </c>
      <c r="Q101" s="122"/>
      <c r="T101" s="120"/>
      <c r="U101" s="120"/>
      <c r="V101" s="120"/>
    </row>
    <row r="102" spans="1:22">
      <c r="B102" s="152"/>
      <c r="C102" s="152"/>
      <c r="D102" s="124"/>
      <c r="F102" s="124"/>
      <c r="G102" s="124"/>
      <c r="H102" s="124"/>
      <c r="Q102" s="122"/>
      <c r="T102" s="120"/>
      <c r="U102" s="120"/>
      <c r="V102" s="120"/>
    </row>
    <row r="103" spans="1:22">
      <c r="A103" s="143" t="s">
        <v>516</v>
      </c>
      <c r="B103" s="144">
        <f t="shared" ref="B103:O103" si="27">+B84+B101</f>
        <v>-70.19552429999996</v>
      </c>
      <c r="C103" s="144">
        <f t="shared" si="27"/>
        <v>-64.390869999999978</v>
      </c>
      <c r="D103" s="134" t="e">
        <f t="shared" si="27"/>
        <v>#REF!</v>
      </c>
      <c r="E103" s="134" t="e">
        <f t="shared" si="27"/>
        <v>#REF!</v>
      </c>
      <c r="F103" s="134" t="e">
        <f t="shared" si="27"/>
        <v>#REF!</v>
      </c>
      <c r="G103" s="134" t="e">
        <f t="shared" si="27"/>
        <v>#REF!</v>
      </c>
      <c r="H103" s="134" t="e">
        <f t="shared" si="27"/>
        <v>#REF!</v>
      </c>
      <c r="I103" s="134" t="e">
        <f t="shared" si="27"/>
        <v>#REF!</v>
      </c>
      <c r="J103" s="134" t="e">
        <f t="shared" si="27"/>
        <v>#REF!</v>
      </c>
      <c r="K103" s="134" t="e">
        <f t="shared" si="27"/>
        <v>#REF!</v>
      </c>
      <c r="L103" s="134" t="e">
        <f t="shared" si="27"/>
        <v>#REF!</v>
      </c>
      <c r="M103" s="134" t="e">
        <f>+M84+M101</f>
        <v>#REF!</v>
      </c>
      <c r="N103" s="134" t="e">
        <f t="shared" si="27"/>
        <v>#REF!</v>
      </c>
      <c r="O103" s="134" t="e">
        <f t="shared" si="27"/>
        <v>#REF!</v>
      </c>
      <c r="Q103" s="122"/>
      <c r="R103" s="122"/>
      <c r="S103" s="122"/>
      <c r="T103" s="120"/>
      <c r="U103" s="120"/>
      <c r="V103" s="120"/>
    </row>
    <row r="104" spans="1:22">
      <c r="B104" s="152"/>
      <c r="C104" s="152"/>
      <c r="D104" s="124"/>
      <c r="F104" s="124"/>
      <c r="G104" s="124"/>
      <c r="H104" s="124"/>
      <c r="Q104" s="122"/>
      <c r="T104" s="120"/>
      <c r="U104" s="120"/>
      <c r="V104" s="120"/>
    </row>
    <row r="105" spans="1:22">
      <c r="A105" s="147" t="s">
        <v>515</v>
      </c>
      <c r="B105" s="133">
        <v>0</v>
      </c>
      <c r="C105" s="133">
        <v>0</v>
      </c>
      <c r="D105" s="133">
        <v>0</v>
      </c>
      <c r="E105" s="133">
        <v>0</v>
      </c>
      <c r="F105" s="133">
        <v>0</v>
      </c>
      <c r="G105" s="133">
        <v>0</v>
      </c>
      <c r="H105" s="133">
        <v>0</v>
      </c>
      <c r="I105" s="133">
        <v>0</v>
      </c>
      <c r="J105" s="133">
        <v>0</v>
      </c>
      <c r="K105" s="133">
        <v>0</v>
      </c>
      <c r="L105" s="133">
        <v>0</v>
      </c>
      <c r="M105" s="133">
        <v>0</v>
      </c>
      <c r="N105" s="133" t="e">
        <f>+#REF!</f>
        <v>#REF!</v>
      </c>
      <c r="O105" s="133">
        <v>143.11000000000001</v>
      </c>
      <c r="Q105" s="122"/>
      <c r="T105" s="120"/>
      <c r="U105" s="120"/>
      <c r="V105" s="120"/>
    </row>
    <row r="106" spans="1:22">
      <c r="B106" s="124"/>
      <c r="C106" s="124"/>
      <c r="D106" s="124"/>
      <c r="F106" s="124"/>
      <c r="G106" s="124"/>
      <c r="H106" s="124"/>
      <c r="Q106" s="122"/>
      <c r="T106" s="120"/>
      <c r="U106" s="120"/>
      <c r="V106" s="120"/>
    </row>
    <row r="107" spans="1:22">
      <c r="A107" s="143" t="s">
        <v>514</v>
      </c>
      <c r="B107" s="144">
        <f t="shared" ref="B107:O107" si="28">B103-B105</f>
        <v>-70.19552429999996</v>
      </c>
      <c r="C107" s="144">
        <f t="shared" si="28"/>
        <v>-64.390869999999978</v>
      </c>
      <c r="D107" s="134" t="e">
        <f t="shared" si="28"/>
        <v>#REF!</v>
      </c>
      <c r="E107" s="134" t="e">
        <f t="shared" si="28"/>
        <v>#REF!</v>
      </c>
      <c r="F107" s="134" t="e">
        <f t="shared" si="28"/>
        <v>#REF!</v>
      </c>
      <c r="G107" s="134" t="e">
        <f t="shared" si="28"/>
        <v>#REF!</v>
      </c>
      <c r="H107" s="134" t="e">
        <f t="shared" si="28"/>
        <v>#REF!</v>
      </c>
      <c r="I107" s="134" t="e">
        <f t="shared" si="28"/>
        <v>#REF!</v>
      </c>
      <c r="J107" s="134" t="e">
        <f t="shared" si="28"/>
        <v>#REF!</v>
      </c>
      <c r="K107" s="134" t="e">
        <f t="shared" si="28"/>
        <v>#REF!</v>
      </c>
      <c r="L107" s="134" t="e">
        <f t="shared" si="28"/>
        <v>#REF!</v>
      </c>
      <c r="M107" s="134" t="e">
        <f>M103-M105</f>
        <v>#REF!</v>
      </c>
      <c r="N107" s="134" t="e">
        <f t="shared" si="28"/>
        <v>#REF!</v>
      </c>
      <c r="O107" s="134" t="e">
        <f t="shared" si="28"/>
        <v>#REF!</v>
      </c>
      <c r="Q107" s="122"/>
      <c r="T107" s="120"/>
      <c r="U107" s="120"/>
      <c r="V107" s="120"/>
    </row>
    <row r="108" spans="1:22">
      <c r="A108" s="143"/>
      <c r="B108" s="144"/>
      <c r="C108" s="144"/>
      <c r="D108" s="134"/>
      <c r="E108" s="134"/>
      <c r="F108" s="134"/>
      <c r="G108" s="134"/>
      <c r="H108" s="134"/>
      <c r="Q108" s="122"/>
      <c r="T108" s="120"/>
      <c r="U108" s="120"/>
      <c r="V108" s="120"/>
    </row>
    <row r="109" spans="1:22">
      <c r="A109" s="120" t="s">
        <v>513</v>
      </c>
      <c r="B109" s="152"/>
      <c r="C109" s="152">
        <v>0</v>
      </c>
      <c r="D109" s="124">
        <v>0</v>
      </c>
      <c r="E109" s="124">
        <v>0</v>
      </c>
      <c r="F109" s="124"/>
      <c r="G109" s="124"/>
      <c r="H109" s="124"/>
      <c r="Q109" s="122"/>
      <c r="T109" s="120"/>
      <c r="U109" s="120"/>
      <c r="V109" s="120"/>
    </row>
    <row r="110" spans="1:22">
      <c r="A110" s="120" t="s">
        <v>512</v>
      </c>
      <c r="B110" s="152"/>
      <c r="C110" s="152">
        <v>0</v>
      </c>
      <c r="D110" s="124">
        <v>0</v>
      </c>
      <c r="E110" s="124">
        <v>0</v>
      </c>
      <c r="F110" s="124"/>
      <c r="G110" s="124"/>
      <c r="H110" s="124"/>
      <c r="Q110" s="122"/>
      <c r="T110" s="120"/>
      <c r="U110" s="120"/>
      <c r="V110" s="120"/>
    </row>
    <row r="111" spans="1:22">
      <c r="B111" s="152"/>
      <c r="C111" s="152"/>
      <c r="D111" s="124"/>
      <c r="F111" s="124"/>
      <c r="G111" s="124"/>
      <c r="H111" s="124"/>
      <c r="I111" s="124"/>
      <c r="J111" s="124"/>
      <c r="Q111" s="122"/>
      <c r="T111" s="120"/>
      <c r="U111" s="120"/>
      <c r="V111" s="120"/>
    </row>
    <row r="112" spans="1:22">
      <c r="A112" s="143" t="s">
        <v>511</v>
      </c>
      <c r="B112" s="144">
        <f t="shared" ref="B112:O112" si="29">+B107</f>
        <v>-70.19552429999996</v>
      </c>
      <c r="C112" s="144">
        <f t="shared" si="29"/>
        <v>-64.390869999999978</v>
      </c>
      <c r="D112" s="134" t="e">
        <f t="shared" si="29"/>
        <v>#REF!</v>
      </c>
      <c r="E112" s="134" t="e">
        <f t="shared" si="29"/>
        <v>#REF!</v>
      </c>
      <c r="F112" s="134" t="e">
        <f t="shared" si="29"/>
        <v>#REF!</v>
      </c>
      <c r="G112" s="134" t="e">
        <f t="shared" si="29"/>
        <v>#REF!</v>
      </c>
      <c r="H112" s="134" t="e">
        <f t="shared" si="29"/>
        <v>#REF!</v>
      </c>
      <c r="I112" s="134" t="e">
        <f t="shared" si="29"/>
        <v>#REF!</v>
      </c>
      <c r="J112" s="134" t="e">
        <f t="shared" si="29"/>
        <v>#REF!</v>
      </c>
      <c r="K112" s="134" t="e">
        <f t="shared" si="29"/>
        <v>#REF!</v>
      </c>
      <c r="L112" s="134" t="e">
        <f t="shared" si="29"/>
        <v>#REF!</v>
      </c>
      <c r="M112" s="134" t="e">
        <f>+M107</f>
        <v>#REF!</v>
      </c>
      <c r="N112" s="134" t="e">
        <f t="shared" si="29"/>
        <v>#REF!</v>
      </c>
      <c r="O112" s="134" t="e">
        <f t="shared" si="29"/>
        <v>#REF!</v>
      </c>
      <c r="Q112" s="122"/>
      <c r="T112" s="120"/>
      <c r="U112" s="120"/>
      <c r="V112" s="120"/>
    </row>
    <row r="113" spans="1:22">
      <c r="A113" s="120" t="s">
        <v>510</v>
      </c>
      <c r="B113" s="152">
        <f t="shared" ref="B113:O113" si="30">+(B112/B107)*100</f>
        <v>100</v>
      </c>
      <c r="C113" s="152">
        <f t="shared" si="30"/>
        <v>100</v>
      </c>
      <c r="D113" s="124" t="e">
        <f t="shared" si="30"/>
        <v>#REF!</v>
      </c>
      <c r="E113" s="124" t="e">
        <f t="shared" si="30"/>
        <v>#REF!</v>
      </c>
      <c r="F113" s="124" t="e">
        <f t="shared" si="30"/>
        <v>#REF!</v>
      </c>
      <c r="G113" s="124" t="e">
        <f t="shared" si="30"/>
        <v>#REF!</v>
      </c>
      <c r="H113" s="124" t="e">
        <f t="shared" si="30"/>
        <v>#REF!</v>
      </c>
      <c r="I113" s="124" t="e">
        <f t="shared" si="30"/>
        <v>#REF!</v>
      </c>
      <c r="J113" s="124" t="e">
        <f t="shared" si="30"/>
        <v>#REF!</v>
      </c>
      <c r="K113" s="124" t="e">
        <f t="shared" si="30"/>
        <v>#REF!</v>
      </c>
      <c r="L113" s="124" t="e">
        <f t="shared" si="30"/>
        <v>#REF!</v>
      </c>
      <c r="M113" s="124" t="e">
        <f>+(M112/M107)*100</f>
        <v>#REF!</v>
      </c>
      <c r="N113" s="124" t="e">
        <f t="shared" si="30"/>
        <v>#REF!</v>
      </c>
      <c r="O113" s="124" t="e">
        <f t="shared" si="30"/>
        <v>#REF!</v>
      </c>
      <c r="Q113" s="122"/>
      <c r="T113" s="120"/>
      <c r="U113" s="120"/>
      <c r="V113" s="120"/>
    </row>
    <row r="114" spans="1:22">
      <c r="A114" s="120" t="s">
        <v>509</v>
      </c>
      <c r="B114" s="152">
        <f t="shared" ref="B114:O114" si="31">+B50+B107</f>
        <v>-0.25516999999996415</v>
      </c>
      <c r="C114" s="152">
        <f t="shared" si="31"/>
        <v>5.5711400000000282</v>
      </c>
      <c r="D114" s="124" t="e">
        <f t="shared" si="31"/>
        <v>#REF!</v>
      </c>
      <c r="E114" s="124" t="e">
        <f t="shared" si="31"/>
        <v>#REF!</v>
      </c>
      <c r="F114" s="124" t="e">
        <f t="shared" si="31"/>
        <v>#REF!</v>
      </c>
      <c r="G114" s="124" t="e">
        <f t="shared" si="31"/>
        <v>#REF!</v>
      </c>
      <c r="H114" s="124" t="e">
        <f t="shared" si="31"/>
        <v>#REF!</v>
      </c>
      <c r="I114" s="124" t="e">
        <f t="shared" si="31"/>
        <v>#REF!</v>
      </c>
      <c r="J114" s="124" t="e">
        <f t="shared" si="31"/>
        <v>#REF!</v>
      </c>
      <c r="K114" s="124" t="e">
        <f t="shared" si="31"/>
        <v>#REF!</v>
      </c>
      <c r="L114" s="124" t="e">
        <f t="shared" si="31"/>
        <v>#REF!</v>
      </c>
      <c r="M114" s="124" t="e">
        <f>+M50+M107</f>
        <v>#REF!</v>
      </c>
      <c r="N114" s="124" t="e">
        <f t="shared" si="31"/>
        <v>#REF!</v>
      </c>
      <c r="O114" s="124" t="e">
        <f t="shared" si="31"/>
        <v>#REF!</v>
      </c>
      <c r="Q114" s="122"/>
      <c r="T114" s="120"/>
      <c r="U114" s="120"/>
      <c r="V114" s="120"/>
    </row>
    <row r="115" spans="1:22">
      <c r="B115" s="152">
        <f t="shared" ref="B115:O115" si="32">+B114/B116*100</f>
        <v>-8.3966617634300716E-2</v>
      </c>
      <c r="C115" s="152">
        <f t="shared" si="32"/>
        <v>1.7149838104178841</v>
      </c>
      <c r="D115" s="124" t="e">
        <f t="shared" si="32"/>
        <v>#REF!</v>
      </c>
      <c r="E115" s="124" t="e">
        <f t="shared" si="32"/>
        <v>#REF!</v>
      </c>
      <c r="F115" s="124" t="e">
        <f t="shared" si="32"/>
        <v>#REF!</v>
      </c>
      <c r="G115" s="124" t="e">
        <f t="shared" si="32"/>
        <v>#REF!</v>
      </c>
      <c r="H115" s="124" t="e">
        <f t="shared" si="32"/>
        <v>#REF!</v>
      </c>
      <c r="I115" s="124" t="e">
        <f t="shared" si="32"/>
        <v>#REF!</v>
      </c>
      <c r="J115" s="124" t="e">
        <f t="shared" si="32"/>
        <v>#REF!</v>
      </c>
      <c r="K115" s="124" t="e">
        <f t="shared" si="32"/>
        <v>#REF!</v>
      </c>
      <c r="L115" s="124" t="e">
        <f t="shared" si="32"/>
        <v>#REF!</v>
      </c>
      <c r="M115" s="124" t="e">
        <f>+M114/M116*100</f>
        <v>#REF!</v>
      </c>
      <c r="N115" s="124" t="e">
        <f t="shared" si="32"/>
        <v>#REF!</v>
      </c>
      <c r="O115" s="124" t="e">
        <f t="shared" si="32"/>
        <v>#REF!</v>
      </c>
      <c r="Q115" s="122"/>
      <c r="T115" s="120"/>
      <c r="U115" s="120"/>
      <c r="V115" s="120"/>
    </row>
    <row r="116" spans="1:22">
      <c r="A116" s="120" t="s">
        <v>508</v>
      </c>
      <c r="B116" s="126">
        <f t="shared" ref="B116:O116" si="33">+B19+B63-B54+B71-B67</f>
        <v>303.89458000000002</v>
      </c>
      <c r="C116" s="126">
        <f t="shared" si="33"/>
        <v>324.85088000000002</v>
      </c>
      <c r="D116" s="122" t="e">
        <f t="shared" si="33"/>
        <v>#REF!</v>
      </c>
      <c r="E116" s="124" t="e">
        <f t="shared" si="33"/>
        <v>#REF!</v>
      </c>
      <c r="F116" s="122" t="e">
        <f t="shared" si="33"/>
        <v>#REF!</v>
      </c>
      <c r="G116" s="122" t="e">
        <f t="shared" si="33"/>
        <v>#REF!</v>
      </c>
      <c r="H116" s="122" t="e">
        <f t="shared" si="33"/>
        <v>#REF!</v>
      </c>
      <c r="I116" s="122" t="e">
        <f t="shared" si="33"/>
        <v>#REF!</v>
      </c>
      <c r="J116" s="122" t="e">
        <f t="shared" si="33"/>
        <v>#REF!</v>
      </c>
      <c r="K116" s="122" t="e">
        <f t="shared" si="33"/>
        <v>#REF!</v>
      </c>
      <c r="L116" s="122" t="e">
        <f t="shared" si="33"/>
        <v>#REF!</v>
      </c>
      <c r="M116" s="122" t="e">
        <f>+M19+M63-M54+M71-M67</f>
        <v>#REF!</v>
      </c>
      <c r="N116" s="122" t="e">
        <f t="shared" si="33"/>
        <v>#REF!</v>
      </c>
      <c r="O116" s="122" t="e">
        <f t="shared" si="33"/>
        <v>#REF!</v>
      </c>
      <c r="Q116" s="122"/>
      <c r="T116" s="120"/>
      <c r="U116" s="120"/>
      <c r="V116" s="120"/>
    </row>
    <row r="117" spans="1:22">
      <c r="C117" s="126"/>
      <c r="D117" s="122"/>
      <c r="F117" s="122"/>
      <c r="G117" s="122"/>
      <c r="H117" s="122"/>
      <c r="Q117" s="122"/>
    </row>
    <row r="118" spans="1:22">
      <c r="Q118" s="122"/>
    </row>
    <row r="119" spans="1:22" ht="15.75">
      <c r="A119" s="887" t="s">
        <v>507</v>
      </c>
      <c r="B119" s="887"/>
      <c r="C119" s="887"/>
      <c r="D119" s="887"/>
      <c r="E119" s="887"/>
      <c r="F119" s="887"/>
      <c r="G119" s="887"/>
      <c r="H119" s="887"/>
      <c r="I119" s="887"/>
      <c r="J119" s="887"/>
      <c r="Q119" s="122"/>
    </row>
    <row r="120" spans="1:22" ht="15.75">
      <c r="A120" s="888" t="s">
        <v>462</v>
      </c>
      <c r="B120" s="888"/>
      <c r="C120" s="888"/>
      <c r="D120" s="888"/>
      <c r="E120" s="888"/>
      <c r="F120" s="888"/>
      <c r="G120" s="888"/>
      <c r="H120" s="888"/>
      <c r="I120" s="888"/>
      <c r="J120" s="888"/>
      <c r="Q120" s="122"/>
    </row>
    <row r="121" spans="1:22">
      <c r="E121" s="134"/>
      <c r="F121" s="134"/>
      <c r="G121" s="134"/>
      <c r="H121" s="134"/>
      <c r="Q121" s="122"/>
    </row>
    <row r="122" spans="1:22" ht="15">
      <c r="A122" s="886" t="s">
        <v>506</v>
      </c>
      <c r="B122" s="886"/>
      <c r="C122" s="886"/>
      <c r="D122" s="886"/>
      <c r="E122" s="886"/>
      <c r="F122" s="886"/>
      <c r="G122" s="886"/>
      <c r="H122" s="886"/>
      <c r="I122" s="886"/>
      <c r="J122" s="886"/>
      <c r="Q122" s="122"/>
    </row>
    <row r="123" spans="1:22">
      <c r="A123" s="173"/>
      <c r="B123" s="156" t="str">
        <f t="shared" ref="B123:G124" si="34">+B60</f>
        <v>31.03.12</v>
      </c>
      <c r="C123" s="156" t="str">
        <f t="shared" si="34"/>
        <v>31.03.13</v>
      </c>
      <c r="D123" s="140" t="str">
        <f t="shared" si="34"/>
        <v>31.03.14</v>
      </c>
      <c r="E123" s="134" t="str">
        <f t="shared" si="34"/>
        <v>31.03.15</v>
      </c>
      <c r="F123" s="140" t="str">
        <f t="shared" si="34"/>
        <v>31.03.16</v>
      </c>
      <c r="G123" s="140" t="str">
        <f t="shared" si="34"/>
        <v>31.03.17</v>
      </c>
      <c r="H123" s="140" t="s">
        <v>278</v>
      </c>
      <c r="I123" s="140" t="str">
        <f t="shared" ref="I123:O124" si="35">+I60</f>
        <v>31.03.19</v>
      </c>
      <c r="J123" s="140" t="str">
        <f t="shared" si="35"/>
        <v>31.03.20</v>
      </c>
      <c r="K123" s="140" t="str">
        <f t="shared" si="35"/>
        <v>31.03.21</v>
      </c>
      <c r="L123" s="140" t="str">
        <f t="shared" si="35"/>
        <v>31.03.22</v>
      </c>
      <c r="M123" s="140" t="str">
        <f>+M60</f>
        <v>31.03.23</v>
      </c>
      <c r="N123" s="140" t="str">
        <f t="shared" si="35"/>
        <v>31.03.20</v>
      </c>
      <c r="O123" s="140" t="str">
        <f t="shared" si="35"/>
        <v>31.03.21</v>
      </c>
      <c r="Q123" s="122"/>
    </row>
    <row r="124" spans="1:22">
      <c r="A124" s="146" t="s">
        <v>300</v>
      </c>
      <c r="B124" s="156" t="str">
        <f t="shared" si="34"/>
        <v>AUDITED</v>
      </c>
      <c r="C124" s="156" t="str">
        <f t="shared" si="34"/>
        <v>AUDITED</v>
      </c>
      <c r="D124" s="140" t="str">
        <f t="shared" si="34"/>
        <v>Prov.</v>
      </c>
      <c r="E124" s="134" t="str">
        <f t="shared" si="34"/>
        <v>Proj.</v>
      </c>
      <c r="F124" s="140" t="str">
        <f t="shared" si="34"/>
        <v>Proj.</v>
      </c>
      <c r="G124" s="140" t="str">
        <f t="shared" si="34"/>
        <v>Proj.</v>
      </c>
      <c r="H124" s="140" t="s">
        <v>277</v>
      </c>
      <c r="I124" s="140" t="str">
        <f t="shared" si="35"/>
        <v>Proj.</v>
      </c>
      <c r="J124" s="140" t="str">
        <f t="shared" si="35"/>
        <v>Proj.</v>
      </c>
      <c r="K124" s="140" t="str">
        <f t="shared" si="35"/>
        <v>Proj.</v>
      </c>
      <c r="L124" s="140" t="str">
        <f t="shared" si="35"/>
        <v>Proj.</v>
      </c>
      <c r="M124" s="140" t="str">
        <f>+M61</f>
        <v>Proj.</v>
      </c>
      <c r="N124" s="140" t="str">
        <f t="shared" si="35"/>
        <v>Proj.</v>
      </c>
      <c r="O124" s="140" t="str">
        <f t="shared" si="35"/>
        <v>Proj.</v>
      </c>
      <c r="Q124" s="122"/>
    </row>
    <row r="125" spans="1:22">
      <c r="A125" s="173"/>
      <c r="B125" s="192"/>
      <c r="C125" s="191"/>
      <c r="D125" s="190"/>
      <c r="Q125" s="122"/>
    </row>
    <row r="126" spans="1:22">
      <c r="A126" s="173"/>
      <c r="B126" s="125"/>
      <c r="Q126" s="122"/>
    </row>
    <row r="127" spans="1:22">
      <c r="A127" s="120" t="s">
        <v>320</v>
      </c>
      <c r="B127" s="152"/>
      <c r="C127" s="152" t="s">
        <v>320</v>
      </c>
      <c r="D127" s="124" t="s">
        <v>320</v>
      </c>
      <c r="F127" s="124"/>
      <c r="G127" s="124"/>
      <c r="H127" s="124"/>
      <c r="Q127" s="122"/>
    </row>
    <row r="128" spans="1:22" ht="15.75">
      <c r="A128" s="189" t="s">
        <v>505</v>
      </c>
      <c r="B128" s="153"/>
      <c r="C128" s="152"/>
      <c r="D128" s="124"/>
      <c r="F128" s="124"/>
      <c r="G128" s="124"/>
      <c r="H128" s="124"/>
      <c r="Q128" s="122"/>
    </row>
    <row r="129" spans="1:22">
      <c r="A129" s="188"/>
      <c r="B129" s="153"/>
      <c r="C129" s="152"/>
      <c r="D129" s="124"/>
      <c r="F129" s="124"/>
      <c r="G129" s="124"/>
      <c r="H129" s="124"/>
      <c r="Q129" s="122"/>
    </row>
    <row r="130" spans="1:22" ht="11.25" customHeight="1">
      <c r="A130" s="143" t="s">
        <v>504</v>
      </c>
      <c r="B130" s="152"/>
      <c r="C130" s="152"/>
      <c r="D130" s="124"/>
      <c r="F130" s="124"/>
      <c r="G130" s="124"/>
      <c r="H130" s="124"/>
      <c r="Q130" s="122"/>
    </row>
    <row r="131" spans="1:22" ht="15.75">
      <c r="A131" s="120" t="s">
        <v>503</v>
      </c>
      <c r="B131" s="152"/>
      <c r="C131" s="152"/>
      <c r="D131" s="124"/>
      <c r="F131" s="124"/>
      <c r="G131" s="124"/>
      <c r="H131" s="124"/>
      <c r="Q131" s="187"/>
      <c r="R131" s="186"/>
      <c r="S131" s="186"/>
      <c r="T131" s="186"/>
      <c r="U131" s="186"/>
      <c r="V131" s="186"/>
    </row>
    <row r="132" spans="1:22" ht="15.75">
      <c r="A132" s="120" t="s">
        <v>502</v>
      </c>
      <c r="B132" s="152"/>
      <c r="C132" s="152"/>
      <c r="D132" s="124"/>
      <c r="F132" s="124"/>
      <c r="G132" s="124"/>
      <c r="H132" s="124"/>
      <c r="Q132" s="187"/>
      <c r="R132" s="186"/>
      <c r="S132" s="186"/>
      <c r="T132" s="186"/>
      <c r="U132" s="186"/>
      <c r="V132" s="186"/>
    </row>
    <row r="133" spans="1:22">
      <c r="B133" s="152"/>
      <c r="C133" s="152"/>
      <c r="D133" s="124"/>
      <c r="F133" s="124"/>
      <c r="G133" s="124"/>
      <c r="H133" s="124"/>
      <c r="Q133" s="122"/>
      <c r="U133" s="120"/>
      <c r="V133" s="120"/>
    </row>
    <row r="134" spans="1:22">
      <c r="A134" s="120" t="s">
        <v>501</v>
      </c>
      <c r="B134" s="152">
        <v>0</v>
      </c>
      <c r="C134" s="152">
        <v>0</v>
      </c>
      <c r="D134" s="124">
        <v>0</v>
      </c>
      <c r="E134" s="124">
        <v>0</v>
      </c>
      <c r="F134" s="124">
        <v>0</v>
      </c>
      <c r="G134" s="124">
        <v>0</v>
      </c>
      <c r="H134" s="124">
        <v>0</v>
      </c>
      <c r="I134" s="124">
        <v>0</v>
      </c>
      <c r="J134" s="124">
        <v>0</v>
      </c>
      <c r="K134" s="124">
        <v>0</v>
      </c>
      <c r="L134" s="124">
        <v>0</v>
      </c>
      <c r="M134" s="124">
        <v>0</v>
      </c>
      <c r="N134" s="124" t="e">
        <f>+#REF!</f>
        <v>#REF!</v>
      </c>
      <c r="O134" s="124">
        <v>1000</v>
      </c>
      <c r="Q134" s="122"/>
      <c r="U134" s="120"/>
      <c r="V134" s="120"/>
    </row>
    <row r="135" spans="1:22">
      <c r="A135" s="120" t="s">
        <v>500</v>
      </c>
      <c r="B135" s="152"/>
      <c r="C135" s="152"/>
      <c r="D135" s="124"/>
      <c r="F135" s="124"/>
      <c r="G135" s="124"/>
      <c r="H135" s="124"/>
      <c r="Q135" s="122"/>
      <c r="U135" s="120"/>
      <c r="V135" s="120"/>
    </row>
    <row r="136" spans="1:22">
      <c r="A136" s="120" t="s">
        <v>499</v>
      </c>
      <c r="B136" s="152"/>
      <c r="C136" s="152"/>
      <c r="D136" s="124">
        <v>0</v>
      </c>
      <c r="E136" s="124">
        <v>0</v>
      </c>
      <c r="F136" s="124"/>
      <c r="G136" s="124"/>
      <c r="H136" s="124"/>
      <c r="Q136" s="122"/>
      <c r="U136" s="120"/>
      <c r="V136" s="120"/>
    </row>
    <row r="137" spans="1:22">
      <c r="B137" s="152"/>
      <c r="C137" s="152"/>
      <c r="D137" s="124"/>
      <c r="F137" s="124"/>
      <c r="G137" s="124"/>
      <c r="H137" s="124"/>
      <c r="Q137" s="122"/>
      <c r="U137" s="120"/>
      <c r="V137" s="120"/>
    </row>
    <row r="138" spans="1:22">
      <c r="A138" s="120" t="s">
        <v>498</v>
      </c>
      <c r="B138" s="152">
        <f>+B134+B135+B136</f>
        <v>0</v>
      </c>
      <c r="C138" s="152">
        <f t="shared" ref="C138:J138" si="36">+C134+C135+C136</f>
        <v>0</v>
      </c>
      <c r="D138" s="152">
        <f t="shared" si="36"/>
        <v>0</v>
      </c>
      <c r="E138" s="152">
        <f t="shared" si="36"/>
        <v>0</v>
      </c>
      <c r="F138" s="152">
        <f t="shared" si="36"/>
        <v>0</v>
      </c>
      <c r="G138" s="152">
        <f t="shared" si="36"/>
        <v>0</v>
      </c>
      <c r="H138" s="152">
        <f t="shared" si="36"/>
        <v>0</v>
      </c>
      <c r="I138" s="124">
        <f t="shared" si="36"/>
        <v>0</v>
      </c>
      <c r="J138" s="124">
        <f t="shared" si="36"/>
        <v>0</v>
      </c>
      <c r="K138" s="124">
        <f>K134+K135</f>
        <v>0</v>
      </c>
      <c r="L138" s="124">
        <f>L134+L135</f>
        <v>0</v>
      </c>
      <c r="M138" s="124">
        <f>M134+M135</f>
        <v>0</v>
      </c>
      <c r="N138" s="124" t="e">
        <f>N134+N135</f>
        <v>#REF!</v>
      </c>
      <c r="O138" s="124">
        <f>O134+O135</f>
        <v>1000</v>
      </c>
      <c r="Q138" s="122"/>
      <c r="U138" s="120"/>
      <c r="V138" s="120"/>
    </row>
    <row r="139" spans="1:22">
      <c r="B139" s="152"/>
      <c r="C139" s="152"/>
      <c r="D139" s="124"/>
      <c r="F139" s="124"/>
      <c r="G139" s="124"/>
      <c r="H139" s="124"/>
      <c r="Q139" s="122"/>
      <c r="U139" s="120"/>
      <c r="V139" s="120"/>
    </row>
    <row r="140" spans="1:22">
      <c r="A140" s="143" t="s">
        <v>497</v>
      </c>
      <c r="B140" s="152"/>
      <c r="C140" s="152"/>
      <c r="D140" s="124"/>
      <c r="F140" s="124"/>
      <c r="G140" s="124"/>
      <c r="H140" s="124"/>
      <c r="Q140" s="122"/>
      <c r="U140" s="120"/>
      <c r="V140" s="120"/>
    </row>
    <row r="141" spans="1:22">
      <c r="A141" s="143"/>
      <c r="B141" s="152"/>
      <c r="C141" s="152"/>
      <c r="D141" s="124"/>
      <c r="F141" s="124"/>
      <c r="G141" s="124"/>
      <c r="H141" s="124"/>
      <c r="Q141" s="122"/>
      <c r="U141" s="120"/>
      <c r="V141" s="120"/>
    </row>
    <row r="142" spans="1:22">
      <c r="A142" s="143" t="s">
        <v>496</v>
      </c>
      <c r="B142" s="152">
        <f>3130423.73/100000</f>
        <v>31.3042373</v>
      </c>
      <c r="C142" s="152">
        <f>2594225.66/100000</f>
        <v>25.9422566</v>
      </c>
      <c r="D142" s="124">
        <v>35</v>
      </c>
      <c r="E142" s="124">
        <v>25</v>
      </c>
      <c r="F142" s="124">
        <v>25</v>
      </c>
      <c r="G142" s="124">
        <v>20</v>
      </c>
      <c r="H142" s="124">
        <v>20</v>
      </c>
      <c r="I142" s="124">
        <v>10</v>
      </c>
      <c r="J142" s="124">
        <v>10</v>
      </c>
      <c r="K142" s="124">
        <v>10</v>
      </c>
      <c r="L142" s="124">
        <v>10</v>
      </c>
      <c r="M142" s="124">
        <v>10</v>
      </c>
      <c r="N142" s="124">
        <v>1245</v>
      </c>
      <c r="O142" s="124">
        <v>1245</v>
      </c>
      <c r="Q142" s="122"/>
      <c r="R142" s="122"/>
      <c r="S142" s="122"/>
      <c r="T142" s="122"/>
      <c r="U142" s="120"/>
      <c r="V142" s="120"/>
    </row>
    <row r="143" spans="1:22">
      <c r="A143" s="147" t="s">
        <v>358</v>
      </c>
      <c r="B143" s="124"/>
      <c r="C143" s="124"/>
      <c r="D143" s="124"/>
      <c r="F143" s="124"/>
      <c r="G143" s="124"/>
      <c r="H143" s="124"/>
      <c r="Q143" s="122"/>
      <c r="U143" s="120"/>
      <c r="V143" s="120"/>
    </row>
    <row r="144" spans="1:22">
      <c r="A144" s="143" t="s">
        <v>691</v>
      </c>
      <c r="B144" s="152">
        <f>2978725/100000</f>
        <v>29.78725</v>
      </c>
      <c r="C144" s="152">
        <f>1953075/100000</f>
        <v>19.530750000000001</v>
      </c>
      <c r="D144" s="124" t="e">
        <f>D12*10%</f>
        <v>#REF!</v>
      </c>
      <c r="E144" s="124" t="e">
        <f t="shared" ref="E144:M144" si="37">E12*10%</f>
        <v>#REF!</v>
      </c>
      <c r="F144" s="124" t="e">
        <f t="shared" si="37"/>
        <v>#REF!</v>
      </c>
      <c r="G144" s="124" t="e">
        <f t="shared" si="37"/>
        <v>#REF!</v>
      </c>
      <c r="H144" s="124" t="e">
        <f t="shared" si="37"/>
        <v>#REF!</v>
      </c>
      <c r="I144" s="124" t="e">
        <f t="shared" si="37"/>
        <v>#REF!</v>
      </c>
      <c r="J144" s="124" t="e">
        <f t="shared" si="37"/>
        <v>#REF!</v>
      </c>
      <c r="K144" s="124" t="e">
        <f t="shared" si="37"/>
        <v>#REF!</v>
      </c>
      <c r="L144" s="124" t="e">
        <f t="shared" si="37"/>
        <v>#REF!</v>
      </c>
      <c r="M144" s="124" t="e">
        <f t="shared" si="37"/>
        <v>#REF!</v>
      </c>
      <c r="Q144" s="122"/>
      <c r="T144" s="122"/>
      <c r="U144" s="120"/>
      <c r="V144" s="120"/>
    </row>
    <row r="145" spans="1:22">
      <c r="B145" s="152"/>
      <c r="C145" s="152"/>
      <c r="D145" s="152"/>
      <c r="E145" s="124">
        <v>0</v>
      </c>
      <c r="F145" s="124"/>
      <c r="G145" s="124"/>
      <c r="H145" s="124"/>
      <c r="Q145" s="122"/>
      <c r="U145" s="120"/>
      <c r="V145" s="120"/>
    </row>
    <row r="146" spans="1:22">
      <c r="B146" s="152"/>
      <c r="C146" s="152"/>
      <c r="D146" s="124"/>
      <c r="F146" s="124"/>
      <c r="G146" s="124"/>
      <c r="H146" s="124"/>
      <c r="Q146" s="122"/>
      <c r="U146" s="120"/>
      <c r="V146" s="120"/>
    </row>
    <row r="147" spans="1:22">
      <c r="A147" s="143" t="s">
        <v>495</v>
      </c>
      <c r="B147" s="152">
        <v>0</v>
      </c>
      <c r="C147" s="152">
        <v>0</v>
      </c>
      <c r="D147" s="124">
        <v>0</v>
      </c>
      <c r="E147" s="124">
        <v>0</v>
      </c>
      <c r="F147" s="124">
        <v>0</v>
      </c>
      <c r="G147" s="124">
        <v>0</v>
      </c>
      <c r="H147" s="124">
        <v>0</v>
      </c>
      <c r="I147" s="124"/>
      <c r="J147" s="124"/>
      <c r="K147" s="124"/>
      <c r="L147" s="124"/>
      <c r="M147" s="124"/>
      <c r="N147" s="124"/>
      <c r="O147" s="124"/>
      <c r="Q147" s="122"/>
      <c r="U147" s="120"/>
      <c r="V147" s="120"/>
    </row>
    <row r="148" spans="1:22">
      <c r="A148" s="143"/>
      <c r="B148" s="152"/>
      <c r="C148" s="152"/>
      <c r="D148" s="124"/>
      <c r="F148" s="124"/>
      <c r="G148" s="124"/>
      <c r="H148" s="124"/>
      <c r="Q148" s="122"/>
      <c r="U148" s="120"/>
      <c r="V148" s="120"/>
    </row>
    <row r="149" spans="1:22">
      <c r="A149" s="143" t="s">
        <v>494</v>
      </c>
      <c r="B149" s="152"/>
      <c r="C149" s="152">
        <v>0</v>
      </c>
      <c r="D149" s="124">
        <v>0</v>
      </c>
      <c r="E149" s="124">
        <v>0</v>
      </c>
      <c r="F149" s="124"/>
      <c r="G149" s="124"/>
      <c r="H149" s="124"/>
      <c r="Q149" s="122"/>
    </row>
    <row r="150" spans="1:22">
      <c r="A150" s="143"/>
      <c r="B150" s="152"/>
      <c r="C150" s="152"/>
      <c r="D150" s="124"/>
      <c r="F150" s="124"/>
      <c r="G150" s="124"/>
      <c r="H150" s="124"/>
      <c r="Q150" s="122"/>
    </row>
    <row r="151" spans="1:22">
      <c r="A151" s="143" t="s">
        <v>493</v>
      </c>
      <c r="B151" s="152">
        <v>0</v>
      </c>
      <c r="C151" s="152">
        <v>0</v>
      </c>
      <c r="D151" s="124">
        <v>0</v>
      </c>
      <c r="E151" s="124">
        <v>0</v>
      </c>
      <c r="F151" s="124">
        <v>0</v>
      </c>
      <c r="G151" s="124">
        <v>0</v>
      </c>
      <c r="H151" s="124">
        <v>0</v>
      </c>
      <c r="I151" s="124">
        <v>0</v>
      </c>
      <c r="J151" s="124">
        <v>0</v>
      </c>
      <c r="K151" s="124">
        <v>0</v>
      </c>
      <c r="L151" s="124">
        <v>0</v>
      </c>
      <c r="M151" s="124">
        <v>0</v>
      </c>
      <c r="N151" s="124">
        <v>10</v>
      </c>
      <c r="O151" s="124">
        <v>10</v>
      </c>
      <c r="Q151" s="122"/>
    </row>
    <row r="152" spans="1:22">
      <c r="B152" s="152"/>
      <c r="C152" s="152"/>
      <c r="D152" s="124"/>
      <c r="F152" s="124"/>
      <c r="G152" s="124"/>
      <c r="H152" s="124"/>
      <c r="Q152" s="122"/>
    </row>
    <row r="153" spans="1:22">
      <c r="A153" s="143" t="s">
        <v>492</v>
      </c>
      <c r="B153" s="152"/>
      <c r="C153" s="124">
        <f>+'Loan Summary'!D39/100000</f>
        <v>65.916759999999996</v>
      </c>
      <c r="D153" s="124">
        <f>+'Loan Summary'!E39/100000</f>
        <v>88.48921</v>
      </c>
      <c r="E153" s="124">
        <f>+'Loan Summary'!F39/100000</f>
        <v>127.49921000000001</v>
      </c>
      <c r="F153" s="124">
        <f>+'Loan Summary'!G39/100000</f>
        <v>173.23603</v>
      </c>
      <c r="G153" s="124">
        <f>+'Loan Summary'!H39/100000</f>
        <v>225</v>
      </c>
      <c r="H153" s="124">
        <f>+'Loan Summary'!I39/100000</f>
        <v>290</v>
      </c>
      <c r="I153" s="124">
        <f>+'Loan Summary'!J39/100000</f>
        <v>390.5</v>
      </c>
      <c r="J153" s="124">
        <f>+'Loan Summary'!K39/100000</f>
        <v>225</v>
      </c>
      <c r="K153" s="124">
        <f>+'Loan Summary'!L39/100000</f>
        <v>300</v>
      </c>
      <c r="L153" s="124">
        <f>+'Loan Summary'!M39/100000</f>
        <v>75</v>
      </c>
      <c r="M153" s="124">
        <f>+'Loan Summary'!N39/100000</f>
        <v>0</v>
      </c>
      <c r="Q153" s="122"/>
    </row>
    <row r="154" spans="1:22">
      <c r="A154" s="120" t="s">
        <v>491</v>
      </c>
      <c r="B154" s="152"/>
      <c r="C154" s="152">
        <v>0</v>
      </c>
      <c r="D154" s="124">
        <v>0</v>
      </c>
      <c r="E154" s="124">
        <v>0</v>
      </c>
      <c r="F154" s="124"/>
      <c r="G154" s="124"/>
      <c r="H154" s="124"/>
      <c r="Q154" s="122"/>
    </row>
    <row r="155" spans="1:22">
      <c r="B155" s="152"/>
      <c r="C155" s="152"/>
      <c r="D155" s="124"/>
      <c r="F155" s="124"/>
      <c r="G155" s="124"/>
      <c r="H155" s="124"/>
      <c r="Q155" s="122"/>
    </row>
    <row r="156" spans="1:22">
      <c r="A156" s="143" t="s">
        <v>490</v>
      </c>
      <c r="B156" s="152">
        <f t="shared" ref="B156:O156" si="38">SUM(B158:B162)</f>
        <v>55.955129999999997</v>
      </c>
      <c r="C156" s="152">
        <f t="shared" si="38"/>
        <v>61.493769999999998</v>
      </c>
      <c r="D156" s="152" t="e">
        <f t="shared" si="38"/>
        <v>#REF!</v>
      </c>
      <c r="E156" s="152" t="e">
        <f t="shared" si="38"/>
        <v>#REF!</v>
      </c>
      <c r="F156" s="152" t="e">
        <f t="shared" si="38"/>
        <v>#REF!</v>
      </c>
      <c r="G156" s="152" t="e">
        <f t="shared" si="38"/>
        <v>#REF!</v>
      </c>
      <c r="H156" s="152" t="e">
        <f t="shared" si="38"/>
        <v>#REF!</v>
      </c>
      <c r="I156" s="124" t="e">
        <f t="shared" si="38"/>
        <v>#REF!</v>
      </c>
      <c r="J156" s="124" t="e">
        <f t="shared" si="38"/>
        <v>#REF!</v>
      </c>
      <c r="K156" s="124" t="e">
        <f t="shared" si="38"/>
        <v>#REF!</v>
      </c>
      <c r="L156" s="124" t="e">
        <f t="shared" si="38"/>
        <v>#REF!</v>
      </c>
      <c r="M156" s="124" t="e">
        <f>SUM(M158:M162)</f>
        <v>#REF!</v>
      </c>
      <c r="N156" s="152">
        <f t="shared" si="38"/>
        <v>100</v>
      </c>
      <c r="O156" s="152">
        <f t="shared" si="38"/>
        <v>100</v>
      </c>
      <c r="Q156" s="122"/>
    </row>
    <row r="157" spans="1:22">
      <c r="A157" s="120" t="s">
        <v>489</v>
      </c>
      <c r="B157" s="152"/>
      <c r="C157" s="152"/>
      <c r="D157" s="124"/>
      <c r="F157" s="124"/>
      <c r="G157" s="124"/>
      <c r="H157" s="124"/>
      <c r="Q157" s="122"/>
    </row>
    <row r="158" spans="1:22">
      <c r="A158" s="120" t="s">
        <v>488</v>
      </c>
      <c r="B158" s="152">
        <f>3950421/100000-B144</f>
        <v>9.7169600000000003</v>
      </c>
      <c r="C158" s="152">
        <f>3087106/100000-C144</f>
        <v>11.340309999999999</v>
      </c>
      <c r="D158" s="124">
        <v>25</v>
      </c>
      <c r="E158" s="124">
        <v>20</v>
      </c>
      <c r="F158" s="124">
        <v>20</v>
      </c>
      <c r="G158" s="124">
        <v>20</v>
      </c>
      <c r="H158" s="124">
        <v>18</v>
      </c>
      <c r="I158" s="124">
        <v>18</v>
      </c>
      <c r="J158" s="124">
        <v>18</v>
      </c>
      <c r="K158" s="124">
        <v>18</v>
      </c>
      <c r="L158" s="124">
        <v>18</v>
      </c>
      <c r="M158" s="124">
        <v>18</v>
      </c>
      <c r="N158" s="124">
        <v>100</v>
      </c>
      <c r="O158" s="124">
        <v>100</v>
      </c>
      <c r="Q158" s="122"/>
    </row>
    <row r="159" spans="1:22">
      <c r="A159" s="262" t="s">
        <v>689</v>
      </c>
      <c r="B159" s="152">
        <f>+(4623817/100000)</f>
        <v>46.238169999999997</v>
      </c>
      <c r="C159" s="152">
        <f>5015346/100000</f>
        <v>50.153460000000003</v>
      </c>
      <c r="D159" s="124" t="e">
        <f>C159+(#REF!/100000)+300000/100000</f>
        <v>#REF!</v>
      </c>
      <c r="E159" s="124" t="e">
        <f>D159+(#REF!/100000)+300000/100000</f>
        <v>#REF!</v>
      </c>
      <c r="F159" s="124" t="e">
        <f>E159+(#REF!/100000)+300000/100000</f>
        <v>#REF!</v>
      </c>
      <c r="G159" s="124" t="e">
        <f>F159+(#REF!/100000)+300000/100000</f>
        <v>#REF!</v>
      </c>
      <c r="H159" s="124" t="e">
        <f>G159+(#REF!/100000)+300000/100000</f>
        <v>#REF!</v>
      </c>
      <c r="I159" s="124" t="e">
        <f>H159+(#REF!/100000)+300000/100000</f>
        <v>#REF!</v>
      </c>
      <c r="J159" s="124" t="e">
        <f>I159+(#REF!/100000)+300000/100000</f>
        <v>#REF!</v>
      </c>
      <c r="K159" s="124" t="e">
        <f>J159+(#REF!/100000)+300000/100000</f>
        <v>#REF!</v>
      </c>
      <c r="L159" s="124" t="e">
        <f>K159+(#REF!/100000)+300000/100000</f>
        <v>#REF!</v>
      </c>
      <c r="M159" s="124" t="e">
        <f>L159+(#REF!/100000)+300000/100000</f>
        <v>#REF!</v>
      </c>
      <c r="Q159" s="122"/>
    </row>
    <row r="160" spans="1:22">
      <c r="A160" s="120" t="s">
        <v>487</v>
      </c>
      <c r="B160" s="152"/>
      <c r="C160" s="152"/>
      <c r="D160" s="124"/>
      <c r="F160" s="124"/>
      <c r="G160" s="124"/>
      <c r="H160" s="124"/>
      <c r="Q160" s="122"/>
    </row>
    <row r="161" spans="1:22">
      <c r="A161" s="147" t="s">
        <v>486</v>
      </c>
      <c r="B161" s="152"/>
      <c r="C161" s="152"/>
      <c r="D161" s="124"/>
      <c r="F161" s="124">
        <v>0</v>
      </c>
      <c r="G161" s="124"/>
      <c r="H161" s="124"/>
      <c r="Q161" s="122"/>
    </row>
    <row r="162" spans="1:22">
      <c r="A162" s="147" t="s">
        <v>253</v>
      </c>
      <c r="B162" s="152"/>
      <c r="C162" s="152"/>
      <c r="D162" s="124"/>
      <c r="E162" s="124">
        <v>0</v>
      </c>
      <c r="F162" s="124"/>
      <c r="G162" s="124"/>
      <c r="H162" s="124">
        <v>0</v>
      </c>
      <c r="I162" s="124"/>
      <c r="J162" s="124"/>
      <c r="K162" s="124"/>
      <c r="L162" s="124"/>
      <c r="M162" s="124"/>
      <c r="N162" s="124"/>
      <c r="O162" s="124"/>
      <c r="Q162" s="122"/>
    </row>
    <row r="163" spans="1:22">
      <c r="B163" s="152"/>
      <c r="C163" s="152"/>
      <c r="D163" s="124"/>
      <c r="F163" s="124"/>
      <c r="G163" s="124"/>
      <c r="H163" s="124"/>
      <c r="Q163" s="122"/>
    </row>
    <row r="164" spans="1:22" s="143" customFormat="1">
      <c r="A164" s="143" t="s">
        <v>485</v>
      </c>
      <c r="B164" s="144">
        <f t="shared" ref="B164:O164" si="39">SUM(B142:B157)</f>
        <v>117.04661729999999</v>
      </c>
      <c r="C164" s="144">
        <f t="shared" si="39"/>
        <v>172.88353660000001</v>
      </c>
      <c r="D164" s="134" t="e">
        <f t="shared" si="39"/>
        <v>#REF!</v>
      </c>
      <c r="E164" s="134" t="e">
        <f t="shared" si="39"/>
        <v>#REF!</v>
      </c>
      <c r="F164" s="134" t="e">
        <f t="shared" si="39"/>
        <v>#REF!</v>
      </c>
      <c r="G164" s="134" t="e">
        <f t="shared" si="39"/>
        <v>#REF!</v>
      </c>
      <c r="H164" s="134" t="e">
        <f t="shared" si="39"/>
        <v>#REF!</v>
      </c>
      <c r="I164" s="134" t="e">
        <f t="shared" si="39"/>
        <v>#REF!</v>
      </c>
      <c r="J164" s="134" t="e">
        <f t="shared" si="39"/>
        <v>#REF!</v>
      </c>
      <c r="K164" s="134" t="e">
        <f t="shared" si="39"/>
        <v>#REF!</v>
      </c>
      <c r="L164" s="134" t="e">
        <f t="shared" si="39"/>
        <v>#REF!</v>
      </c>
      <c r="M164" s="134" t="e">
        <f>SUM(M142:M157)</f>
        <v>#REF!</v>
      </c>
      <c r="N164" s="134">
        <f t="shared" si="39"/>
        <v>1355</v>
      </c>
      <c r="O164" s="134">
        <f t="shared" si="39"/>
        <v>1355</v>
      </c>
      <c r="P164" s="131"/>
      <c r="Q164" s="130"/>
      <c r="R164" s="130"/>
      <c r="S164" s="131"/>
      <c r="T164" s="131"/>
      <c r="U164" s="131"/>
      <c r="V164" s="131"/>
    </row>
    <row r="165" spans="1:22" s="126" customFormat="1">
      <c r="A165" s="120"/>
      <c r="B165" s="125"/>
      <c r="C165" s="125"/>
      <c r="D165" s="123"/>
      <c r="E165" s="124"/>
      <c r="F165" s="123"/>
      <c r="G165" s="123"/>
      <c r="H165" s="123"/>
      <c r="I165" s="122"/>
      <c r="J165" s="122"/>
      <c r="K165" s="122"/>
      <c r="L165" s="122"/>
      <c r="M165" s="122"/>
      <c r="N165" s="122"/>
      <c r="O165" s="122"/>
      <c r="P165" s="122"/>
      <c r="Q165" s="122"/>
      <c r="R165" s="122"/>
      <c r="S165" s="122"/>
      <c r="T165" s="122"/>
      <c r="U165" s="122"/>
      <c r="V165" s="122"/>
    </row>
    <row r="166" spans="1:22" s="126" customFormat="1">
      <c r="A166" s="143" t="s">
        <v>484</v>
      </c>
      <c r="B166" s="144">
        <f t="shared" ref="B166:O166" si="40">+B164+B138</f>
        <v>117.04661729999999</v>
      </c>
      <c r="C166" s="144">
        <f t="shared" si="40"/>
        <v>172.88353660000001</v>
      </c>
      <c r="D166" s="134" t="e">
        <f t="shared" si="40"/>
        <v>#REF!</v>
      </c>
      <c r="E166" s="134" t="e">
        <f t="shared" si="40"/>
        <v>#REF!</v>
      </c>
      <c r="F166" s="134" t="e">
        <f t="shared" si="40"/>
        <v>#REF!</v>
      </c>
      <c r="G166" s="134" t="e">
        <f t="shared" si="40"/>
        <v>#REF!</v>
      </c>
      <c r="H166" s="134" t="e">
        <f t="shared" si="40"/>
        <v>#REF!</v>
      </c>
      <c r="I166" s="134" t="e">
        <f t="shared" si="40"/>
        <v>#REF!</v>
      </c>
      <c r="J166" s="134" t="e">
        <f t="shared" si="40"/>
        <v>#REF!</v>
      </c>
      <c r="K166" s="134" t="e">
        <f t="shared" si="40"/>
        <v>#REF!</v>
      </c>
      <c r="L166" s="134" t="e">
        <f t="shared" si="40"/>
        <v>#REF!</v>
      </c>
      <c r="M166" s="134" t="e">
        <f>+M164+M138</f>
        <v>#REF!</v>
      </c>
      <c r="N166" s="134" t="e">
        <f t="shared" si="40"/>
        <v>#REF!</v>
      </c>
      <c r="O166" s="134">
        <f t="shared" si="40"/>
        <v>2355</v>
      </c>
      <c r="P166" s="122"/>
      <c r="Q166" s="122"/>
      <c r="R166" s="122"/>
      <c r="S166" s="122"/>
      <c r="T166" s="122"/>
      <c r="U166" s="122"/>
      <c r="V166" s="122"/>
    </row>
    <row r="167" spans="1:22" s="126" customFormat="1">
      <c r="A167" s="143"/>
      <c r="B167" s="156"/>
      <c r="C167" s="156"/>
      <c r="D167" s="140"/>
      <c r="E167" s="134"/>
      <c r="F167" s="140"/>
      <c r="G167" s="140"/>
      <c r="H167" s="140"/>
      <c r="I167" s="122"/>
      <c r="J167" s="122"/>
      <c r="K167" s="122"/>
      <c r="L167" s="122"/>
      <c r="M167" s="122"/>
      <c r="N167" s="122"/>
      <c r="O167" s="122"/>
      <c r="P167" s="122"/>
      <c r="Q167" s="122"/>
      <c r="R167" s="122"/>
      <c r="S167" s="122"/>
      <c r="T167" s="122"/>
      <c r="U167" s="122"/>
      <c r="V167" s="122"/>
    </row>
    <row r="168" spans="1:22" s="126" customFormat="1">
      <c r="A168" s="143"/>
      <c r="C168" s="125"/>
      <c r="D168" s="123"/>
      <c r="E168" s="124"/>
      <c r="F168" s="123"/>
      <c r="G168" s="123"/>
      <c r="H168" s="123"/>
      <c r="I168" s="122"/>
      <c r="J168" s="122"/>
      <c r="K168" s="122">
        <v>0</v>
      </c>
      <c r="L168" s="122">
        <v>0</v>
      </c>
      <c r="M168" s="122">
        <v>0</v>
      </c>
      <c r="N168" s="122" t="e">
        <f>+N164-M164</f>
        <v>#REF!</v>
      </c>
      <c r="O168" s="122">
        <f>+O164-N164</f>
        <v>0</v>
      </c>
      <c r="P168" s="122"/>
      <c r="Q168" s="122"/>
      <c r="R168" s="122"/>
      <c r="S168" s="122"/>
      <c r="T168" s="122"/>
      <c r="U168" s="122"/>
      <c r="V168" s="122"/>
    </row>
    <row r="169" spans="1:22">
      <c r="Q169" s="122"/>
    </row>
    <row r="170" spans="1:22" s="126" customFormat="1">
      <c r="A170" s="135" t="s">
        <v>483</v>
      </c>
      <c r="C170" s="125"/>
      <c r="D170" s="123"/>
      <c r="E170" s="124"/>
      <c r="F170" s="123"/>
      <c r="G170" s="123"/>
      <c r="H170" s="123"/>
      <c r="I170" s="122"/>
      <c r="J170" s="122"/>
      <c r="K170" s="122"/>
      <c r="L170" s="122"/>
      <c r="M170" s="122"/>
      <c r="N170" s="122"/>
      <c r="O170" s="122"/>
      <c r="P170" s="122"/>
      <c r="Q170" s="122"/>
      <c r="R170" s="122"/>
      <c r="S170" s="122"/>
      <c r="T170" s="122"/>
      <c r="U170" s="122"/>
      <c r="V170" s="122"/>
    </row>
    <row r="171" spans="1:22" s="126" customFormat="1">
      <c r="A171" s="120"/>
      <c r="B171" s="135"/>
      <c r="C171" s="125"/>
      <c r="D171" s="123"/>
      <c r="E171" s="129"/>
      <c r="F171" s="129"/>
      <c r="G171" s="129"/>
      <c r="H171" s="129"/>
      <c r="I171" s="122"/>
      <c r="J171" s="122"/>
      <c r="K171" s="122"/>
      <c r="L171" s="122"/>
      <c r="M171" s="122"/>
      <c r="N171" s="122"/>
      <c r="O171" s="122"/>
      <c r="P171" s="122"/>
      <c r="Q171" s="122"/>
      <c r="R171" s="122"/>
      <c r="S171" s="122"/>
      <c r="T171" s="122"/>
      <c r="U171" s="122"/>
      <c r="V171" s="122"/>
    </row>
    <row r="172" spans="1:22" s="126" customFormat="1">
      <c r="C172" s="125"/>
      <c r="D172" s="123"/>
      <c r="E172" s="124"/>
      <c r="F172" s="123"/>
      <c r="G172" s="123"/>
      <c r="H172" s="123"/>
      <c r="I172" s="122"/>
      <c r="J172" s="122"/>
      <c r="K172" s="122"/>
      <c r="L172" s="122"/>
      <c r="M172" s="122"/>
      <c r="N172" s="122"/>
      <c r="O172" s="122"/>
      <c r="P172" s="122"/>
      <c r="Q172" s="122"/>
      <c r="R172" s="122"/>
      <c r="S172" s="122"/>
      <c r="T172" s="122"/>
      <c r="U172" s="122"/>
      <c r="V172" s="122"/>
    </row>
    <row r="173" spans="1:22" s="126" customFormat="1">
      <c r="A173" s="135" t="s">
        <v>300</v>
      </c>
      <c r="B173" s="156" t="str">
        <f t="shared" ref="B173:G174" si="41">+B123</f>
        <v>31.03.12</v>
      </c>
      <c r="C173" s="156" t="str">
        <f t="shared" si="41"/>
        <v>31.03.13</v>
      </c>
      <c r="D173" s="140" t="str">
        <f t="shared" si="41"/>
        <v>31.03.14</v>
      </c>
      <c r="E173" s="134" t="str">
        <f t="shared" si="41"/>
        <v>31.03.15</v>
      </c>
      <c r="F173" s="140" t="str">
        <f t="shared" si="41"/>
        <v>31.03.16</v>
      </c>
      <c r="G173" s="140" t="str">
        <f t="shared" si="41"/>
        <v>31.03.17</v>
      </c>
      <c r="H173" s="140" t="s">
        <v>278</v>
      </c>
      <c r="I173" s="140" t="str">
        <f t="shared" ref="I173:O174" si="42">+I123</f>
        <v>31.03.19</v>
      </c>
      <c r="J173" s="140" t="str">
        <f t="shared" si="42"/>
        <v>31.03.20</v>
      </c>
      <c r="K173" s="140" t="str">
        <f t="shared" si="42"/>
        <v>31.03.21</v>
      </c>
      <c r="L173" s="140" t="str">
        <f t="shared" si="42"/>
        <v>31.03.22</v>
      </c>
      <c r="M173" s="140" t="str">
        <f>+M123</f>
        <v>31.03.23</v>
      </c>
      <c r="N173" s="140" t="str">
        <f t="shared" si="42"/>
        <v>31.03.20</v>
      </c>
      <c r="O173" s="140" t="str">
        <f t="shared" si="42"/>
        <v>31.03.21</v>
      </c>
      <c r="P173" s="122"/>
      <c r="Q173" s="122"/>
      <c r="R173" s="122"/>
      <c r="S173" s="122"/>
      <c r="T173" s="122"/>
      <c r="U173" s="122"/>
      <c r="V173" s="122"/>
    </row>
    <row r="174" spans="1:22" s="126" customFormat="1">
      <c r="B174" s="156" t="str">
        <f t="shared" si="41"/>
        <v>AUDITED</v>
      </c>
      <c r="C174" s="156" t="str">
        <f t="shared" si="41"/>
        <v>AUDITED</v>
      </c>
      <c r="D174" s="140" t="str">
        <f t="shared" si="41"/>
        <v>Prov.</v>
      </c>
      <c r="E174" s="134" t="str">
        <f t="shared" si="41"/>
        <v>Proj.</v>
      </c>
      <c r="F174" s="140" t="str">
        <f t="shared" si="41"/>
        <v>Proj.</v>
      </c>
      <c r="G174" s="140" t="str">
        <f t="shared" si="41"/>
        <v>Proj.</v>
      </c>
      <c r="H174" s="140" t="s">
        <v>277</v>
      </c>
      <c r="I174" s="140" t="str">
        <f t="shared" si="42"/>
        <v>Proj.</v>
      </c>
      <c r="J174" s="140" t="str">
        <f t="shared" si="42"/>
        <v>Proj.</v>
      </c>
      <c r="K174" s="140" t="str">
        <f t="shared" si="42"/>
        <v>Proj.</v>
      </c>
      <c r="L174" s="140" t="str">
        <f t="shared" si="42"/>
        <v>Proj.</v>
      </c>
      <c r="M174" s="140" t="str">
        <f>+M124</f>
        <v>Proj.</v>
      </c>
      <c r="N174" s="140" t="str">
        <f t="shared" si="42"/>
        <v>Proj.</v>
      </c>
      <c r="O174" s="140" t="str">
        <f t="shared" si="42"/>
        <v>Proj.</v>
      </c>
      <c r="P174" s="122"/>
      <c r="Q174" s="122"/>
      <c r="R174" s="122"/>
      <c r="S174" s="122"/>
      <c r="T174" s="122"/>
      <c r="U174" s="122"/>
      <c r="V174" s="122"/>
    </row>
    <row r="175" spans="1:22" s="126" customFormat="1">
      <c r="A175" s="135" t="s">
        <v>482</v>
      </c>
      <c r="B175" s="152"/>
      <c r="C175" s="152"/>
      <c r="D175" s="124"/>
      <c r="E175" s="124"/>
      <c r="F175" s="124"/>
      <c r="G175" s="124"/>
      <c r="H175" s="124"/>
      <c r="I175" s="122"/>
      <c r="J175" s="122"/>
      <c r="K175" s="122"/>
      <c r="L175" s="122"/>
      <c r="M175" s="122"/>
      <c r="N175" s="122"/>
      <c r="O175" s="122"/>
      <c r="P175" s="122"/>
      <c r="Q175" s="122"/>
      <c r="R175" s="122"/>
      <c r="S175" s="122"/>
      <c r="T175" s="122"/>
      <c r="U175" s="122"/>
      <c r="V175" s="122"/>
    </row>
    <row r="176" spans="1:22" s="126" customFormat="1">
      <c r="B176" s="152"/>
      <c r="C176" s="124"/>
      <c r="D176" s="124"/>
      <c r="E176" s="124"/>
      <c r="F176" s="124"/>
      <c r="G176" s="124"/>
      <c r="H176" s="124"/>
      <c r="I176" s="122"/>
      <c r="J176" s="122"/>
      <c r="K176" s="122"/>
      <c r="L176" s="122"/>
      <c r="M176" s="122"/>
      <c r="N176" s="122"/>
      <c r="O176" s="122"/>
      <c r="P176" s="122"/>
      <c r="Q176" s="122"/>
      <c r="R176" s="122"/>
      <c r="S176" s="122"/>
      <c r="T176" s="122"/>
      <c r="U176" s="122"/>
      <c r="V176" s="122"/>
    </row>
    <row r="177" spans="1:22" s="126" customFormat="1">
      <c r="A177" s="135" t="s">
        <v>481</v>
      </c>
      <c r="B177" s="152"/>
      <c r="C177" s="152">
        <v>0</v>
      </c>
      <c r="D177" s="124">
        <v>0</v>
      </c>
      <c r="E177" s="124">
        <v>0</v>
      </c>
      <c r="F177" s="124"/>
      <c r="G177" s="124"/>
      <c r="H177" s="124"/>
      <c r="I177" s="122"/>
      <c r="J177" s="122"/>
      <c r="K177" s="122"/>
      <c r="L177" s="122"/>
      <c r="M177" s="122"/>
      <c r="N177" s="122"/>
      <c r="O177" s="122"/>
      <c r="P177" s="122"/>
      <c r="Q177" s="122"/>
      <c r="R177" s="122"/>
      <c r="S177" s="122"/>
      <c r="T177" s="122"/>
      <c r="U177" s="122"/>
      <c r="V177" s="122"/>
    </row>
    <row r="178" spans="1:22" s="126" customFormat="1">
      <c r="B178" s="152"/>
      <c r="C178" s="152"/>
      <c r="D178" s="124"/>
      <c r="E178" s="124"/>
      <c r="F178" s="124"/>
      <c r="G178" s="124"/>
      <c r="H178" s="124"/>
      <c r="I178" s="122"/>
      <c r="J178" s="122"/>
      <c r="K178" s="122"/>
      <c r="L178" s="122"/>
      <c r="M178" s="122"/>
      <c r="N178" s="122"/>
      <c r="O178" s="122"/>
      <c r="P178" s="122"/>
      <c r="Q178" s="122"/>
      <c r="R178" s="122"/>
      <c r="S178" s="122"/>
      <c r="T178" s="122"/>
      <c r="U178" s="122"/>
      <c r="V178" s="122"/>
    </row>
    <row r="179" spans="1:22" s="126" customFormat="1">
      <c r="A179" s="135" t="s">
        <v>480</v>
      </c>
      <c r="B179" s="152"/>
      <c r="C179" s="152">
        <v>0</v>
      </c>
      <c r="D179" s="124">
        <v>0</v>
      </c>
      <c r="E179" s="124">
        <v>0</v>
      </c>
      <c r="F179" s="124"/>
      <c r="G179" s="124"/>
      <c r="H179" s="124"/>
      <c r="I179" s="122"/>
      <c r="J179" s="122"/>
      <c r="K179" s="122"/>
      <c r="L179" s="122"/>
      <c r="M179" s="122"/>
      <c r="N179" s="122"/>
      <c r="O179" s="122"/>
      <c r="P179" s="122"/>
      <c r="Q179" s="122"/>
      <c r="R179" s="122"/>
      <c r="S179" s="122"/>
      <c r="T179" s="122"/>
      <c r="U179" s="122"/>
      <c r="V179" s="122"/>
    </row>
    <row r="180" spans="1:22" s="126" customFormat="1">
      <c r="B180" s="152"/>
      <c r="C180" s="152"/>
      <c r="D180" s="124"/>
      <c r="E180" s="124"/>
      <c r="F180" s="124"/>
      <c r="G180" s="124"/>
      <c r="H180" s="124"/>
      <c r="I180" s="122"/>
      <c r="J180" s="122"/>
      <c r="K180" s="122"/>
      <c r="L180" s="122"/>
      <c r="M180" s="122"/>
      <c r="N180" s="122"/>
      <c r="O180" s="122"/>
      <c r="P180" s="122"/>
      <c r="Q180" s="122"/>
      <c r="R180" s="122"/>
      <c r="S180" s="122"/>
      <c r="T180" s="122"/>
      <c r="U180" s="122"/>
      <c r="V180" s="122"/>
    </row>
    <row r="181" spans="1:22">
      <c r="A181" s="135" t="s">
        <v>479</v>
      </c>
      <c r="B181" s="152">
        <f>89531170.42/100000</f>
        <v>895.31170420000001</v>
      </c>
      <c r="C181" s="124">
        <f>+'Loan Summary'!D40/100000</f>
        <v>822.91561999999999</v>
      </c>
      <c r="D181" s="124">
        <f>+'Loan Summary'!E40/100000</f>
        <v>706.23523999999998</v>
      </c>
      <c r="E181" s="124">
        <f>+'Loan Summary'!F40/100000</f>
        <v>1678.73603</v>
      </c>
      <c r="F181" s="124">
        <f>+'Loan Summary'!G40/100000</f>
        <v>1505.5</v>
      </c>
      <c r="G181" s="124">
        <f>+'Loan Summary'!H40/100000</f>
        <v>1280.5</v>
      </c>
      <c r="H181" s="124">
        <f>+'Loan Summary'!I40/100000</f>
        <v>990.5</v>
      </c>
      <c r="I181" s="124">
        <f>+'Loan Summary'!J40/100000</f>
        <v>600</v>
      </c>
      <c r="J181" s="124">
        <f>+'Loan Summary'!K40/100000</f>
        <v>375</v>
      </c>
      <c r="K181" s="124">
        <f>+'Loan Summary'!L40/100000</f>
        <v>75</v>
      </c>
      <c r="L181" s="124">
        <f>+'Loan Summary'!M40/100000</f>
        <v>0</v>
      </c>
      <c r="M181" s="124">
        <f>+'Loan Summary'!N40/100000</f>
        <v>0</v>
      </c>
      <c r="N181" s="124" t="e">
        <f>+#REF!</f>
        <v>#REF!</v>
      </c>
      <c r="O181" s="124" t="e">
        <f>+#REF!</f>
        <v>#REF!</v>
      </c>
      <c r="Q181" s="122"/>
      <c r="S181" s="120"/>
      <c r="T181" s="120"/>
      <c r="U181" s="120"/>
      <c r="V181" s="120"/>
    </row>
    <row r="182" spans="1:22">
      <c r="A182" s="126" t="s">
        <v>478</v>
      </c>
      <c r="B182" s="152"/>
      <c r="C182" s="152"/>
      <c r="D182" s="124"/>
      <c r="F182" s="124"/>
      <c r="G182" s="124"/>
      <c r="H182" s="124"/>
      <c r="Q182" s="122"/>
      <c r="S182" s="120"/>
      <c r="T182" s="120"/>
      <c r="U182" s="120"/>
      <c r="V182" s="120"/>
    </row>
    <row r="183" spans="1:22">
      <c r="A183" s="126"/>
      <c r="B183" s="152"/>
      <c r="C183" s="152"/>
      <c r="D183" s="124"/>
      <c r="F183" s="124"/>
      <c r="G183" s="124"/>
      <c r="H183" s="124"/>
      <c r="Q183" s="122"/>
      <c r="S183" s="120"/>
      <c r="T183" s="120"/>
      <c r="U183" s="120"/>
      <c r="V183" s="120"/>
    </row>
    <row r="184" spans="1:22">
      <c r="A184" s="135" t="s">
        <v>477</v>
      </c>
      <c r="B184" s="152"/>
      <c r="C184" s="152"/>
      <c r="D184" s="124"/>
      <c r="F184" s="124"/>
      <c r="G184" s="124"/>
      <c r="H184" s="124"/>
      <c r="Q184" s="122"/>
      <c r="S184" s="120"/>
      <c r="T184" s="120"/>
      <c r="U184" s="120"/>
      <c r="V184" s="120"/>
    </row>
    <row r="185" spans="1:22">
      <c r="A185" s="126" t="s">
        <v>476</v>
      </c>
      <c r="B185" s="152"/>
      <c r="C185" s="152"/>
      <c r="D185" s="124"/>
      <c r="F185" s="124"/>
      <c r="G185" s="124"/>
      <c r="H185" s="124"/>
      <c r="Q185" s="122"/>
      <c r="S185" s="120"/>
      <c r="T185" s="120"/>
      <c r="U185" s="120"/>
      <c r="V185" s="120"/>
    </row>
    <row r="186" spans="1:22">
      <c r="A186" s="126"/>
      <c r="B186" s="152"/>
      <c r="C186" s="152"/>
      <c r="D186" s="124"/>
      <c r="F186" s="124"/>
      <c r="G186" s="124"/>
      <c r="H186" s="124"/>
      <c r="Q186" s="122"/>
      <c r="S186" s="120"/>
      <c r="T186" s="120"/>
      <c r="U186" s="120"/>
      <c r="V186" s="120"/>
    </row>
    <row r="187" spans="1:22">
      <c r="A187" s="135" t="s">
        <v>475</v>
      </c>
      <c r="B187" s="152">
        <f>28326156/100000</f>
        <v>283.26155999999997</v>
      </c>
      <c r="C187" s="152">
        <f>32805522/100000</f>
        <v>328.05522000000002</v>
      </c>
      <c r="D187" s="124">
        <v>310</v>
      </c>
      <c r="E187" s="124">
        <v>750</v>
      </c>
      <c r="F187" s="124">
        <f t="shared" ref="F187:M187" si="43">E187</f>
        <v>750</v>
      </c>
      <c r="G187" s="124">
        <f t="shared" si="43"/>
        <v>750</v>
      </c>
      <c r="H187" s="124">
        <f t="shared" si="43"/>
        <v>750</v>
      </c>
      <c r="I187" s="124">
        <f t="shared" si="43"/>
        <v>750</v>
      </c>
      <c r="J187" s="124">
        <f t="shared" si="43"/>
        <v>750</v>
      </c>
      <c r="K187" s="124">
        <f t="shared" si="43"/>
        <v>750</v>
      </c>
      <c r="L187" s="124">
        <f t="shared" si="43"/>
        <v>750</v>
      </c>
      <c r="M187" s="124">
        <f t="shared" si="43"/>
        <v>750</v>
      </c>
      <c r="N187" s="124">
        <f>+M187-32.22</f>
        <v>717.78</v>
      </c>
      <c r="O187" s="124">
        <f>+N187-14.76</f>
        <v>703.02</v>
      </c>
      <c r="Q187" s="122"/>
      <c r="R187" s="122"/>
      <c r="S187" s="120"/>
      <c r="T187" s="120"/>
      <c r="U187" s="120"/>
      <c r="V187" s="120"/>
    </row>
    <row r="188" spans="1:22">
      <c r="A188" s="126"/>
      <c r="B188" s="152"/>
      <c r="C188" s="152"/>
      <c r="D188" s="124"/>
      <c r="F188" s="124"/>
      <c r="G188" s="124"/>
      <c r="H188" s="124"/>
      <c r="Q188" s="122"/>
      <c r="S188" s="120"/>
      <c r="T188" s="120"/>
      <c r="U188" s="120"/>
      <c r="V188" s="120"/>
    </row>
    <row r="189" spans="1:22">
      <c r="A189" s="126"/>
      <c r="B189" s="152"/>
      <c r="C189" s="152"/>
      <c r="D189" s="124"/>
      <c r="F189" s="124"/>
      <c r="G189" s="124"/>
      <c r="H189" s="124"/>
      <c r="Q189" s="122"/>
      <c r="S189" s="120"/>
      <c r="T189" s="120"/>
      <c r="U189" s="120"/>
      <c r="V189" s="120"/>
    </row>
    <row r="190" spans="1:22">
      <c r="A190" s="135" t="s">
        <v>474</v>
      </c>
      <c r="B190" s="152"/>
      <c r="C190" s="152"/>
      <c r="D190" s="124"/>
      <c r="F190" s="124"/>
      <c r="G190" s="124"/>
      <c r="H190" s="124">
        <v>0</v>
      </c>
      <c r="I190" s="122">
        <v>0</v>
      </c>
      <c r="Q190" s="122"/>
      <c r="S190" s="120"/>
      <c r="T190" s="120"/>
      <c r="U190" s="120"/>
      <c r="V190" s="120"/>
    </row>
    <row r="191" spans="1:22">
      <c r="A191" s="126"/>
      <c r="B191" s="152"/>
      <c r="C191" s="152"/>
      <c r="D191" s="124"/>
      <c r="F191" s="124"/>
      <c r="G191" s="124"/>
      <c r="H191" s="124"/>
      <c r="Q191" s="122"/>
      <c r="S191" s="120"/>
      <c r="T191" s="120"/>
      <c r="U191" s="120"/>
      <c r="V191" s="120"/>
    </row>
    <row r="192" spans="1:22">
      <c r="A192" s="135" t="s">
        <v>473</v>
      </c>
      <c r="B192" s="144">
        <f t="shared" ref="B192:O192" si="44">SUM(B177:B190)</f>
        <v>1178.5732642</v>
      </c>
      <c r="C192" s="144">
        <f t="shared" si="44"/>
        <v>1150.97084</v>
      </c>
      <c r="D192" s="134">
        <f t="shared" si="44"/>
        <v>1016.23524</v>
      </c>
      <c r="E192" s="134">
        <f t="shared" si="44"/>
        <v>2428.73603</v>
      </c>
      <c r="F192" s="134">
        <f t="shared" si="44"/>
        <v>2255.5</v>
      </c>
      <c r="G192" s="134">
        <f t="shared" si="44"/>
        <v>2030.5</v>
      </c>
      <c r="H192" s="134">
        <f t="shared" si="44"/>
        <v>1740.5</v>
      </c>
      <c r="I192" s="134">
        <f t="shared" si="44"/>
        <v>1350</v>
      </c>
      <c r="J192" s="134">
        <f t="shared" si="44"/>
        <v>1125</v>
      </c>
      <c r="K192" s="134">
        <f t="shared" si="44"/>
        <v>825</v>
      </c>
      <c r="L192" s="134">
        <f t="shared" si="44"/>
        <v>750</v>
      </c>
      <c r="M192" s="134">
        <f>SUM(M177:M190)</f>
        <v>750</v>
      </c>
      <c r="N192" s="134" t="e">
        <f t="shared" si="44"/>
        <v>#REF!</v>
      </c>
      <c r="O192" s="134" t="e">
        <f t="shared" si="44"/>
        <v>#REF!</v>
      </c>
      <c r="Q192" s="122"/>
      <c r="R192" s="122"/>
      <c r="S192" s="120"/>
      <c r="T192" s="120"/>
      <c r="U192" s="120"/>
      <c r="V192" s="120"/>
    </row>
    <row r="193" spans="1:22">
      <c r="A193" s="126"/>
      <c r="B193" s="152"/>
      <c r="C193" s="152"/>
      <c r="D193" s="124"/>
      <c r="F193" s="124"/>
      <c r="G193" s="124"/>
      <c r="H193" s="124"/>
      <c r="J193" s="122"/>
      <c r="K193" s="122"/>
      <c r="L193" s="122"/>
      <c r="M193" s="122"/>
      <c r="N193" s="122"/>
      <c r="O193" s="122"/>
      <c r="Q193" s="122"/>
      <c r="S193" s="120"/>
      <c r="T193" s="120"/>
      <c r="U193" s="120"/>
      <c r="V193" s="120"/>
    </row>
    <row r="194" spans="1:22">
      <c r="A194" s="135" t="s">
        <v>472</v>
      </c>
      <c r="B194" s="144">
        <f t="shared" ref="B194:O194" si="45">(B166+B192)</f>
        <v>1295.6198815</v>
      </c>
      <c r="C194" s="144">
        <f t="shared" si="45"/>
        <v>1323.8543766</v>
      </c>
      <c r="D194" s="134" t="e">
        <f t="shared" si="45"/>
        <v>#REF!</v>
      </c>
      <c r="E194" s="134" t="e">
        <f t="shared" si="45"/>
        <v>#REF!</v>
      </c>
      <c r="F194" s="134" t="e">
        <f t="shared" si="45"/>
        <v>#REF!</v>
      </c>
      <c r="G194" s="134" t="e">
        <f t="shared" si="45"/>
        <v>#REF!</v>
      </c>
      <c r="H194" s="134" t="e">
        <f t="shared" si="45"/>
        <v>#REF!</v>
      </c>
      <c r="I194" s="134" t="e">
        <f t="shared" si="45"/>
        <v>#REF!</v>
      </c>
      <c r="J194" s="134" t="e">
        <f t="shared" si="45"/>
        <v>#REF!</v>
      </c>
      <c r="K194" s="134" t="e">
        <f t="shared" si="45"/>
        <v>#REF!</v>
      </c>
      <c r="L194" s="134" t="e">
        <f t="shared" si="45"/>
        <v>#REF!</v>
      </c>
      <c r="M194" s="134" t="e">
        <f>(M166+M192)</f>
        <v>#REF!</v>
      </c>
      <c r="N194" s="134" t="e">
        <f t="shared" si="45"/>
        <v>#REF!</v>
      </c>
      <c r="O194" s="134" t="e">
        <f t="shared" si="45"/>
        <v>#REF!</v>
      </c>
      <c r="Q194" s="122"/>
      <c r="S194" s="120"/>
      <c r="T194" s="120"/>
      <c r="U194" s="120"/>
      <c r="V194" s="120"/>
    </row>
    <row r="195" spans="1:22">
      <c r="A195" s="126"/>
      <c r="B195" s="152"/>
      <c r="C195" s="152"/>
      <c r="D195" s="124"/>
      <c r="F195" s="124"/>
      <c r="G195" s="124"/>
      <c r="H195" s="124"/>
      <c r="Q195" s="122"/>
      <c r="S195" s="120"/>
      <c r="T195" s="120"/>
      <c r="U195" s="120"/>
      <c r="V195" s="120"/>
    </row>
    <row r="196" spans="1:22">
      <c r="A196" s="154" t="s">
        <v>471</v>
      </c>
      <c r="B196" s="152"/>
      <c r="C196" s="152"/>
      <c r="D196" s="124"/>
      <c r="F196" s="124"/>
      <c r="G196" s="124"/>
      <c r="H196" s="124"/>
      <c r="Q196" s="122"/>
      <c r="S196" s="120"/>
      <c r="T196" s="120"/>
      <c r="U196" s="120"/>
      <c r="V196" s="120"/>
    </row>
    <row r="197" spans="1:22">
      <c r="A197" s="126"/>
      <c r="B197" s="152"/>
      <c r="C197" s="152"/>
      <c r="D197" s="124"/>
      <c r="F197" s="124"/>
      <c r="G197" s="124"/>
      <c r="H197" s="124"/>
      <c r="Q197" s="122"/>
      <c r="U197" s="120"/>
      <c r="V197" s="120"/>
    </row>
    <row r="198" spans="1:22">
      <c r="A198" s="135" t="s">
        <v>470</v>
      </c>
      <c r="B198" s="152">
        <f>16112524.73/100000</f>
        <v>161.12524730000001</v>
      </c>
      <c r="C198" s="152">
        <f t="shared" ref="C198:M198" si="46">16112524.73/100000</f>
        <v>161.12524730000001</v>
      </c>
      <c r="D198" s="152">
        <f t="shared" si="46"/>
        <v>161.12524730000001</v>
      </c>
      <c r="E198" s="152">
        <f t="shared" si="46"/>
        <v>161.12524730000001</v>
      </c>
      <c r="F198" s="152">
        <f t="shared" si="46"/>
        <v>161.12524730000001</v>
      </c>
      <c r="G198" s="152">
        <f t="shared" si="46"/>
        <v>161.12524730000001</v>
      </c>
      <c r="H198" s="152">
        <f t="shared" si="46"/>
        <v>161.12524730000001</v>
      </c>
      <c r="I198" s="124">
        <f t="shared" si="46"/>
        <v>161.12524730000001</v>
      </c>
      <c r="J198" s="124">
        <f t="shared" si="46"/>
        <v>161.12524730000001</v>
      </c>
      <c r="K198" s="124">
        <f t="shared" si="46"/>
        <v>161.12524730000001</v>
      </c>
      <c r="L198" s="124">
        <f t="shared" si="46"/>
        <v>161.12524730000001</v>
      </c>
      <c r="M198" s="124">
        <f t="shared" si="46"/>
        <v>161.12524730000001</v>
      </c>
      <c r="N198" s="124">
        <f>+M198</f>
        <v>161.12524730000001</v>
      </c>
      <c r="O198" s="124">
        <f>+N198</f>
        <v>161.12524730000001</v>
      </c>
      <c r="Q198" s="122"/>
      <c r="R198" s="122"/>
      <c r="U198" s="120"/>
      <c r="V198" s="120"/>
    </row>
    <row r="199" spans="1:22">
      <c r="A199" s="135"/>
      <c r="B199" s="152"/>
      <c r="C199" s="152"/>
      <c r="D199" s="124"/>
      <c r="F199" s="124"/>
      <c r="G199" s="124"/>
      <c r="H199" s="124"/>
      <c r="Q199" s="122"/>
      <c r="U199" s="120"/>
      <c r="V199" s="120"/>
    </row>
    <row r="200" spans="1:22">
      <c r="A200" s="135" t="s">
        <v>469</v>
      </c>
      <c r="B200" s="152"/>
      <c r="C200" s="152"/>
      <c r="D200" s="124"/>
      <c r="F200" s="124"/>
      <c r="G200" s="124"/>
      <c r="H200" s="124"/>
      <c r="I200" s="124"/>
      <c r="J200" s="124"/>
      <c r="K200" s="124"/>
      <c r="L200" s="124"/>
      <c r="M200" s="124"/>
      <c r="N200" s="124"/>
      <c r="O200" s="124"/>
      <c r="Q200" s="122"/>
      <c r="R200" s="122"/>
      <c r="S200" s="122"/>
      <c r="U200" s="120"/>
      <c r="V200" s="120"/>
    </row>
    <row r="201" spans="1:22">
      <c r="A201" s="135"/>
      <c r="B201" s="152"/>
      <c r="C201" s="152"/>
      <c r="D201" s="124"/>
      <c r="F201" s="124"/>
      <c r="G201" s="124"/>
      <c r="H201" s="124"/>
      <c r="Q201" s="122"/>
      <c r="R201" s="122"/>
      <c r="U201" s="120"/>
      <c r="V201" s="120"/>
    </row>
    <row r="202" spans="1:22">
      <c r="A202" s="135" t="s">
        <v>690</v>
      </c>
      <c r="B202" s="152">
        <f>(-27766533/100000)-B208</f>
        <v>-207.46980570000002</v>
      </c>
      <c r="C202" s="152">
        <f>+B202+B208-0.03</f>
        <v>-277.69532999999996</v>
      </c>
      <c r="D202" s="152">
        <f>+C202+C208</f>
        <v>-342.08619999999996</v>
      </c>
      <c r="E202" s="152" t="e">
        <f t="shared" ref="E202:J202" si="47">+D202+D208-0.03</f>
        <v>#REF!</v>
      </c>
      <c r="F202" s="152" t="e">
        <f t="shared" si="47"/>
        <v>#REF!</v>
      </c>
      <c r="G202" s="152" t="e">
        <f t="shared" si="47"/>
        <v>#REF!</v>
      </c>
      <c r="H202" s="152" t="e">
        <f t="shared" si="47"/>
        <v>#REF!</v>
      </c>
      <c r="I202" s="124" t="e">
        <f t="shared" si="47"/>
        <v>#REF!</v>
      </c>
      <c r="J202" s="124" t="e">
        <f t="shared" si="47"/>
        <v>#REF!</v>
      </c>
      <c r="K202" s="124" t="e">
        <f>+J202+K112</f>
        <v>#REF!</v>
      </c>
      <c r="L202" s="124" t="e">
        <f>+K202+L112</f>
        <v>#REF!</v>
      </c>
      <c r="M202" s="124" t="e">
        <f>+L202+M112</f>
        <v>#REF!</v>
      </c>
      <c r="N202" s="124" t="e">
        <f>+M202+N112</f>
        <v>#REF!</v>
      </c>
      <c r="O202" s="124" t="e">
        <f>+N202+O112</f>
        <v>#REF!</v>
      </c>
      <c r="Q202" s="122"/>
      <c r="R202" s="122"/>
      <c r="S202" s="122"/>
      <c r="U202" s="120"/>
      <c r="V202" s="120"/>
    </row>
    <row r="203" spans="1:22">
      <c r="A203" s="126"/>
      <c r="B203" s="152"/>
      <c r="C203" s="152"/>
      <c r="D203" s="124"/>
      <c r="F203" s="124"/>
      <c r="G203" s="124"/>
      <c r="H203" s="124"/>
      <c r="J203" s="122"/>
      <c r="K203" s="122"/>
      <c r="L203" s="122"/>
      <c r="M203" s="122"/>
      <c r="N203" s="122"/>
      <c r="O203" s="122"/>
      <c r="Q203" s="122"/>
      <c r="R203" s="122"/>
      <c r="S203" s="122"/>
      <c r="T203" s="122"/>
      <c r="U203" s="120"/>
      <c r="V203" s="120"/>
    </row>
    <row r="204" spans="1:22">
      <c r="A204" s="135" t="s">
        <v>468</v>
      </c>
      <c r="B204" s="152"/>
      <c r="C204" s="152"/>
      <c r="D204" s="124"/>
      <c r="F204" s="124"/>
      <c r="G204" s="124"/>
      <c r="H204" s="124"/>
      <c r="Q204" s="122"/>
      <c r="R204" s="122"/>
      <c r="S204" s="122"/>
      <c r="U204" s="120"/>
      <c r="V204" s="120"/>
    </row>
    <row r="205" spans="1:22">
      <c r="A205" s="126"/>
      <c r="B205" s="152"/>
      <c r="C205" s="152"/>
      <c r="D205" s="124"/>
      <c r="F205" s="124"/>
      <c r="G205" s="124"/>
      <c r="H205" s="124"/>
      <c r="Q205" s="122"/>
      <c r="U205" s="120"/>
      <c r="V205" s="120"/>
    </row>
    <row r="206" spans="1:22">
      <c r="A206" s="185" t="s">
        <v>467</v>
      </c>
      <c r="B206" s="182">
        <v>0</v>
      </c>
      <c r="C206" s="182">
        <v>0</v>
      </c>
      <c r="D206" s="184">
        <v>0</v>
      </c>
      <c r="E206" s="124">
        <v>0</v>
      </c>
      <c r="F206" s="124">
        <v>0</v>
      </c>
      <c r="G206" s="124">
        <v>0</v>
      </c>
      <c r="H206" s="124">
        <v>0</v>
      </c>
      <c r="I206" s="124">
        <v>0</v>
      </c>
      <c r="J206" s="124">
        <v>0</v>
      </c>
      <c r="K206" s="124">
        <v>0</v>
      </c>
      <c r="L206" s="124">
        <v>0</v>
      </c>
      <c r="M206" s="124">
        <v>0</v>
      </c>
      <c r="N206" s="124">
        <v>220.52</v>
      </c>
      <c r="O206" s="124">
        <v>220.52</v>
      </c>
      <c r="Q206" s="122"/>
      <c r="R206" s="122"/>
      <c r="U206" s="120"/>
      <c r="V206" s="120"/>
    </row>
    <row r="207" spans="1:22">
      <c r="A207" s="183"/>
      <c r="B207" s="152"/>
      <c r="C207" s="152"/>
      <c r="D207" s="124"/>
      <c r="F207" s="124"/>
      <c r="G207" s="124"/>
      <c r="H207" s="124"/>
      <c r="Q207" s="122"/>
      <c r="R207" s="122"/>
      <c r="U207" s="120"/>
      <c r="V207" s="120"/>
    </row>
    <row r="208" spans="1:22">
      <c r="A208" s="135" t="s">
        <v>466</v>
      </c>
      <c r="B208" s="182">
        <f>+B112</f>
        <v>-70.19552429999996</v>
      </c>
      <c r="C208" s="182">
        <f t="shared" ref="C208:M208" si="48">+C112</f>
        <v>-64.390869999999978</v>
      </c>
      <c r="D208" s="182" t="e">
        <f t="shared" si="48"/>
        <v>#REF!</v>
      </c>
      <c r="E208" s="182" t="e">
        <f t="shared" si="48"/>
        <v>#REF!</v>
      </c>
      <c r="F208" s="182" t="e">
        <f t="shared" si="48"/>
        <v>#REF!</v>
      </c>
      <c r="G208" s="182" t="e">
        <f t="shared" si="48"/>
        <v>#REF!</v>
      </c>
      <c r="H208" s="182" t="e">
        <f t="shared" si="48"/>
        <v>#REF!</v>
      </c>
      <c r="I208" s="184" t="e">
        <f t="shared" si="48"/>
        <v>#REF!</v>
      </c>
      <c r="J208" s="184" t="e">
        <f t="shared" si="48"/>
        <v>#REF!</v>
      </c>
      <c r="K208" s="184" t="e">
        <f t="shared" si="48"/>
        <v>#REF!</v>
      </c>
      <c r="L208" s="184" t="e">
        <f t="shared" si="48"/>
        <v>#REF!</v>
      </c>
      <c r="M208" s="184" t="e">
        <f t="shared" si="48"/>
        <v>#REF!</v>
      </c>
      <c r="Q208" s="122"/>
      <c r="R208" s="122"/>
      <c r="U208" s="120"/>
      <c r="V208" s="120"/>
    </row>
    <row r="209" spans="1:22">
      <c r="A209" s="126"/>
      <c r="B209" s="152"/>
      <c r="C209" s="152"/>
      <c r="D209" s="124"/>
      <c r="F209" s="124"/>
      <c r="G209" s="124"/>
      <c r="H209" s="124"/>
      <c r="Q209" s="122"/>
      <c r="U209" s="120"/>
      <c r="V209" s="120"/>
    </row>
    <row r="210" spans="1:22">
      <c r="A210" s="135" t="s">
        <v>465</v>
      </c>
      <c r="B210" s="144">
        <f t="shared" ref="B210:O210" si="49">SUM(B198:B208)</f>
        <v>-116.54008269999997</v>
      </c>
      <c r="C210" s="144">
        <f t="shared" si="49"/>
        <v>-180.96095269999992</v>
      </c>
      <c r="D210" s="134" t="e">
        <f t="shared" si="49"/>
        <v>#REF!</v>
      </c>
      <c r="E210" s="134" t="e">
        <f t="shared" si="49"/>
        <v>#REF!</v>
      </c>
      <c r="F210" s="134" t="e">
        <f t="shared" si="49"/>
        <v>#REF!</v>
      </c>
      <c r="G210" s="134" t="e">
        <f t="shared" si="49"/>
        <v>#REF!</v>
      </c>
      <c r="H210" s="134" t="e">
        <f t="shared" si="49"/>
        <v>#REF!</v>
      </c>
      <c r="I210" s="134" t="e">
        <f t="shared" si="49"/>
        <v>#REF!</v>
      </c>
      <c r="J210" s="134" t="e">
        <f t="shared" si="49"/>
        <v>#REF!</v>
      </c>
      <c r="K210" s="134" t="e">
        <f t="shared" si="49"/>
        <v>#REF!</v>
      </c>
      <c r="L210" s="134" t="e">
        <f t="shared" si="49"/>
        <v>#REF!</v>
      </c>
      <c r="M210" s="134" t="e">
        <f>SUM(M198:M208)</f>
        <v>#REF!</v>
      </c>
      <c r="N210" s="134" t="e">
        <f t="shared" si="49"/>
        <v>#REF!</v>
      </c>
      <c r="O210" s="134" t="e">
        <f t="shared" si="49"/>
        <v>#REF!</v>
      </c>
      <c r="Q210" s="122"/>
      <c r="U210" s="120"/>
      <c r="V210" s="120"/>
    </row>
    <row r="211" spans="1:22">
      <c r="A211" s="138"/>
      <c r="B211" s="152"/>
      <c r="C211" s="152"/>
      <c r="D211" s="124"/>
      <c r="F211" s="124"/>
      <c r="G211" s="124"/>
      <c r="H211" s="124"/>
      <c r="Q211" s="122"/>
      <c r="U211" s="120"/>
      <c r="V211" s="120"/>
    </row>
    <row r="212" spans="1:22">
      <c r="A212" s="135" t="s">
        <v>464</v>
      </c>
      <c r="B212" s="144">
        <f t="shared" ref="B212:O212" si="50">B192+B210+B166</f>
        <v>1179.0797987999999</v>
      </c>
      <c r="C212" s="144">
        <f t="shared" si="50"/>
        <v>1142.8934239</v>
      </c>
      <c r="D212" s="134" t="e">
        <f t="shared" si="50"/>
        <v>#REF!</v>
      </c>
      <c r="E212" s="134" t="e">
        <f t="shared" si="50"/>
        <v>#REF!</v>
      </c>
      <c r="F212" s="134" t="e">
        <f t="shared" si="50"/>
        <v>#REF!</v>
      </c>
      <c r="G212" s="134" t="e">
        <f t="shared" si="50"/>
        <v>#REF!</v>
      </c>
      <c r="H212" s="134" t="e">
        <f t="shared" si="50"/>
        <v>#REF!</v>
      </c>
      <c r="I212" s="134" t="e">
        <f t="shared" si="50"/>
        <v>#REF!</v>
      </c>
      <c r="J212" s="134" t="e">
        <f t="shared" si="50"/>
        <v>#REF!</v>
      </c>
      <c r="K212" s="134" t="e">
        <f t="shared" si="50"/>
        <v>#REF!</v>
      </c>
      <c r="L212" s="134" t="e">
        <f t="shared" si="50"/>
        <v>#REF!</v>
      </c>
      <c r="M212" s="134" t="e">
        <f>M192+M210+M166</f>
        <v>#REF!</v>
      </c>
      <c r="N212" s="134" t="e">
        <f t="shared" si="50"/>
        <v>#REF!</v>
      </c>
      <c r="O212" s="134" t="e">
        <f t="shared" si="50"/>
        <v>#REF!</v>
      </c>
      <c r="Q212" s="122"/>
      <c r="U212" s="120"/>
      <c r="V212" s="120"/>
    </row>
    <row r="213" spans="1:22">
      <c r="A213" s="126"/>
      <c r="Q213" s="122"/>
    </row>
    <row r="214" spans="1:22">
      <c r="A214" s="126"/>
      <c r="Q214" s="122"/>
    </row>
    <row r="215" spans="1:22" s="143" customFormat="1">
      <c r="A215" s="120"/>
      <c r="B215" s="126"/>
      <c r="C215" s="125"/>
      <c r="D215" s="125"/>
      <c r="E215" s="125"/>
      <c r="F215" s="125"/>
      <c r="G215" s="125"/>
      <c r="H215" s="125"/>
      <c r="I215" s="123"/>
      <c r="J215" s="123"/>
      <c r="K215" s="123"/>
      <c r="L215" s="123"/>
      <c r="M215" s="123"/>
      <c r="N215" s="125"/>
      <c r="O215" s="125"/>
      <c r="P215" s="131"/>
      <c r="Q215" s="130"/>
      <c r="R215" s="131"/>
      <c r="S215" s="131"/>
      <c r="T215" s="131"/>
      <c r="U215" s="131"/>
      <c r="V215" s="131"/>
    </row>
    <row r="216" spans="1:22">
      <c r="C216" s="122"/>
      <c r="D216" s="122"/>
      <c r="E216" s="122"/>
      <c r="F216" s="122"/>
      <c r="G216" s="122"/>
      <c r="H216" s="122"/>
      <c r="J216" s="122"/>
      <c r="K216" s="122"/>
      <c r="L216" s="122"/>
      <c r="M216" s="122"/>
      <c r="N216" s="122"/>
      <c r="O216" s="122"/>
      <c r="Q216" s="122"/>
    </row>
    <row r="217" spans="1:22" ht="15.75">
      <c r="A217" s="888" t="s">
        <v>463</v>
      </c>
      <c r="B217" s="888"/>
      <c r="C217" s="888"/>
      <c r="D217" s="888"/>
      <c r="E217" s="888"/>
      <c r="F217" s="172"/>
      <c r="G217" s="121"/>
      <c r="H217" s="121"/>
      <c r="Q217" s="122"/>
    </row>
    <row r="218" spans="1:22" ht="15.75">
      <c r="A218" s="888" t="s">
        <v>462</v>
      </c>
      <c r="B218" s="888"/>
      <c r="C218" s="888"/>
      <c r="D218" s="888"/>
      <c r="E218" s="888"/>
      <c r="F218" s="172"/>
      <c r="G218" s="121"/>
      <c r="H218" s="121"/>
      <c r="Q218" s="122"/>
    </row>
    <row r="219" spans="1:22">
      <c r="A219" s="891" t="s">
        <v>461</v>
      </c>
      <c r="B219" s="891"/>
      <c r="C219" s="891"/>
      <c r="D219" s="891"/>
      <c r="E219" s="891"/>
      <c r="F219" s="155"/>
      <c r="G219" s="121"/>
      <c r="H219" s="121"/>
      <c r="Q219" s="122"/>
    </row>
    <row r="220" spans="1:22">
      <c r="A220" s="126"/>
      <c r="E220" s="129"/>
      <c r="F220" s="129"/>
      <c r="G220" s="129"/>
      <c r="H220" s="129"/>
      <c r="Q220" s="122"/>
    </row>
    <row r="221" spans="1:22">
      <c r="A221" s="126"/>
      <c r="E221" s="127"/>
      <c r="F221" s="155"/>
      <c r="G221" s="155"/>
      <c r="H221" s="155"/>
      <c r="Q221" s="122"/>
    </row>
    <row r="222" spans="1:22">
      <c r="A222" s="126"/>
      <c r="B222" s="156" t="str">
        <f t="shared" ref="B222:G223" si="51">+B173</f>
        <v>31.03.12</v>
      </c>
      <c r="C222" s="156" t="str">
        <f t="shared" si="51"/>
        <v>31.03.13</v>
      </c>
      <c r="D222" s="140" t="str">
        <f t="shared" si="51"/>
        <v>31.03.14</v>
      </c>
      <c r="E222" s="134" t="str">
        <f t="shared" si="51"/>
        <v>31.03.15</v>
      </c>
      <c r="F222" s="140" t="str">
        <f t="shared" si="51"/>
        <v>31.03.16</v>
      </c>
      <c r="G222" s="140" t="str">
        <f t="shared" si="51"/>
        <v>31.03.17</v>
      </c>
      <c r="H222" s="140" t="s">
        <v>564</v>
      </c>
      <c r="I222" s="140" t="str">
        <f t="shared" ref="I222:O223" si="52">+I173</f>
        <v>31.03.19</v>
      </c>
      <c r="J222" s="140" t="str">
        <f t="shared" si="52"/>
        <v>31.03.20</v>
      </c>
      <c r="K222" s="140" t="str">
        <f t="shared" si="52"/>
        <v>31.03.21</v>
      </c>
      <c r="L222" s="140" t="str">
        <f t="shared" si="52"/>
        <v>31.03.22</v>
      </c>
      <c r="M222" s="140" t="str">
        <f>+M173</f>
        <v>31.03.23</v>
      </c>
      <c r="N222" s="140" t="str">
        <f t="shared" si="52"/>
        <v>31.03.20</v>
      </c>
      <c r="O222" s="140" t="str">
        <f t="shared" si="52"/>
        <v>31.03.21</v>
      </c>
      <c r="Q222" s="122"/>
    </row>
    <row r="223" spans="1:22">
      <c r="A223" s="135" t="s">
        <v>300</v>
      </c>
      <c r="B223" s="156" t="str">
        <f t="shared" si="51"/>
        <v>AUDITED</v>
      </c>
      <c r="C223" s="156" t="str">
        <f t="shared" si="51"/>
        <v>AUDITED</v>
      </c>
      <c r="D223" s="140" t="str">
        <f t="shared" si="51"/>
        <v>Prov.</v>
      </c>
      <c r="E223" s="134" t="str">
        <f t="shared" si="51"/>
        <v>Proj.</v>
      </c>
      <c r="F223" s="140" t="str">
        <f t="shared" si="51"/>
        <v>Proj.</v>
      </c>
      <c r="G223" s="140" t="str">
        <f t="shared" si="51"/>
        <v>Proj.</v>
      </c>
      <c r="H223" s="140" t="s">
        <v>277</v>
      </c>
      <c r="I223" s="140" t="str">
        <f t="shared" si="52"/>
        <v>Proj.</v>
      </c>
      <c r="J223" s="140" t="str">
        <f t="shared" si="52"/>
        <v>Proj.</v>
      </c>
      <c r="K223" s="140" t="str">
        <f t="shared" si="52"/>
        <v>Proj.</v>
      </c>
      <c r="L223" s="140" t="str">
        <f t="shared" si="52"/>
        <v>Proj.</v>
      </c>
      <c r="M223" s="140" t="str">
        <f>+M174</f>
        <v>Proj.</v>
      </c>
      <c r="N223" s="140" t="str">
        <f t="shared" si="52"/>
        <v>Proj.</v>
      </c>
      <c r="O223" s="140" t="str">
        <f t="shared" si="52"/>
        <v>Proj.</v>
      </c>
      <c r="Q223" s="122"/>
    </row>
    <row r="224" spans="1:22">
      <c r="A224" s="126"/>
      <c r="B224" s="892"/>
      <c r="C224" s="892"/>
      <c r="Q224" s="122"/>
    </row>
    <row r="225" spans="1:22">
      <c r="A225" s="126"/>
      <c r="Q225" s="122"/>
    </row>
    <row r="226" spans="1:22">
      <c r="A226" s="135"/>
      <c r="B226" s="181"/>
      <c r="C226" s="181"/>
      <c r="D226" s="179"/>
      <c r="E226" s="180"/>
      <c r="F226" s="179"/>
      <c r="G226" s="179"/>
      <c r="H226" s="179"/>
      <c r="Q226" s="122"/>
    </row>
    <row r="227" spans="1:22">
      <c r="A227" s="126"/>
      <c r="Q227" s="122"/>
    </row>
    <row r="228" spans="1:22" ht="15.75">
      <c r="A228" s="178" t="s">
        <v>460</v>
      </c>
      <c r="B228" s="152"/>
      <c r="C228" s="152"/>
      <c r="D228" s="124"/>
      <c r="F228" s="124"/>
      <c r="G228" s="124"/>
      <c r="H228" s="124"/>
      <c r="Q228" s="122"/>
    </row>
    <row r="229" spans="1:22" s="143" customFormat="1">
      <c r="A229" s="126"/>
      <c r="B229" s="152"/>
      <c r="C229" s="152"/>
      <c r="D229" s="124"/>
      <c r="E229" s="124"/>
      <c r="F229" s="124"/>
      <c r="G229" s="124"/>
      <c r="H229" s="124"/>
      <c r="I229" s="131"/>
      <c r="J229" s="131"/>
      <c r="K229" s="131"/>
      <c r="L229" s="131"/>
      <c r="M229" s="131"/>
      <c r="N229" s="131"/>
      <c r="O229" s="131"/>
      <c r="P229" s="131"/>
      <c r="Q229" s="130"/>
      <c r="R229" s="131"/>
      <c r="S229" s="131"/>
      <c r="T229" s="131"/>
      <c r="U229" s="131"/>
      <c r="V229" s="131"/>
    </row>
    <row r="230" spans="1:22">
      <c r="A230" s="135" t="s">
        <v>459</v>
      </c>
      <c r="B230" s="152"/>
      <c r="C230" s="152"/>
      <c r="D230" s="124"/>
      <c r="F230" s="124"/>
      <c r="G230" s="124"/>
      <c r="H230" s="124"/>
      <c r="Q230" s="122"/>
    </row>
    <row r="231" spans="1:22">
      <c r="A231" s="135"/>
      <c r="B231" s="124">
        <f>B305</f>
        <v>0</v>
      </c>
      <c r="C231" s="124">
        <f t="shared" ref="C231:I231" si="53">C305</f>
        <v>0</v>
      </c>
      <c r="D231" s="124" t="e">
        <f t="shared" si="53"/>
        <v>#REF!</v>
      </c>
      <c r="E231" s="124" t="e">
        <f t="shared" si="53"/>
        <v>#REF!</v>
      </c>
      <c r="F231" s="124" t="e">
        <f t="shared" si="53"/>
        <v>#REF!</v>
      </c>
      <c r="G231" s="124" t="e">
        <f t="shared" si="53"/>
        <v>#REF!</v>
      </c>
      <c r="H231" s="124" t="e">
        <f t="shared" si="53"/>
        <v>#REF!</v>
      </c>
      <c r="I231" s="124" t="e">
        <f t="shared" si="53"/>
        <v>#REF!</v>
      </c>
      <c r="J231" s="124" t="e">
        <f>J305</f>
        <v>#REF!</v>
      </c>
      <c r="K231" s="124" t="e">
        <f>K305</f>
        <v>#REF!</v>
      </c>
      <c r="L231" s="124" t="e">
        <f>L305</f>
        <v>#REF!</v>
      </c>
      <c r="M231" s="124" t="e">
        <f>M305</f>
        <v>#REF!</v>
      </c>
      <c r="Q231" s="122"/>
    </row>
    <row r="232" spans="1:22">
      <c r="A232" s="135" t="s">
        <v>458</v>
      </c>
      <c r="B232" s="152">
        <v>25.460458799999969</v>
      </c>
      <c r="C232" s="152">
        <v>1.9148338000002241</v>
      </c>
      <c r="D232" s="124">
        <v>20.852518174999886</v>
      </c>
      <c r="E232" s="124">
        <v>61.534710609249942</v>
      </c>
      <c r="F232" s="124">
        <v>82.431179527812674</v>
      </c>
      <c r="G232" s="124">
        <v>78.776815659886779</v>
      </c>
      <c r="H232" s="124">
        <v>69.729728879932281</v>
      </c>
      <c r="I232" s="124">
        <v>82.691307235128079</v>
      </c>
      <c r="J232" s="124">
        <v>83.529898779796895</v>
      </c>
      <c r="K232" s="124">
        <v>126.67302591656426</v>
      </c>
      <c r="L232" s="124">
        <v>193.75046071335146</v>
      </c>
      <c r="M232" s="124">
        <v>283.74531562670109</v>
      </c>
      <c r="N232" s="124">
        <v>20</v>
      </c>
      <c r="O232" s="124">
        <v>20</v>
      </c>
      <c r="Q232" s="122"/>
    </row>
    <row r="233" spans="1:22">
      <c r="A233" s="135"/>
      <c r="B233" s="152"/>
      <c r="C233" s="152"/>
      <c r="D233" s="124"/>
      <c r="F233" s="124"/>
      <c r="G233" s="124"/>
      <c r="H233" s="124"/>
      <c r="Q233" s="122"/>
    </row>
    <row r="234" spans="1:22">
      <c r="A234" s="135" t="s">
        <v>457</v>
      </c>
      <c r="B234" s="152">
        <f>+B235+B236</f>
        <v>2.8569200000000001</v>
      </c>
      <c r="C234" s="152">
        <f>+C235+C236</f>
        <v>3.1172300000000002</v>
      </c>
      <c r="D234" s="124">
        <f>+D235+D236</f>
        <v>3.5</v>
      </c>
      <c r="E234" s="124">
        <f>+E235+E236</f>
        <v>4.5</v>
      </c>
      <c r="F234" s="124">
        <f t="shared" ref="F234:M234" si="54">+F235+F236</f>
        <v>5.5</v>
      </c>
      <c r="G234" s="124">
        <f t="shared" si="54"/>
        <v>20.5</v>
      </c>
      <c r="H234" s="124">
        <f t="shared" si="54"/>
        <v>30.5</v>
      </c>
      <c r="I234" s="124">
        <f t="shared" si="54"/>
        <v>280.5</v>
      </c>
      <c r="J234" s="124">
        <f t="shared" si="54"/>
        <v>550</v>
      </c>
      <c r="K234" s="124">
        <f t="shared" si="54"/>
        <v>750</v>
      </c>
      <c r="L234" s="124">
        <f t="shared" si="54"/>
        <v>1150</v>
      </c>
      <c r="M234" s="124">
        <f t="shared" si="54"/>
        <v>1750</v>
      </c>
      <c r="Q234" s="122"/>
    </row>
    <row r="235" spans="1:22">
      <c r="A235" s="126" t="s">
        <v>456</v>
      </c>
      <c r="B235" s="152"/>
      <c r="C235" s="152">
        <v>0</v>
      </c>
      <c r="D235" s="124">
        <v>0</v>
      </c>
      <c r="E235" s="124">
        <v>0</v>
      </c>
      <c r="F235" s="124"/>
      <c r="Q235" s="122"/>
    </row>
    <row r="236" spans="1:22">
      <c r="A236" s="126" t="s">
        <v>455</v>
      </c>
      <c r="B236" s="152">
        <f>285692/100000</f>
        <v>2.8569200000000001</v>
      </c>
      <c r="C236" s="263">
        <f>311723/100000</f>
        <v>3.1172300000000002</v>
      </c>
      <c r="D236" s="124">
        <v>3.5</v>
      </c>
      <c r="E236" s="124">
        <f>D236+1</f>
        <v>4.5</v>
      </c>
      <c r="F236" s="124">
        <f>E236+1</f>
        <v>5.5</v>
      </c>
      <c r="G236" s="124">
        <f>F236+15</f>
        <v>20.5</v>
      </c>
      <c r="H236" s="124">
        <f>G236+10</f>
        <v>30.5</v>
      </c>
      <c r="I236" s="124">
        <f>H236+250</f>
        <v>280.5</v>
      </c>
      <c r="J236" s="124">
        <f>I236+269.5</f>
        <v>550</v>
      </c>
      <c r="K236" s="124">
        <f>J236+200</f>
        <v>750</v>
      </c>
      <c r="L236" s="124">
        <f>K236+400</f>
        <v>1150</v>
      </c>
      <c r="M236" s="124">
        <f>L236+600</f>
        <v>1750</v>
      </c>
      <c r="N236" s="124"/>
      <c r="O236" s="124"/>
      <c r="Q236" s="122"/>
    </row>
    <row r="237" spans="1:22">
      <c r="A237" s="126"/>
      <c r="B237" s="152"/>
      <c r="C237" s="152"/>
      <c r="D237" s="124"/>
      <c r="F237" s="124"/>
      <c r="G237" s="124"/>
      <c r="H237" s="124"/>
      <c r="Q237" s="122"/>
    </row>
    <row r="238" spans="1:22">
      <c r="A238" s="135" t="s">
        <v>454</v>
      </c>
      <c r="B238" s="152">
        <f t="shared" ref="B238:O238" si="55">+B239+B241</f>
        <v>0</v>
      </c>
      <c r="C238" s="152">
        <f t="shared" si="55"/>
        <v>0</v>
      </c>
      <c r="D238" s="124">
        <f t="shared" si="55"/>
        <v>0</v>
      </c>
      <c r="E238" s="124">
        <f t="shared" si="55"/>
        <v>0</v>
      </c>
      <c r="F238" s="124">
        <f t="shared" si="55"/>
        <v>0</v>
      </c>
      <c r="G238" s="124">
        <f t="shared" si="55"/>
        <v>0</v>
      </c>
      <c r="H238" s="124">
        <f t="shared" si="55"/>
        <v>0</v>
      </c>
      <c r="I238" s="124">
        <f t="shared" si="55"/>
        <v>0</v>
      </c>
      <c r="J238" s="124">
        <f t="shared" si="55"/>
        <v>0</v>
      </c>
      <c r="K238" s="124">
        <f t="shared" si="55"/>
        <v>0</v>
      </c>
      <c r="L238" s="124">
        <f t="shared" si="55"/>
        <v>0</v>
      </c>
      <c r="M238" s="124">
        <f>+M239+M241</f>
        <v>0</v>
      </c>
      <c r="N238" s="124">
        <f t="shared" si="55"/>
        <v>2225.77</v>
      </c>
      <c r="O238" s="124">
        <f t="shared" si="55"/>
        <v>2225.77</v>
      </c>
      <c r="P238" s="122"/>
      <c r="Q238" s="122"/>
    </row>
    <row r="239" spans="1:22">
      <c r="A239" s="126" t="s">
        <v>453</v>
      </c>
      <c r="B239" s="152">
        <v>0</v>
      </c>
      <c r="C239" s="152">
        <v>0</v>
      </c>
      <c r="D239" s="124">
        <v>0</v>
      </c>
      <c r="E239" s="124">
        <v>0</v>
      </c>
      <c r="F239" s="124">
        <v>0</v>
      </c>
      <c r="G239" s="124">
        <v>0</v>
      </c>
      <c r="H239" s="124">
        <v>0</v>
      </c>
      <c r="I239" s="124">
        <v>0</v>
      </c>
      <c r="J239" s="124">
        <v>0</v>
      </c>
      <c r="K239" s="124">
        <v>0</v>
      </c>
      <c r="L239" s="124">
        <v>0</v>
      </c>
      <c r="M239" s="124">
        <v>0</v>
      </c>
      <c r="N239" s="124">
        <v>2225.77</v>
      </c>
      <c r="O239" s="124">
        <v>2225.77</v>
      </c>
      <c r="Q239" s="122"/>
      <c r="R239" s="122"/>
      <c r="S239" s="122"/>
      <c r="T239" s="122"/>
      <c r="U239" s="122"/>
    </row>
    <row r="240" spans="1:22">
      <c r="A240" s="126" t="s">
        <v>452</v>
      </c>
      <c r="B240" s="152"/>
      <c r="C240" s="152">
        <v>0</v>
      </c>
      <c r="D240" s="124"/>
      <c r="F240" s="124"/>
      <c r="G240" s="124"/>
      <c r="H240" s="124"/>
      <c r="Q240" s="122"/>
      <c r="S240" s="122"/>
      <c r="T240" s="122"/>
    </row>
    <row r="241" spans="1:22">
      <c r="A241" s="126" t="s">
        <v>451</v>
      </c>
      <c r="B241" s="152">
        <v>0</v>
      </c>
      <c r="C241" s="152"/>
      <c r="D241" s="124"/>
      <c r="F241" s="124"/>
      <c r="G241" s="124"/>
      <c r="H241" s="124"/>
      <c r="Q241" s="122"/>
      <c r="R241" s="122"/>
      <c r="S241" s="122"/>
      <c r="T241" s="122"/>
    </row>
    <row r="242" spans="1:22">
      <c r="A242" s="126" t="s">
        <v>450</v>
      </c>
      <c r="B242" s="152"/>
      <c r="C242" s="152"/>
      <c r="D242" s="124"/>
      <c r="F242" s="124"/>
      <c r="G242" s="124"/>
      <c r="H242" s="124"/>
      <c r="Q242" s="122"/>
    </row>
    <row r="243" spans="1:22">
      <c r="A243" s="126"/>
      <c r="B243" s="152"/>
      <c r="C243" s="152"/>
      <c r="D243" s="124"/>
      <c r="F243" s="124"/>
      <c r="G243" s="124"/>
      <c r="H243" s="124"/>
      <c r="Q243" s="122"/>
    </row>
    <row r="244" spans="1:22">
      <c r="A244" s="135" t="s">
        <v>449</v>
      </c>
      <c r="B244" s="152"/>
      <c r="C244" s="152">
        <v>0</v>
      </c>
      <c r="D244" s="124">
        <v>0</v>
      </c>
      <c r="E244" s="124">
        <v>0</v>
      </c>
      <c r="F244" s="124"/>
      <c r="G244" s="124"/>
      <c r="H244" s="124"/>
      <c r="Q244" s="122"/>
    </row>
    <row r="245" spans="1:22">
      <c r="A245" s="126" t="s">
        <v>448</v>
      </c>
      <c r="B245" s="152"/>
      <c r="C245" s="152"/>
      <c r="D245" s="124"/>
      <c r="F245" s="124"/>
      <c r="G245" s="124"/>
      <c r="H245" s="124"/>
      <c r="Q245" s="122"/>
      <c r="V245" s="120"/>
    </row>
    <row r="246" spans="1:22">
      <c r="A246" s="126"/>
      <c r="B246" s="152"/>
      <c r="C246" s="152"/>
      <c r="D246" s="124"/>
      <c r="F246" s="124"/>
      <c r="G246" s="124"/>
      <c r="H246" s="124"/>
      <c r="P246" s="122"/>
      <c r="Q246" s="122"/>
      <c r="V246" s="120"/>
    </row>
    <row r="247" spans="1:22">
      <c r="A247" s="135" t="s">
        <v>447</v>
      </c>
      <c r="B247" s="152">
        <f t="shared" ref="B247:O247" si="56">+B248+B253+B255+B257</f>
        <v>0</v>
      </c>
      <c r="C247" s="152">
        <f t="shared" si="56"/>
        <v>0</v>
      </c>
      <c r="D247" s="124">
        <f t="shared" si="56"/>
        <v>0</v>
      </c>
      <c r="E247" s="124">
        <f t="shared" si="56"/>
        <v>0</v>
      </c>
      <c r="F247" s="124">
        <f t="shared" si="56"/>
        <v>0</v>
      </c>
      <c r="G247" s="152">
        <f t="shared" si="56"/>
        <v>0</v>
      </c>
      <c r="H247" s="152">
        <f t="shared" si="56"/>
        <v>0</v>
      </c>
      <c r="I247" s="124">
        <f t="shared" si="56"/>
        <v>0</v>
      </c>
      <c r="J247" s="124">
        <f t="shared" si="56"/>
        <v>0</v>
      </c>
      <c r="K247" s="124">
        <f t="shared" si="56"/>
        <v>0</v>
      </c>
      <c r="L247" s="124">
        <f t="shared" si="56"/>
        <v>0</v>
      </c>
      <c r="M247" s="124">
        <f>+M248+M253+M255+M257</f>
        <v>0</v>
      </c>
      <c r="N247" s="152" t="e">
        <f t="shared" si="56"/>
        <v>#REF!</v>
      </c>
      <c r="O247" s="152" t="e">
        <f t="shared" si="56"/>
        <v>#REF!</v>
      </c>
      <c r="P247" s="122"/>
      <c r="Q247" s="122"/>
      <c r="V247" s="120"/>
    </row>
    <row r="248" spans="1:22">
      <c r="A248" s="126" t="s">
        <v>446</v>
      </c>
      <c r="B248" s="152">
        <f t="shared" ref="B248:O248" si="57">+B250+B251</f>
        <v>0</v>
      </c>
      <c r="C248" s="152">
        <f t="shared" si="57"/>
        <v>0</v>
      </c>
      <c r="D248" s="124">
        <f t="shared" si="57"/>
        <v>0</v>
      </c>
      <c r="E248" s="124">
        <f t="shared" si="57"/>
        <v>0</v>
      </c>
      <c r="F248" s="124">
        <f t="shared" si="57"/>
        <v>0</v>
      </c>
      <c r="G248" s="124">
        <f t="shared" si="57"/>
        <v>0</v>
      </c>
      <c r="H248" s="124">
        <f t="shared" si="57"/>
        <v>0</v>
      </c>
      <c r="I248" s="124">
        <f t="shared" si="57"/>
        <v>0</v>
      </c>
      <c r="J248" s="124">
        <f t="shared" si="57"/>
        <v>0</v>
      </c>
      <c r="K248" s="124">
        <f t="shared" si="57"/>
        <v>0</v>
      </c>
      <c r="L248" s="124">
        <f t="shared" si="57"/>
        <v>0</v>
      </c>
      <c r="M248" s="124">
        <f>+M250+M251</f>
        <v>0</v>
      </c>
      <c r="N248" s="124" t="e">
        <f t="shared" si="57"/>
        <v>#REF!</v>
      </c>
      <c r="O248" s="124" t="e">
        <f t="shared" si="57"/>
        <v>#REF!</v>
      </c>
      <c r="P248" s="122"/>
      <c r="Q248" s="122"/>
      <c r="R248" s="122"/>
      <c r="S248" s="122"/>
      <c r="T248" s="122"/>
      <c r="U248" s="122"/>
      <c r="V248" s="120"/>
    </row>
    <row r="249" spans="1:22">
      <c r="A249" s="126" t="s">
        <v>445</v>
      </c>
      <c r="B249" s="152"/>
      <c r="C249" s="152"/>
      <c r="D249" s="124"/>
      <c r="F249" s="124"/>
      <c r="G249" s="124"/>
      <c r="H249" s="124"/>
      <c r="I249" s="124"/>
      <c r="J249" s="124"/>
      <c r="K249" s="124"/>
      <c r="L249" s="124"/>
      <c r="M249" s="124"/>
      <c r="N249" s="124"/>
      <c r="O249" s="124"/>
      <c r="P249" s="122"/>
      <c r="Q249" s="122"/>
      <c r="R249" s="122"/>
      <c r="V249" s="120"/>
    </row>
    <row r="250" spans="1:22">
      <c r="A250" s="126" t="s">
        <v>441</v>
      </c>
      <c r="B250" s="152">
        <v>0</v>
      </c>
      <c r="C250" s="152">
        <v>0</v>
      </c>
      <c r="D250" s="124">
        <v>0</v>
      </c>
      <c r="F250" s="124"/>
      <c r="G250" s="124">
        <f>+G34/6</f>
        <v>0</v>
      </c>
      <c r="H250" s="124"/>
      <c r="I250" s="124">
        <f t="shared" ref="I250:O250" si="58">+I34/6</f>
        <v>0</v>
      </c>
      <c r="J250" s="124">
        <f t="shared" si="58"/>
        <v>0</v>
      </c>
      <c r="K250" s="124">
        <f t="shared" si="58"/>
        <v>0</v>
      </c>
      <c r="L250" s="124">
        <f t="shared" si="58"/>
        <v>0</v>
      </c>
      <c r="M250" s="124">
        <f>+M34/6</f>
        <v>0</v>
      </c>
      <c r="N250" s="124" t="e">
        <f t="shared" si="58"/>
        <v>#REF!</v>
      </c>
      <c r="O250" s="124" t="e">
        <f t="shared" si="58"/>
        <v>#REF!</v>
      </c>
      <c r="P250" s="124"/>
      <c r="Q250" s="122"/>
      <c r="R250" s="122"/>
      <c r="S250" s="122"/>
      <c r="T250" s="122"/>
      <c r="V250" s="120"/>
    </row>
    <row r="251" spans="1:22">
      <c r="A251" s="126" t="s">
        <v>440</v>
      </c>
      <c r="B251" s="152">
        <v>0</v>
      </c>
      <c r="C251" s="152">
        <v>0</v>
      </c>
      <c r="D251" s="124">
        <v>0</v>
      </c>
      <c r="E251" s="124">
        <v>0</v>
      </c>
      <c r="F251" s="124">
        <v>0</v>
      </c>
      <c r="G251" s="124">
        <v>0</v>
      </c>
      <c r="H251" s="124">
        <v>0</v>
      </c>
      <c r="I251" s="124">
        <v>0</v>
      </c>
      <c r="J251" s="124">
        <v>0</v>
      </c>
      <c r="K251" s="124">
        <v>0</v>
      </c>
      <c r="L251" s="124">
        <v>0</v>
      </c>
      <c r="M251" s="124">
        <v>0</v>
      </c>
      <c r="N251" s="124">
        <f>+M251</f>
        <v>0</v>
      </c>
      <c r="O251" s="124">
        <f>+N251</f>
        <v>0</v>
      </c>
      <c r="Q251" s="122"/>
      <c r="R251" s="122"/>
      <c r="S251" s="122"/>
      <c r="T251" s="122"/>
      <c r="V251" s="120"/>
    </row>
    <row r="252" spans="1:22">
      <c r="A252" s="126"/>
      <c r="B252" s="152"/>
      <c r="C252" s="152"/>
      <c r="D252" s="124"/>
      <c r="F252" s="124"/>
      <c r="G252" s="124"/>
      <c r="H252" s="124"/>
      <c r="I252" s="124"/>
      <c r="J252" s="124"/>
      <c r="K252" s="124"/>
      <c r="L252" s="124"/>
      <c r="M252" s="124"/>
      <c r="N252" s="124"/>
      <c r="O252" s="124"/>
      <c r="P252" s="122"/>
      <c r="Q252" s="122"/>
      <c r="R252" s="122"/>
      <c r="V252" s="120"/>
    </row>
    <row r="253" spans="1:22">
      <c r="A253" s="138" t="s">
        <v>444</v>
      </c>
      <c r="B253" s="152">
        <f t="shared" ref="B253:O253" si="59">+B63</f>
        <v>0</v>
      </c>
      <c r="C253" s="152">
        <f t="shared" si="59"/>
        <v>0</v>
      </c>
      <c r="D253" s="124">
        <f t="shared" si="59"/>
        <v>0</v>
      </c>
      <c r="E253" s="124">
        <f t="shared" si="59"/>
        <v>0</v>
      </c>
      <c r="F253" s="124">
        <f t="shared" si="59"/>
        <v>0</v>
      </c>
      <c r="G253" s="152">
        <f t="shared" si="59"/>
        <v>0</v>
      </c>
      <c r="H253" s="152">
        <f t="shared" si="59"/>
        <v>0</v>
      </c>
      <c r="I253" s="124">
        <f t="shared" si="59"/>
        <v>0</v>
      </c>
      <c r="J253" s="124">
        <f t="shared" si="59"/>
        <v>0</v>
      </c>
      <c r="K253" s="124">
        <f t="shared" si="59"/>
        <v>0</v>
      </c>
      <c r="L253" s="124">
        <f t="shared" si="59"/>
        <v>0</v>
      </c>
      <c r="M253" s="124">
        <f>+M63</f>
        <v>0</v>
      </c>
      <c r="N253" s="152" t="e">
        <f t="shared" si="59"/>
        <v>#REF!</v>
      </c>
      <c r="O253" s="152">
        <f t="shared" si="59"/>
        <v>50</v>
      </c>
      <c r="Q253" s="122"/>
      <c r="R253" s="122"/>
      <c r="S253" s="122"/>
      <c r="T253" s="122"/>
      <c r="U253" s="122"/>
      <c r="V253" s="120"/>
    </row>
    <row r="254" spans="1:22">
      <c r="A254" s="135"/>
      <c r="B254" s="152"/>
      <c r="C254" s="152"/>
      <c r="D254" s="124"/>
      <c r="F254" s="124"/>
      <c r="G254" s="124"/>
      <c r="H254" s="124"/>
      <c r="I254" s="124"/>
      <c r="J254" s="124"/>
      <c r="K254" s="124"/>
      <c r="L254" s="124"/>
      <c r="M254" s="124"/>
      <c r="N254" s="124"/>
      <c r="O254" s="124"/>
      <c r="Q254" s="122"/>
      <c r="R254" s="122"/>
      <c r="T254" s="122"/>
      <c r="V254" s="120"/>
    </row>
    <row r="255" spans="1:22">
      <c r="A255" s="138" t="s">
        <v>443</v>
      </c>
      <c r="B255" s="152">
        <f t="shared" ref="B255:O255" si="60">+B71</f>
        <v>0</v>
      </c>
      <c r="C255" s="152">
        <f t="shared" si="60"/>
        <v>0</v>
      </c>
      <c r="D255" s="124">
        <f t="shared" si="60"/>
        <v>0</v>
      </c>
      <c r="E255" s="124">
        <f t="shared" si="60"/>
        <v>0</v>
      </c>
      <c r="F255" s="124">
        <f t="shared" si="60"/>
        <v>0</v>
      </c>
      <c r="G255" s="152">
        <f t="shared" si="60"/>
        <v>0</v>
      </c>
      <c r="H255" s="152">
        <f t="shared" si="60"/>
        <v>0</v>
      </c>
      <c r="I255" s="124">
        <f t="shared" si="60"/>
        <v>0</v>
      </c>
      <c r="J255" s="124">
        <f t="shared" si="60"/>
        <v>0</v>
      </c>
      <c r="K255" s="124">
        <f t="shared" si="60"/>
        <v>0</v>
      </c>
      <c r="L255" s="124">
        <f t="shared" si="60"/>
        <v>0</v>
      </c>
      <c r="M255" s="124">
        <f>+M71</f>
        <v>0</v>
      </c>
      <c r="N255" s="152" t="e">
        <f t="shared" si="60"/>
        <v>#REF!</v>
      </c>
      <c r="O255" s="152">
        <f t="shared" si="60"/>
        <v>404.85</v>
      </c>
      <c r="Q255" s="124"/>
      <c r="R255" s="124"/>
      <c r="S255" s="124"/>
      <c r="T255" s="124"/>
      <c r="U255" s="122"/>
      <c r="V255" s="120"/>
    </row>
    <row r="256" spans="1:22">
      <c r="A256" s="126"/>
      <c r="B256" s="152"/>
      <c r="C256" s="152"/>
      <c r="D256" s="124"/>
      <c r="F256" s="124"/>
      <c r="G256" s="124"/>
      <c r="H256" s="124"/>
      <c r="I256" s="124"/>
      <c r="J256" s="124"/>
      <c r="K256" s="124"/>
      <c r="L256" s="124"/>
      <c r="M256" s="124"/>
      <c r="N256" s="124"/>
      <c r="O256" s="124"/>
      <c r="Q256" s="122"/>
      <c r="R256" s="122"/>
      <c r="V256" s="120"/>
    </row>
    <row r="257" spans="1:22">
      <c r="A257" s="126" t="s">
        <v>442</v>
      </c>
      <c r="B257" s="152">
        <f t="shared" ref="B257:O257" si="61">+B258+B259</f>
        <v>0</v>
      </c>
      <c r="C257" s="124">
        <f t="shared" si="61"/>
        <v>0</v>
      </c>
      <c r="D257" s="124">
        <f t="shared" si="61"/>
        <v>0</v>
      </c>
      <c r="E257" s="124">
        <f t="shared" si="61"/>
        <v>0</v>
      </c>
      <c r="F257" s="124">
        <f t="shared" si="61"/>
        <v>0</v>
      </c>
      <c r="G257" s="124">
        <f t="shared" si="61"/>
        <v>0</v>
      </c>
      <c r="H257" s="124">
        <f t="shared" si="61"/>
        <v>0</v>
      </c>
      <c r="I257" s="124">
        <f t="shared" si="61"/>
        <v>0</v>
      </c>
      <c r="J257" s="124">
        <f t="shared" si="61"/>
        <v>0</v>
      </c>
      <c r="K257" s="124">
        <f t="shared" si="61"/>
        <v>0</v>
      </c>
      <c r="L257" s="124">
        <f t="shared" si="61"/>
        <v>0</v>
      </c>
      <c r="M257" s="124">
        <f>+M258+M259</f>
        <v>0</v>
      </c>
      <c r="N257" s="124">
        <f t="shared" si="61"/>
        <v>0</v>
      </c>
      <c r="O257" s="124">
        <f t="shared" si="61"/>
        <v>0</v>
      </c>
      <c r="Q257" s="122"/>
      <c r="R257" s="122"/>
      <c r="S257" s="122"/>
      <c r="T257" s="122"/>
      <c r="U257" s="122"/>
      <c r="V257" s="120"/>
    </row>
    <row r="258" spans="1:22">
      <c r="A258" s="126" t="s">
        <v>441</v>
      </c>
      <c r="B258" s="152"/>
      <c r="C258" s="152"/>
      <c r="D258" s="124"/>
      <c r="F258" s="124"/>
      <c r="G258" s="124"/>
      <c r="H258" s="124"/>
      <c r="I258" s="124"/>
      <c r="J258" s="124"/>
      <c r="K258" s="124"/>
      <c r="L258" s="124"/>
      <c r="M258" s="124"/>
      <c r="N258" s="124"/>
      <c r="O258" s="124"/>
      <c r="Q258" s="122"/>
      <c r="V258" s="120"/>
    </row>
    <row r="259" spans="1:22">
      <c r="A259" s="126" t="s">
        <v>440</v>
      </c>
      <c r="B259" s="152">
        <v>0</v>
      </c>
      <c r="C259" s="152">
        <v>0</v>
      </c>
      <c r="D259" s="124">
        <v>0</v>
      </c>
      <c r="E259" s="124">
        <v>0</v>
      </c>
      <c r="F259" s="124">
        <v>0</v>
      </c>
      <c r="G259" s="124">
        <v>0</v>
      </c>
      <c r="H259" s="124">
        <v>0</v>
      </c>
      <c r="I259" s="124">
        <v>0</v>
      </c>
      <c r="J259" s="124">
        <v>0</v>
      </c>
      <c r="K259" s="124">
        <v>0</v>
      </c>
      <c r="L259" s="124">
        <v>0</v>
      </c>
      <c r="M259" s="124">
        <v>0</v>
      </c>
      <c r="N259" s="124">
        <f>+M259</f>
        <v>0</v>
      </c>
      <c r="O259" s="124">
        <f>+N259</f>
        <v>0</v>
      </c>
      <c r="P259" s="124"/>
      <c r="Q259" s="122"/>
      <c r="R259" s="122"/>
      <c r="S259" s="122"/>
      <c r="T259" s="122"/>
      <c r="V259" s="120"/>
    </row>
    <row r="260" spans="1:22">
      <c r="A260" s="126"/>
      <c r="B260" s="152"/>
      <c r="C260" s="152"/>
      <c r="D260" s="124"/>
      <c r="F260" s="124"/>
      <c r="G260" s="124"/>
      <c r="H260" s="124"/>
      <c r="Q260" s="122"/>
      <c r="R260" s="122"/>
      <c r="V260" s="120"/>
    </row>
    <row r="261" spans="1:22">
      <c r="A261" s="135" t="s">
        <v>439</v>
      </c>
      <c r="B261" s="152">
        <f>66750/100000</f>
        <v>0.66749999999999998</v>
      </c>
      <c r="C261" s="124">
        <v>0</v>
      </c>
      <c r="D261" s="124">
        <v>0</v>
      </c>
      <c r="E261" s="124">
        <v>0</v>
      </c>
      <c r="F261" s="124">
        <v>0</v>
      </c>
      <c r="G261" s="124">
        <v>0</v>
      </c>
      <c r="H261" s="124">
        <v>0</v>
      </c>
      <c r="I261" s="124">
        <v>0</v>
      </c>
      <c r="J261" s="124">
        <v>0</v>
      </c>
      <c r="Q261" s="122"/>
      <c r="R261" s="122"/>
      <c r="S261" s="122"/>
      <c r="T261" s="122"/>
      <c r="U261" s="120"/>
      <c r="V261" s="120"/>
    </row>
    <row r="262" spans="1:22">
      <c r="A262" s="126" t="s">
        <v>438</v>
      </c>
      <c r="B262" s="152"/>
      <c r="C262" s="124"/>
      <c r="D262" s="124"/>
      <c r="F262" s="124"/>
      <c r="G262" s="124"/>
      <c r="H262" s="124"/>
      <c r="Q262" s="122"/>
      <c r="R262" s="122"/>
      <c r="S262" s="122"/>
      <c r="T262" s="122"/>
      <c r="U262" s="120"/>
      <c r="V262" s="120"/>
    </row>
    <row r="263" spans="1:22">
      <c r="A263" s="126"/>
      <c r="B263" s="152"/>
      <c r="C263" s="124"/>
      <c r="D263" s="124"/>
      <c r="F263" s="124"/>
      <c r="G263" s="124"/>
      <c r="H263" s="124"/>
      <c r="Q263" s="122"/>
      <c r="R263" s="122"/>
      <c r="S263" s="122"/>
      <c r="T263" s="122"/>
      <c r="U263" s="120"/>
      <c r="V263" s="120"/>
    </row>
    <row r="264" spans="1:22">
      <c r="A264" s="135" t="s">
        <v>436</v>
      </c>
      <c r="B264" s="124">
        <v>0</v>
      </c>
      <c r="C264" s="124">
        <v>0</v>
      </c>
      <c r="D264" s="124">
        <v>0</v>
      </c>
      <c r="E264" s="124">
        <v>0</v>
      </c>
      <c r="F264" s="124">
        <v>0</v>
      </c>
      <c r="G264" s="124">
        <v>0</v>
      </c>
      <c r="H264" s="124">
        <v>0</v>
      </c>
      <c r="I264" s="124">
        <v>0</v>
      </c>
      <c r="J264" s="124">
        <v>0</v>
      </c>
      <c r="K264" s="124"/>
      <c r="L264" s="124"/>
      <c r="M264" s="124"/>
      <c r="N264" s="124"/>
      <c r="O264" s="124"/>
      <c r="Q264" s="122"/>
      <c r="R264" s="122"/>
      <c r="S264" s="122"/>
      <c r="T264" s="122"/>
      <c r="U264" s="120"/>
      <c r="V264" s="120"/>
    </row>
    <row r="265" spans="1:22">
      <c r="A265" s="135"/>
      <c r="B265" s="124"/>
      <c r="C265" s="124"/>
      <c r="D265" s="124"/>
      <c r="F265" s="124"/>
      <c r="G265" s="124"/>
      <c r="H265" s="124"/>
      <c r="Q265" s="122"/>
      <c r="R265" s="122"/>
      <c r="S265" s="122"/>
      <c r="T265" s="122"/>
      <c r="U265" s="120"/>
      <c r="V265" s="120"/>
    </row>
    <row r="266" spans="1:22">
      <c r="A266" s="135" t="s">
        <v>435</v>
      </c>
      <c r="B266" s="124">
        <f>+(41767+246518+1336+105730)/100000</f>
        <v>3.9535100000000001</v>
      </c>
      <c r="C266" s="124">
        <f>+(336136+100000+105730+2894+8912)/100000</f>
        <v>5.5367199999999999</v>
      </c>
      <c r="D266" s="124">
        <v>6</v>
      </c>
      <c r="E266" s="124">
        <f>+D266+4</f>
        <v>10</v>
      </c>
      <c r="F266" s="124">
        <f>+E266+4</f>
        <v>14</v>
      </c>
      <c r="G266" s="124">
        <v>65</v>
      </c>
      <c r="H266" s="124">
        <v>100</v>
      </c>
      <c r="I266" s="124">
        <v>125</v>
      </c>
      <c r="J266" s="124">
        <f>+I266+50</f>
        <v>175</v>
      </c>
      <c r="K266" s="124">
        <f>+J266+50</f>
        <v>225</v>
      </c>
      <c r="L266" s="124">
        <f>+K266+50</f>
        <v>275</v>
      </c>
      <c r="M266" s="124">
        <f>+L266+50</f>
        <v>325</v>
      </c>
      <c r="N266" s="124">
        <v>50</v>
      </c>
      <c r="O266" s="124">
        <v>50</v>
      </c>
      <c r="Q266" s="122"/>
      <c r="R266" s="122"/>
      <c r="S266" s="122"/>
      <c r="T266" s="122"/>
      <c r="U266" s="120"/>
      <c r="V266" s="120"/>
    </row>
    <row r="267" spans="1:22">
      <c r="A267" s="126"/>
      <c r="B267" s="152"/>
      <c r="C267" s="152"/>
      <c r="D267" s="124"/>
      <c r="F267" s="124"/>
      <c r="G267" s="124"/>
      <c r="H267" s="124"/>
      <c r="Q267" s="122"/>
      <c r="S267" s="122"/>
      <c r="T267" s="122"/>
      <c r="U267" s="120"/>
      <c r="V267" s="120"/>
    </row>
    <row r="268" spans="1:22">
      <c r="A268" s="135" t="s">
        <v>434</v>
      </c>
      <c r="B268" s="144">
        <f t="shared" ref="B268:O268" si="62">+B266+B264+B261+B247+B238+B232+B234</f>
        <v>32.93838879999997</v>
      </c>
      <c r="C268" s="144">
        <f t="shared" si="62"/>
        <v>10.568783800000224</v>
      </c>
      <c r="D268" s="144">
        <f t="shared" si="62"/>
        <v>30.352518174999886</v>
      </c>
      <c r="E268" s="144">
        <f t="shared" si="62"/>
        <v>76.034710609249942</v>
      </c>
      <c r="F268" s="144">
        <f t="shared" si="62"/>
        <v>101.93117952781267</v>
      </c>
      <c r="G268" s="144">
        <f t="shared" si="62"/>
        <v>164.27681565988678</v>
      </c>
      <c r="H268" s="144">
        <f t="shared" si="62"/>
        <v>200.22972887993228</v>
      </c>
      <c r="I268" s="134">
        <f t="shared" si="62"/>
        <v>488.19130723512808</v>
      </c>
      <c r="J268" s="134">
        <f t="shared" si="62"/>
        <v>808.52989877979689</v>
      </c>
      <c r="K268" s="134">
        <f t="shared" si="62"/>
        <v>1101.6730259165643</v>
      </c>
      <c r="L268" s="134">
        <f t="shared" si="62"/>
        <v>1618.7504607133515</v>
      </c>
      <c r="M268" s="134">
        <f>+M266+M264+M261+M247+M238+M232+M234</f>
        <v>2358.7453156267011</v>
      </c>
      <c r="N268" s="144" t="e">
        <f t="shared" si="62"/>
        <v>#REF!</v>
      </c>
      <c r="O268" s="144" t="e">
        <f t="shared" si="62"/>
        <v>#REF!</v>
      </c>
      <c r="Q268" s="122"/>
      <c r="R268" s="122"/>
      <c r="S268" s="122"/>
      <c r="T268" s="122"/>
      <c r="U268" s="120"/>
      <c r="V268" s="120"/>
    </row>
    <row r="269" spans="1:22">
      <c r="A269" s="126"/>
      <c r="Q269" s="122"/>
      <c r="R269" s="122"/>
      <c r="S269" s="122"/>
      <c r="T269" s="122"/>
      <c r="U269" s="120"/>
      <c r="V269" s="120"/>
    </row>
    <row r="270" spans="1:22">
      <c r="Q270" s="122"/>
      <c r="R270" s="122"/>
      <c r="U270" s="120"/>
      <c r="V270" s="120"/>
    </row>
    <row r="271" spans="1:22">
      <c r="C271" s="173"/>
      <c r="E271" s="129"/>
      <c r="F271" s="129"/>
      <c r="G271" s="129"/>
      <c r="H271" s="129"/>
      <c r="Q271" s="122"/>
      <c r="R271" s="122"/>
      <c r="S271" s="122"/>
      <c r="T271" s="122"/>
      <c r="U271" s="120"/>
      <c r="V271" s="120"/>
    </row>
    <row r="272" spans="1:22">
      <c r="Q272" s="122"/>
      <c r="R272" s="122"/>
      <c r="S272" s="122"/>
      <c r="T272" s="122"/>
      <c r="U272" s="120"/>
      <c r="V272" s="120"/>
    </row>
    <row r="273" spans="1:22">
      <c r="A273" s="135" t="s">
        <v>300</v>
      </c>
      <c r="B273" s="156" t="str">
        <f t="shared" ref="B273:G274" si="63">+B222</f>
        <v>31.03.12</v>
      </c>
      <c r="C273" s="156" t="str">
        <f t="shared" si="63"/>
        <v>31.03.13</v>
      </c>
      <c r="D273" s="140" t="str">
        <f t="shared" si="63"/>
        <v>31.03.14</v>
      </c>
      <c r="E273" s="134" t="str">
        <f t="shared" si="63"/>
        <v>31.03.15</v>
      </c>
      <c r="F273" s="140" t="str">
        <f t="shared" si="63"/>
        <v>31.03.16</v>
      </c>
      <c r="G273" s="140" t="str">
        <f t="shared" si="63"/>
        <v>31.03.17</v>
      </c>
      <c r="H273" s="140" t="s">
        <v>278</v>
      </c>
      <c r="I273" s="140" t="str">
        <f t="shared" ref="I273:O274" si="64">+I222</f>
        <v>31.03.19</v>
      </c>
      <c r="J273" s="140" t="str">
        <f t="shared" si="64"/>
        <v>31.03.20</v>
      </c>
      <c r="K273" s="140" t="str">
        <f t="shared" si="64"/>
        <v>31.03.21</v>
      </c>
      <c r="L273" s="140" t="str">
        <f t="shared" si="64"/>
        <v>31.03.22</v>
      </c>
      <c r="M273" s="140" t="str">
        <f>+M222</f>
        <v>31.03.23</v>
      </c>
      <c r="N273" s="140" t="str">
        <f t="shared" si="64"/>
        <v>31.03.20</v>
      </c>
      <c r="O273" s="140" t="str">
        <f t="shared" si="64"/>
        <v>31.03.21</v>
      </c>
      <c r="Q273" s="122"/>
      <c r="S273" s="122"/>
      <c r="T273" s="122"/>
      <c r="U273" s="120"/>
      <c r="V273" s="120"/>
    </row>
    <row r="274" spans="1:22">
      <c r="A274" s="126"/>
      <c r="B274" s="156" t="str">
        <f t="shared" si="63"/>
        <v>AUDITED</v>
      </c>
      <c r="C274" s="156" t="str">
        <f t="shared" si="63"/>
        <v>AUDITED</v>
      </c>
      <c r="D274" s="140" t="str">
        <f t="shared" si="63"/>
        <v>Prov.</v>
      </c>
      <c r="E274" s="134" t="str">
        <f t="shared" si="63"/>
        <v>Proj.</v>
      </c>
      <c r="F274" s="140" t="str">
        <f t="shared" si="63"/>
        <v>Proj.</v>
      </c>
      <c r="G274" s="140" t="str">
        <f t="shared" si="63"/>
        <v>Proj.</v>
      </c>
      <c r="H274" s="140" t="s">
        <v>277</v>
      </c>
      <c r="I274" s="140" t="str">
        <f t="shared" si="64"/>
        <v>Proj.</v>
      </c>
      <c r="J274" s="140" t="str">
        <f t="shared" si="64"/>
        <v>Proj.</v>
      </c>
      <c r="K274" s="140" t="str">
        <f t="shared" si="64"/>
        <v>Proj.</v>
      </c>
      <c r="L274" s="140" t="str">
        <f t="shared" si="64"/>
        <v>Proj.</v>
      </c>
      <c r="M274" s="140" t="str">
        <f>+M223</f>
        <v>Proj.</v>
      </c>
      <c r="N274" s="140" t="str">
        <f t="shared" si="64"/>
        <v>Proj.</v>
      </c>
      <c r="O274" s="140" t="str">
        <f t="shared" si="64"/>
        <v>Proj.</v>
      </c>
      <c r="Q274" s="122"/>
      <c r="U274" s="120"/>
      <c r="V274" s="120"/>
    </row>
    <row r="275" spans="1:22">
      <c r="A275" s="126"/>
      <c r="Q275" s="122"/>
      <c r="S275" s="122"/>
      <c r="T275" s="122"/>
      <c r="U275" s="120"/>
      <c r="V275" s="120"/>
    </row>
    <row r="276" spans="1:22">
      <c r="A276" s="135" t="s">
        <v>433</v>
      </c>
      <c r="B276" s="152"/>
      <c r="C276" s="152"/>
      <c r="D276" s="124"/>
      <c r="F276" s="124"/>
      <c r="G276" s="124"/>
      <c r="H276" s="124"/>
      <c r="Q276" s="122"/>
      <c r="S276" s="122"/>
      <c r="T276" s="122"/>
      <c r="U276" s="120"/>
      <c r="V276" s="120"/>
    </row>
    <row r="277" spans="1:22">
      <c r="A277" s="126"/>
      <c r="B277" s="152"/>
      <c r="C277" s="152"/>
      <c r="D277" s="124"/>
      <c r="F277" s="124"/>
      <c r="G277" s="124"/>
      <c r="H277" s="124"/>
      <c r="Q277" s="122"/>
      <c r="S277" s="122"/>
      <c r="T277" s="122"/>
      <c r="U277" s="120"/>
      <c r="V277" s="120"/>
    </row>
    <row r="278" spans="1:22">
      <c r="A278" s="135" t="s">
        <v>432</v>
      </c>
      <c r="B278" s="152">
        <f>+('FA Summary'!C12+'FA Summary'!C23)/100000</f>
        <v>1210.5957843000001</v>
      </c>
      <c r="C278" s="152">
        <f>+('FA Summary'!D12+'FA Summary'!D23)/100000</f>
        <v>1199.3136</v>
      </c>
      <c r="D278" s="152">
        <f>+('FA Summary'!E12+'FA Summary'!E23)/100000</f>
        <v>1129.38159</v>
      </c>
      <c r="E278" s="152">
        <f>+('FA Summary'!F12+'FA Summary'!F23)/100000</f>
        <v>2553.5080400000002</v>
      </c>
      <c r="F278" s="152">
        <f>+('FA Summary'!G12+'FA Summary'!G23)/100000</f>
        <v>2499.5135043999999</v>
      </c>
      <c r="G278" s="152">
        <f>+('FA Summary'!H12+'FA Summary'!H23)/100000</f>
        <v>2275.3514728500004</v>
      </c>
      <c r="H278" s="152">
        <f>+('FA Summary'!I12+'FA Summary'!I23)/100000</f>
        <v>2225.4613683715006</v>
      </c>
      <c r="I278" s="124">
        <f>+('FA Summary'!J12+'FA Summary'!J23)/100000</f>
        <v>2077.462639669875</v>
      </c>
      <c r="J278" s="124">
        <f>+('FA Summary'!K12+'FA Summary'!K23)/100000</f>
        <v>2069.0307943680837</v>
      </c>
      <c r="K278" s="124">
        <f>+('FA Summary'!L12+'FA Summary'!L23)/100000</f>
        <v>2717.8440925466925</v>
      </c>
      <c r="L278" s="124">
        <f>+('FA Summary'!M12+'FA Summary'!M23)/100000</f>
        <v>3397.4677260151279</v>
      </c>
      <c r="M278" s="124">
        <f>+('FA Summary'!N12+'FA Summary'!N23)/100000</f>
        <v>4051.2169114782532</v>
      </c>
      <c r="N278" s="124">
        <f>+M278</f>
        <v>4051.2169114782532</v>
      </c>
      <c r="O278" s="124">
        <f>+N278</f>
        <v>4051.2169114782532</v>
      </c>
      <c r="P278" s="122"/>
      <c r="Q278" s="122"/>
      <c r="R278" s="122"/>
      <c r="S278" s="122"/>
      <c r="T278" s="122"/>
      <c r="U278" s="120"/>
      <c r="V278" s="120"/>
    </row>
    <row r="279" spans="1:22">
      <c r="A279" s="126" t="s">
        <v>431</v>
      </c>
      <c r="B279" s="152"/>
      <c r="C279" s="152"/>
      <c r="D279" s="124"/>
      <c r="F279" s="124"/>
      <c r="G279" s="124"/>
      <c r="H279" s="124"/>
      <c r="Q279" s="122"/>
      <c r="U279" s="120"/>
      <c r="V279" s="120"/>
    </row>
    <row r="280" spans="1:22">
      <c r="A280" s="126"/>
      <c r="B280" s="152"/>
      <c r="C280" s="152"/>
      <c r="D280" s="124"/>
      <c r="F280" s="124"/>
      <c r="G280" s="124"/>
      <c r="H280" s="124"/>
      <c r="Q280" s="122"/>
      <c r="U280" s="120"/>
      <c r="V280" s="120"/>
    </row>
    <row r="281" spans="1:22">
      <c r="A281" s="135" t="s">
        <v>430</v>
      </c>
      <c r="B281" s="152">
        <f>+'FA Summary'!C23/100000</f>
        <v>69.940354299999996</v>
      </c>
      <c r="C281" s="152">
        <f>+'FA Summary'!D23/100000</f>
        <v>69.962010000000006</v>
      </c>
      <c r="D281" s="152">
        <f>+'FA Summary'!E23/100000</f>
        <v>63.873550000000002</v>
      </c>
      <c r="E281" s="152">
        <f>+'FA Summary'!F23/100000</f>
        <v>61.994535600000006</v>
      </c>
      <c r="F281" s="152">
        <f>+'FA Summary'!G23/100000</f>
        <v>274.16203154999999</v>
      </c>
      <c r="G281" s="152">
        <f>+'FA Summary'!H23/100000</f>
        <v>249.89010447850004</v>
      </c>
      <c r="H281" s="152">
        <f>+'FA Summary'!I23/100000</f>
        <v>227.99872870162505</v>
      </c>
      <c r="I281" s="124">
        <f>+'FA Summary'!J23/100000</f>
        <v>213.43184530179127</v>
      </c>
      <c r="J281" s="124">
        <f>+'FA Summary'!K23/100000</f>
        <v>201.18670182139155</v>
      </c>
      <c r="K281" s="124">
        <f>+'FA Summary'!L23/100000</f>
        <v>220.37636653156497</v>
      </c>
      <c r="L281" s="124">
        <f>+'FA Summary'!M23/100000</f>
        <v>236.25081453687406</v>
      </c>
      <c r="M281" s="124">
        <f>+'FA Summary'!N23/100000</f>
        <v>342.97600504288255</v>
      </c>
      <c r="N281" s="124" t="e">
        <f>+M281+N50</f>
        <v>#REF!</v>
      </c>
      <c r="O281" s="124" t="e">
        <f>+N281+O50</f>
        <v>#REF!</v>
      </c>
      <c r="Q281" s="122"/>
      <c r="U281" s="120"/>
      <c r="V281" s="120"/>
    </row>
    <row r="282" spans="1:22">
      <c r="A282" s="135"/>
      <c r="B282" s="152"/>
      <c r="C282" s="152"/>
      <c r="D282" s="124"/>
      <c r="F282" s="124"/>
      <c r="G282" s="124"/>
      <c r="H282" s="124"/>
      <c r="I282" s="122" t="s">
        <v>429</v>
      </c>
      <c r="Q282" s="122"/>
      <c r="U282" s="120"/>
      <c r="V282" s="120"/>
    </row>
    <row r="283" spans="1:22">
      <c r="A283" s="135" t="s">
        <v>428</v>
      </c>
      <c r="B283" s="152">
        <f t="shared" ref="B283:O283" si="65">B278-B281</f>
        <v>1140.65543</v>
      </c>
      <c r="C283" s="152">
        <f t="shared" si="65"/>
        <v>1129.35159</v>
      </c>
      <c r="D283" s="124">
        <f t="shared" si="65"/>
        <v>1065.5080399999999</v>
      </c>
      <c r="E283" s="124">
        <f t="shared" si="65"/>
        <v>2491.5135044000003</v>
      </c>
      <c r="F283" s="124">
        <f t="shared" si="65"/>
        <v>2225.3514728499999</v>
      </c>
      <c r="G283" s="152">
        <f t="shared" si="65"/>
        <v>2025.4613683715004</v>
      </c>
      <c r="H283" s="152">
        <f t="shared" si="65"/>
        <v>1997.4626396698754</v>
      </c>
      <c r="I283" s="124">
        <f t="shared" si="65"/>
        <v>1864.0307943680837</v>
      </c>
      <c r="J283" s="124">
        <f t="shared" si="65"/>
        <v>1867.8440925466921</v>
      </c>
      <c r="K283" s="124">
        <f t="shared" si="65"/>
        <v>2497.4677260151275</v>
      </c>
      <c r="L283" s="124">
        <f t="shared" si="65"/>
        <v>3161.2169114782537</v>
      </c>
      <c r="M283" s="124">
        <f>M278-M281</f>
        <v>3708.2409064353706</v>
      </c>
      <c r="N283" s="152" t="e">
        <f t="shared" si="65"/>
        <v>#REF!</v>
      </c>
      <c r="O283" s="152" t="e">
        <f t="shared" si="65"/>
        <v>#REF!</v>
      </c>
      <c r="Q283" s="122"/>
      <c r="U283" s="120"/>
      <c r="V283" s="120"/>
    </row>
    <row r="284" spans="1:22">
      <c r="A284" s="177"/>
      <c r="B284" s="152"/>
      <c r="C284" s="152"/>
      <c r="D284" s="152"/>
      <c r="E284" s="152"/>
      <c r="F284" s="152"/>
      <c r="G284" s="152"/>
      <c r="H284" s="152"/>
      <c r="I284" s="124"/>
      <c r="J284" s="124"/>
      <c r="K284" s="124"/>
      <c r="L284" s="124"/>
      <c r="M284" s="124"/>
      <c r="N284" s="152"/>
      <c r="O284" s="152"/>
      <c r="Q284" s="122"/>
      <c r="U284" s="120"/>
      <c r="V284" s="120"/>
    </row>
    <row r="285" spans="1:22">
      <c r="A285" s="135" t="s">
        <v>427</v>
      </c>
      <c r="B285" s="152"/>
      <c r="C285" s="152"/>
      <c r="D285" s="124"/>
      <c r="F285" s="124"/>
      <c r="G285" s="124"/>
      <c r="H285" s="124"/>
      <c r="Q285" s="122"/>
      <c r="U285" s="120"/>
      <c r="V285" s="120"/>
    </row>
    <row r="286" spans="1:22">
      <c r="A286" s="126" t="s">
        <v>426</v>
      </c>
      <c r="B286" s="152"/>
      <c r="C286" s="152"/>
      <c r="D286" s="124"/>
      <c r="F286" s="124"/>
      <c r="G286" s="124"/>
      <c r="H286" s="124"/>
      <c r="Q286" s="122"/>
      <c r="U286" s="120"/>
      <c r="V286" s="120"/>
    </row>
    <row r="287" spans="1:22">
      <c r="A287" s="126" t="s">
        <v>425</v>
      </c>
      <c r="B287" s="152">
        <v>0</v>
      </c>
      <c r="C287" s="152">
        <v>0</v>
      </c>
      <c r="D287" s="124">
        <v>0</v>
      </c>
      <c r="E287" s="124">
        <v>0</v>
      </c>
      <c r="F287" s="124">
        <v>0</v>
      </c>
      <c r="G287" s="124">
        <v>0</v>
      </c>
      <c r="H287" s="124">
        <v>0</v>
      </c>
      <c r="I287" s="124">
        <v>0</v>
      </c>
      <c r="J287" s="124">
        <v>0</v>
      </c>
      <c r="K287" s="124">
        <v>0</v>
      </c>
      <c r="L287" s="124">
        <v>0</v>
      </c>
      <c r="M287" s="124">
        <v>0</v>
      </c>
      <c r="N287" s="124">
        <f>+M287</f>
        <v>0</v>
      </c>
      <c r="O287" s="124">
        <f>+N287</f>
        <v>0</v>
      </c>
      <c r="Q287" s="122"/>
      <c r="U287" s="120"/>
      <c r="V287" s="120"/>
    </row>
    <row r="288" spans="1:22">
      <c r="A288" s="126" t="s">
        <v>424</v>
      </c>
      <c r="B288" s="152">
        <v>0</v>
      </c>
      <c r="C288" s="152">
        <v>0</v>
      </c>
      <c r="D288" s="124">
        <v>0</v>
      </c>
      <c r="E288" s="124">
        <v>0</v>
      </c>
      <c r="F288" s="124">
        <v>0</v>
      </c>
      <c r="G288" s="124">
        <v>0</v>
      </c>
      <c r="H288" s="124">
        <v>0</v>
      </c>
      <c r="I288" s="124">
        <v>0</v>
      </c>
      <c r="J288" s="124">
        <v>0</v>
      </c>
      <c r="K288" s="124">
        <v>0</v>
      </c>
      <c r="L288" s="124">
        <v>0</v>
      </c>
      <c r="M288" s="124">
        <v>0</v>
      </c>
      <c r="N288" s="124">
        <v>1343.7051812372792</v>
      </c>
      <c r="O288" s="124">
        <v>1822.791311598532</v>
      </c>
      <c r="U288" s="120"/>
      <c r="V288" s="120"/>
    </row>
    <row r="289" spans="1:22">
      <c r="A289" s="126" t="s">
        <v>423</v>
      </c>
      <c r="B289" s="152"/>
      <c r="C289" s="152"/>
      <c r="D289" s="124"/>
      <c r="F289" s="124"/>
      <c r="G289" s="124"/>
      <c r="H289" s="124">
        <v>0</v>
      </c>
      <c r="U289" s="120"/>
      <c r="V289" s="120"/>
    </row>
    <row r="290" spans="1:22">
      <c r="A290" s="126" t="s">
        <v>422</v>
      </c>
      <c r="B290" s="152"/>
      <c r="C290" s="152"/>
      <c r="D290" s="124"/>
      <c r="F290" s="124"/>
      <c r="G290" s="124"/>
      <c r="H290" s="124"/>
      <c r="U290" s="120"/>
      <c r="V290" s="120"/>
    </row>
    <row r="291" spans="1:22">
      <c r="A291" s="126" t="s">
        <v>421</v>
      </c>
      <c r="B291" s="152">
        <f>(83425+200000+60000)/100000</f>
        <v>3.43425</v>
      </c>
      <c r="C291" s="152">
        <f>+(83425+60000)/100000</f>
        <v>1.43425</v>
      </c>
      <c r="D291" s="124">
        <v>1.5</v>
      </c>
      <c r="E291" s="124">
        <f>+D291+1</f>
        <v>2.5</v>
      </c>
      <c r="F291" s="124">
        <f>E291+2.5</f>
        <v>5</v>
      </c>
      <c r="G291" s="124">
        <f>F291+10.5</f>
        <v>15.5</v>
      </c>
      <c r="H291" s="124">
        <f t="shared" ref="H291:M291" si="66">+G291+5</f>
        <v>20.5</v>
      </c>
      <c r="I291" s="124">
        <f t="shared" si="66"/>
        <v>25.5</v>
      </c>
      <c r="J291" s="124">
        <f t="shared" si="66"/>
        <v>30.5</v>
      </c>
      <c r="K291" s="124">
        <f t="shared" si="66"/>
        <v>35.5</v>
      </c>
      <c r="L291" s="124">
        <f t="shared" si="66"/>
        <v>40.5</v>
      </c>
      <c r="M291" s="124">
        <f t="shared" si="66"/>
        <v>45.5</v>
      </c>
      <c r="N291" s="124">
        <v>9</v>
      </c>
      <c r="O291" s="124">
        <v>9</v>
      </c>
      <c r="U291" s="120"/>
      <c r="V291" s="120"/>
    </row>
    <row r="292" spans="1:22">
      <c r="A292" s="176" t="s">
        <v>420</v>
      </c>
      <c r="B292" s="152">
        <v>0</v>
      </c>
      <c r="C292" s="152"/>
      <c r="D292" s="124">
        <v>0</v>
      </c>
      <c r="F292" s="124">
        <v>0</v>
      </c>
      <c r="G292" s="124">
        <v>0</v>
      </c>
      <c r="H292" s="124"/>
      <c r="I292" s="124">
        <f>+G292</f>
        <v>0</v>
      </c>
      <c r="J292" s="124">
        <f t="shared" ref="J292:O292" si="67">+I292</f>
        <v>0</v>
      </c>
      <c r="K292" s="124">
        <f t="shared" si="67"/>
        <v>0</v>
      </c>
      <c r="L292" s="124">
        <f t="shared" si="67"/>
        <v>0</v>
      </c>
      <c r="M292" s="124">
        <f>+L292</f>
        <v>0</v>
      </c>
      <c r="N292" s="124">
        <f t="shared" si="67"/>
        <v>0</v>
      </c>
      <c r="O292" s="124">
        <f t="shared" si="67"/>
        <v>0</v>
      </c>
      <c r="U292" s="120"/>
      <c r="V292" s="120"/>
    </row>
    <row r="293" spans="1:22">
      <c r="A293" s="135" t="s">
        <v>419</v>
      </c>
      <c r="B293" s="152"/>
      <c r="C293" s="152"/>
      <c r="D293" s="124"/>
      <c r="F293" s="124"/>
      <c r="G293" s="124"/>
      <c r="H293" s="124"/>
      <c r="P293" s="120"/>
      <c r="Q293" s="120"/>
      <c r="R293" s="120"/>
      <c r="S293" s="120"/>
      <c r="T293" s="120"/>
      <c r="U293" s="120"/>
      <c r="V293" s="120"/>
    </row>
    <row r="294" spans="1:22">
      <c r="A294" s="126"/>
      <c r="B294" s="152"/>
      <c r="C294" s="152"/>
      <c r="D294" s="124"/>
      <c r="F294" s="124"/>
      <c r="G294" s="124"/>
      <c r="H294" s="124"/>
      <c r="P294" s="120"/>
      <c r="Q294" s="120"/>
      <c r="R294" s="120"/>
      <c r="S294" s="120"/>
      <c r="T294" s="120"/>
      <c r="U294" s="120"/>
      <c r="V294" s="120"/>
    </row>
    <row r="295" spans="1:22">
      <c r="A295" s="135" t="s">
        <v>418</v>
      </c>
      <c r="B295" s="152"/>
      <c r="C295" s="152"/>
      <c r="D295" s="124"/>
      <c r="F295" s="124"/>
      <c r="G295" s="124"/>
      <c r="H295" s="124"/>
      <c r="P295" s="120"/>
      <c r="Q295" s="120"/>
      <c r="R295" s="120"/>
      <c r="S295" s="120"/>
      <c r="T295" s="120"/>
      <c r="U295" s="120"/>
      <c r="V295" s="120"/>
    </row>
    <row r="296" spans="1:22">
      <c r="A296" s="126" t="s">
        <v>417</v>
      </c>
      <c r="B296" s="152"/>
      <c r="C296" s="152"/>
      <c r="D296" s="124"/>
      <c r="F296" s="124"/>
      <c r="G296" s="124"/>
      <c r="H296" s="124"/>
      <c r="P296" s="120"/>
      <c r="Q296" s="120"/>
      <c r="R296" s="120"/>
      <c r="S296" s="120"/>
      <c r="T296" s="120"/>
      <c r="U296" s="120"/>
      <c r="V296" s="120"/>
    </row>
    <row r="297" spans="1:22">
      <c r="A297" s="126"/>
      <c r="B297" s="152"/>
      <c r="C297" s="152"/>
      <c r="D297" s="124"/>
      <c r="F297" s="124"/>
      <c r="G297" s="124"/>
      <c r="H297" s="124"/>
      <c r="P297" s="120"/>
      <c r="Q297" s="120"/>
      <c r="R297" s="120"/>
      <c r="S297" s="120"/>
      <c r="T297" s="120"/>
      <c r="U297" s="120"/>
      <c r="V297" s="120"/>
    </row>
    <row r="298" spans="1:22">
      <c r="A298" s="135" t="s">
        <v>416</v>
      </c>
      <c r="B298" s="152">
        <f t="shared" ref="B298:O298" si="68">SUM(B287:B296)</f>
        <v>3.43425</v>
      </c>
      <c r="C298" s="152">
        <f t="shared" si="68"/>
        <v>1.43425</v>
      </c>
      <c r="D298" s="152">
        <f t="shared" si="68"/>
        <v>1.5</v>
      </c>
      <c r="E298" s="152">
        <f t="shared" si="68"/>
        <v>2.5</v>
      </c>
      <c r="F298" s="124">
        <f t="shared" si="68"/>
        <v>5</v>
      </c>
      <c r="G298" s="124">
        <f t="shared" si="68"/>
        <v>15.5</v>
      </c>
      <c r="H298" s="124">
        <f t="shared" si="68"/>
        <v>20.5</v>
      </c>
      <c r="I298" s="124">
        <f t="shared" si="68"/>
        <v>25.5</v>
      </c>
      <c r="J298" s="124">
        <f t="shared" si="68"/>
        <v>30.5</v>
      </c>
      <c r="K298" s="124">
        <f t="shared" si="68"/>
        <v>35.5</v>
      </c>
      <c r="L298" s="124">
        <f t="shared" si="68"/>
        <v>40.5</v>
      </c>
      <c r="M298" s="124">
        <f>SUM(M287:M296)</f>
        <v>45.5</v>
      </c>
      <c r="N298" s="124">
        <f t="shared" si="68"/>
        <v>1352.7051812372792</v>
      </c>
      <c r="O298" s="124">
        <f t="shared" si="68"/>
        <v>1831.791311598532</v>
      </c>
      <c r="P298" s="120"/>
      <c r="Q298" s="120"/>
      <c r="R298" s="120"/>
      <c r="S298" s="120"/>
      <c r="T298" s="120"/>
      <c r="U298" s="120"/>
      <c r="V298" s="120"/>
    </row>
    <row r="299" spans="1:22">
      <c r="A299" s="135"/>
      <c r="B299" s="152"/>
      <c r="C299" s="152"/>
      <c r="D299" s="124"/>
      <c r="F299" s="124"/>
      <c r="G299" s="124"/>
      <c r="H299" s="124"/>
      <c r="P299" s="120"/>
      <c r="Q299" s="120"/>
      <c r="R299" s="120"/>
      <c r="S299" s="120"/>
      <c r="T299" s="120"/>
      <c r="U299" s="120"/>
      <c r="V299" s="120"/>
    </row>
    <row r="300" spans="1:22">
      <c r="A300" s="135" t="s">
        <v>415</v>
      </c>
      <c r="B300" s="152">
        <f>205173/100000</f>
        <v>2.0517300000000001</v>
      </c>
      <c r="C300" s="152">
        <f>153880.01/100000</f>
        <v>1.5388001</v>
      </c>
      <c r="D300" s="124">
        <f>C300/2</f>
        <v>0.76940005</v>
      </c>
      <c r="E300" s="124">
        <v>0</v>
      </c>
      <c r="F300" s="124">
        <v>0</v>
      </c>
      <c r="G300" s="124">
        <v>0</v>
      </c>
      <c r="H300" s="124">
        <v>0</v>
      </c>
      <c r="I300" s="122">
        <v>0</v>
      </c>
      <c r="J300" s="122">
        <v>0</v>
      </c>
      <c r="P300" s="120"/>
      <c r="Q300" s="120"/>
      <c r="R300" s="120"/>
      <c r="S300" s="120"/>
      <c r="T300" s="120"/>
      <c r="U300" s="120"/>
      <c r="V300" s="120"/>
    </row>
    <row r="301" spans="1:22">
      <c r="A301" s="126" t="s">
        <v>414</v>
      </c>
      <c r="B301" s="152"/>
      <c r="C301" s="152"/>
      <c r="D301" s="124"/>
      <c r="F301" s="124"/>
      <c r="G301" s="124"/>
      <c r="H301" s="124"/>
      <c r="P301" s="120"/>
      <c r="Q301" s="120"/>
      <c r="R301" s="120"/>
      <c r="S301" s="120"/>
      <c r="T301" s="120"/>
      <c r="U301" s="120"/>
      <c r="V301" s="120"/>
    </row>
    <row r="302" spans="1:22">
      <c r="A302" s="126" t="s">
        <v>413</v>
      </c>
      <c r="B302" s="152"/>
      <c r="C302" s="152"/>
      <c r="D302" s="124"/>
      <c r="F302" s="124"/>
      <c r="G302" s="124"/>
      <c r="H302" s="124"/>
      <c r="P302" s="120"/>
      <c r="Q302" s="120"/>
      <c r="R302" s="120"/>
      <c r="S302" s="120"/>
      <c r="T302" s="120"/>
      <c r="U302" s="120"/>
      <c r="V302" s="120"/>
    </row>
    <row r="303" spans="1:22">
      <c r="A303" s="126"/>
      <c r="B303" s="152"/>
      <c r="C303" s="152"/>
      <c r="D303" s="124"/>
      <c r="F303" s="124"/>
      <c r="G303" s="124"/>
      <c r="H303" s="124"/>
      <c r="P303" s="120"/>
      <c r="Q303" s="120"/>
      <c r="R303" s="120"/>
      <c r="S303" s="120"/>
      <c r="T303" s="120"/>
      <c r="U303" s="120"/>
      <c r="V303" s="120"/>
    </row>
    <row r="304" spans="1:22">
      <c r="A304" s="135" t="s">
        <v>412</v>
      </c>
      <c r="B304" s="144">
        <f t="shared" ref="B304:O304" si="69">+B300+B298+B283+B268</f>
        <v>1179.0797987999999</v>
      </c>
      <c r="C304" s="144">
        <f t="shared" si="69"/>
        <v>1142.8934239</v>
      </c>
      <c r="D304" s="144">
        <f t="shared" si="69"/>
        <v>1098.1299582249999</v>
      </c>
      <c r="E304" s="144">
        <f t="shared" si="69"/>
        <v>2570.0482150092503</v>
      </c>
      <c r="F304" s="144">
        <f t="shared" si="69"/>
        <v>2332.2826523778126</v>
      </c>
      <c r="G304" s="144">
        <f t="shared" si="69"/>
        <v>2205.2381840313874</v>
      </c>
      <c r="H304" s="144">
        <f t="shared" si="69"/>
        <v>2218.1923685498077</v>
      </c>
      <c r="I304" s="134">
        <f t="shared" si="69"/>
        <v>2377.7221016032117</v>
      </c>
      <c r="J304" s="134">
        <f t="shared" si="69"/>
        <v>2706.873991326489</v>
      </c>
      <c r="K304" s="134">
        <f t="shared" si="69"/>
        <v>3634.6407519316917</v>
      </c>
      <c r="L304" s="134">
        <f t="shared" si="69"/>
        <v>4820.4673721916051</v>
      </c>
      <c r="M304" s="134">
        <f>+M300+M298+M283+M268</f>
        <v>6112.4862220620716</v>
      </c>
      <c r="N304" s="144" t="e">
        <f t="shared" si="69"/>
        <v>#REF!</v>
      </c>
      <c r="O304" s="144" t="e">
        <f t="shared" si="69"/>
        <v>#REF!</v>
      </c>
      <c r="P304" s="120"/>
      <c r="Q304" s="120"/>
      <c r="R304" s="120"/>
      <c r="S304" s="120"/>
      <c r="T304" s="120"/>
      <c r="U304" s="120"/>
      <c r="V304" s="120"/>
    </row>
    <row r="305" spans="1:22">
      <c r="A305" s="126"/>
      <c r="B305" s="152">
        <f t="shared" ref="B305:O305" si="70">+B212-B304</f>
        <v>0</v>
      </c>
      <c r="C305" s="265">
        <f t="shared" si="70"/>
        <v>0</v>
      </c>
      <c r="D305" s="265" t="e">
        <f t="shared" si="70"/>
        <v>#REF!</v>
      </c>
      <c r="E305" s="152" t="e">
        <f t="shared" si="70"/>
        <v>#REF!</v>
      </c>
      <c r="F305" s="152" t="e">
        <f t="shared" si="70"/>
        <v>#REF!</v>
      </c>
      <c r="G305" s="152" t="e">
        <f t="shared" si="70"/>
        <v>#REF!</v>
      </c>
      <c r="H305" s="152" t="e">
        <f t="shared" si="70"/>
        <v>#REF!</v>
      </c>
      <c r="I305" s="124" t="e">
        <f t="shared" si="70"/>
        <v>#REF!</v>
      </c>
      <c r="J305" s="124" t="e">
        <f t="shared" si="70"/>
        <v>#REF!</v>
      </c>
      <c r="K305" s="124" t="e">
        <f t="shared" si="70"/>
        <v>#REF!</v>
      </c>
      <c r="L305" s="124" t="e">
        <f t="shared" si="70"/>
        <v>#REF!</v>
      </c>
      <c r="M305" s="124" t="e">
        <f>+M212-M304</f>
        <v>#REF!</v>
      </c>
      <c r="N305" s="152" t="e">
        <f t="shared" si="70"/>
        <v>#REF!</v>
      </c>
      <c r="O305" s="152" t="e">
        <f t="shared" si="70"/>
        <v>#REF!</v>
      </c>
      <c r="P305" s="120"/>
      <c r="Q305" s="120"/>
      <c r="R305" s="120"/>
      <c r="S305" s="120"/>
      <c r="T305" s="120"/>
      <c r="U305" s="120"/>
      <c r="V305" s="120"/>
    </row>
    <row r="306" spans="1:22">
      <c r="A306" s="135" t="s">
        <v>411</v>
      </c>
      <c r="B306" s="144">
        <f t="shared" ref="B306:O306" si="71">B210-B300</f>
        <v>-118.59181269999998</v>
      </c>
      <c r="C306" s="144">
        <f t="shared" si="71"/>
        <v>-182.49975279999992</v>
      </c>
      <c r="D306" s="144" t="e">
        <f t="shared" si="71"/>
        <v>#REF!</v>
      </c>
      <c r="E306" s="144" t="e">
        <f t="shared" si="71"/>
        <v>#REF!</v>
      </c>
      <c r="F306" s="144" t="e">
        <f t="shared" si="71"/>
        <v>#REF!</v>
      </c>
      <c r="G306" s="144" t="e">
        <f t="shared" si="71"/>
        <v>#REF!</v>
      </c>
      <c r="H306" s="144" t="e">
        <f t="shared" si="71"/>
        <v>#REF!</v>
      </c>
      <c r="I306" s="134" t="e">
        <f t="shared" si="71"/>
        <v>#REF!</v>
      </c>
      <c r="J306" s="134" t="e">
        <f t="shared" si="71"/>
        <v>#REF!</v>
      </c>
      <c r="K306" s="134" t="e">
        <f t="shared" si="71"/>
        <v>#REF!</v>
      </c>
      <c r="L306" s="134" t="e">
        <f t="shared" si="71"/>
        <v>#REF!</v>
      </c>
      <c r="M306" s="134" t="e">
        <f>M210-M300</f>
        <v>#REF!</v>
      </c>
      <c r="N306" s="144" t="e">
        <f t="shared" si="71"/>
        <v>#REF!</v>
      </c>
      <c r="O306" s="144" t="e">
        <f t="shared" si="71"/>
        <v>#REF!</v>
      </c>
      <c r="P306" s="120"/>
      <c r="Q306" s="120"/>
      <c r="R306" s="120"/>
      <c r="S306" s="120"/>
      <c r="T306" s="120"/>
      <c r="U306" s="120"/>
      <c r="V306" s="120"/>
    </row>
    <row r="307" spans="1:22">
      <c r="A307" s="126"/>
      <c r="B307" s="152"/>
      <c r="C307" s="152"/>
      <c r="D307" s="124"/>
      <c r="F307" s="124"/>
      <c r="G307" s="124"/>
      <c r="H307" s="124"/>
      <c r="I307" s="124"/>
      <c r="J307" s="124"/>
      <c r="K307" s="124"/>
      <c r="L307" s="124"/>
      <c r="M307" s="124"/>
      <c r="N307" s="124"/>
      <c r="O307" s="124"/>
      <c r="P307" s="120"/>
      <c r="Q307" s="120"/>
      <c r="R307" s="120"/>
      <c r="S307" s="120"/>
      <c r="T307" s="120"/>
      <c r="U307" s="120"/>
      <c r="V307" s="120"/>
    </row>
    <row r="308" spans="1:22">
      <c r="A308" s="135" t="s">
        <v>410</v>
      </c>
      <c r="B308" s="144">
        <f t="shared" ref="B308:O308" si="72">+B268-B166</f>
        <v>-84.108228500000024</v>
      </c>
      <c r="C308" s="144">
        <f t="shared" si="72"/>
        <v>-162.31475279999978</v>
      </c>
      <c r="D308" s="134" t="e">
        <f t="shared" si="72"/>
        <v>#REF!</v>
      </c>
      <c r="E308" s="134" t="e">
        <f t="shared" si="72"/>
        <v>#REF!</v>
      </c>
      <c r="F308" s="134" t="e">
        <f t="shared" si="72"/>
        <v>#REF!</v>
      </c>
      <c r="G308" s="134" t="e">
        <f t="shared" si="72"/>
        <v>#REF!</v>
      </c>
      <c r="H308" s="134" t="e">
        <f t="shared" si="72"/>
        <v>#REF!</v>
      </c>
      <c r="I308" s="134" t="e">
        <f t="shared" si="72"/>
        <v>#REF!</v>
      </c>
      <c r="J308" s="134" t="e">
        <f t="shared" si="72"/>
        <v>#REF!</v>
      </c>
      <c r="K308" s="134" t="e">
        <f t="shared" si="72"/>
        <v>#REF!</v>
      </c>
      <c r="L308" s="134" t="e">
        <f t="shared" si="72"/>
        <v>#REF!</v>
      </c>
      <c r="M308" s="134" t="e">
        <f>+M268-M166</f>
        <v>#REF!</v>
      </c>
      <c r="N308" s="134" t="e">
        <f t="shared" si="72"/>
        <v>#REF!</v>
      </c>
      <c r="O308" s="134" t="e">
        <f t="shared" si="72"/>
        <v>#REF!</v>
      </c>
      <c r="P308" s="120"/>
      <c r="Q308" s="120"/>
      <c r="R308" s="120"/>
      <c r="S308" s="120"/>
      <c r="T308" s="120"/>
      <c r="U308" s="120"/>
      <c r="V308" s="120"/>
    </row>
    <row r="309" spans="1:22">
      <c r="A309" s="135" t="s">
        <v>409</v>
      </c>
      <c r="B309" s="152"/>
      <c r="C309" s="152"/>
      <c r="D309" s="124"/>
      <c r="F309" s="124"/>
      <c r="G309" s="124"/>
      <c r="H309" s="124"/>
      <c r="I309" s="124"/>
      <c r="J309" s="124"/>
      <c r="K309" s="124"/>
      <c r="L309" s="124"/>
      <c r="M309" s="124"/>
      <c r="N309" s="124"/>
      <c r="O309" s="124"/>
      <c r="P309" s="120"/>
      <c r="Q309" s="120"/>
      <c r="R309" s="120"/>
      <c r="S309" s="120"/>
      <c r="T309" s="120"/>
      <c r="U309" s="120"/>
      <c r="V309" s="120"/>
    </row>
    <row r="310" spans="1:22">
      <c r="A310" s="126"/>
      <c r="B310" s="152"/>
      <c r="C310" s="152"/>
      <c r="D310" s="124"/>
      <c r="F310" s="124"/>
      <c r="G310" s="124"/>
      <c r="H310" s="124"/>
      <c r="I310" s="124"/>
      <c r="J310" s="124"/>
      <c r="K310" s="124"/>
      <c r="L310" s="124"/>
      <c r="M310" s="124"/>
      <c r="N310" s="124"/>
      <c r="O310" s="124"/>
      <c r="P310" s="120"/>
      <c r="Q310" s="120"/>
      <c r="R310" s="120"/>
      <c r="S310" s="120"/>
      <c r="T310" s="120"/>
      <c r="U310" s="120"/>
      <c r="V310" s="120"/>
    </row>
    <row r="311" spans="1:22">
      <c r="A311" s="135" t="s">
        <v>408</v>
      </c>
      <c r="B311" s="144">
        <f t="shared" ref="B311:O311" si="73">+B268/B166</f>
        <v>0.28141256500883066</v>
      </c>
      <c r="C311" s="144">
        <f t="shared" si="73"/>
        <v>6.113239009248856E-2</v>
      </c>
      <c r="D311" s="144" t="e">
        <f t="shared" si="73"/>
        <v>#REF!</v>
      </c>
      <c r="E311" s="144" t="e">
        <f t="shared" si="73"/>
        <v>#REF!</v>
      </c>
      <c r="F311" s="144" t="e">
        <f t="shared" si="73"/>
        <v>#REF!</v>
      </c>
      <c r="G311" s="144" t="e">
        <f t="shared" si="73"/>
        <v>#REF!</v>
      </c>
      <c r="H311" s="144" t="e">
        <f t="shared" si="73"/>
        <v>#REF!</v>
      </c>
      <c r="I311" s="134" t="e">
        <f t="shared" si="73"/>
        <v>#REF!</v>
      </c>
      <c r="J311" s="134" t="e">
        <f t="shared" si="73"/>
        <v>#REF!</v>
      </c>
      <c r="K311" s="134" t="e">
        <f t="shared" si="73"/>
        <v>#REF!</v>
      </c>
      <c r="L311" s="134" t="e">
        <f t="shared" si="73"/>
        <v>#REF!</v>
      </c>
      <c r="M311" s="134" t="e">
        <f>+M268/M166</f>
        <v>#REF!</v>
      </c>
      <c r="N311" s="144" t="e">
        <f t="shared" si="73"/>
        <v>#REF!</v>
      </c>
      <c r="O311" s="144" t="e">
        <f t="shared" si="73"/>
        <v>#REF!</v>
      </c>
      <c r="P311" s="120"/>
      <c r="Q311" s="120"/>
      <c r="R311" s="120"/>
      <c r="S311" s="120"/>
      <c r="T311" s="120"/>
      <c r="U311" s="120"/>
      <c r="V311" s="120"/>
    </row>
    <row r="312" spans="1:22">
      <c r="A312" s="135"/>
      <c r="B312" s="152"/>
      <c r="C312" s="152"/>
      <c r="D312" s="124"/>
      <c r="F312" s="124"/>
      <c r="G312" s="152"/>
      <c r="H312" s="152"/>
      <c r="I312" s="124"/>
      <c r="J312" s="124"/>
      <c r="K312" s="124"/>
      <c r="L312" s="124"/>
      <c r="M312" s="124"/>
      <c r="N312" s="152"/>
      <c r="O312" s="152"/>
      <c r="P312" s="120"/>
      <c r="Q312" s="120"/>
      <c r="R312" s="120"/>
      <c r="S312" s="120"/>
      <c r="T312" s="120"/>
      <c r="U312" s="120"/>
      <c r="V312" s="120"/>
    </row>
    <row r="313" spans="1:22">
      <c r="A313" s="135" t="s">
        <v>407</v>
      </c>
      <c r="B313" s="144">
        <f t="shared" ref="B313:O313" si="74">+(B194/B306)</f>
        <v>-10.925036492843828</v>
      </c>
      <c r="C313" s="144">
        <f t="shared" si="74"/>
        <v>-7.2540064098103292</v>
      </c>
      <c r="D313" s="134" t="e">
        <f t="shared" si="74"/>
        <v>#REF!</v>
      </c>
      <c r="E313" s="134" t="e">
        <f t="shared" si="74"/>
        <v>#REF!</v>
      </c>
      <c r="F313" s="134" t="e">
        <f t="shared" si="74"/>
        <v>#REF!</v>
      </c>
      <c r="G313" s="134" t="e">
        <f t="shared" si="74"/>
        <v>#REF!</v>
      </c>
      <c r="H313" s="134" t="e">
        <f t="shared" si="74"/>
        <v>#REF!</v>
      </c>
      <c r="I313" s="134" t="e">
        <f t="shared" si="74"/>
        <v>#REF!</v>
      </c>
      <c r="J313" s="134" t="e">
        <f t="shared" si="74"/>
        <v>#REF!</v>
      </c>
      <c r="K313" s="134" t="e">
        <f t="shared" si="74"/>
        <v>#REF!</v>
      </c>
      <c r="L313" s="134" t="e">
        <f t="shared" si="74"/>
        <v>#REF!</v>
      </c>
      <c r="M313" s="134" t="e">
        <f>+(M194/M306)</f>
        <v>#REF!</v>
      </c>
      <c r="N313" s="134" t="e">
        <f t="shared" si="74"/>
        <v>#REF!</v>
      </c>
      <c r="O313" s="134" t="e">
        <f t="shared" si="74"/>
        <v>#REF!</v>
      </c>
      <c r="P313" s="120"/>
      <c r="Q313" s="120"/>
      <c r="R313" s="120"/>
      <c r="S313" s="120"/>
      <c r="T313" s="120"/>
      <c r="U313" s="120"/>
      <c r="V313" s="120"/>
    </row>
    <row r="314" spans="1:22">
      <c r="A314" s="135"/>
      <c r="B314" s="144"/>
      <c r="C314" s="144"/>
      <c r="D314" s="134"/>
      <c r="E314" s="134"/>
      <c r="F314" s="134"/>
      <c r="G314" s="134"/>
      <c r="H314" s="134"/>
      <c r="I314" s="134"/>
      <c r="J314" s="134"/>
      <c r="K314" s="134"/>
      <c r="L314" s="134"/>
      <c r="M314" s="134"/>
      <c r="N314" s="134"/>
      <c r="O314" s="134"/>
      <c r="P314" s="120"/>
      <c r="Q314" s="120"/>
      <c r="R314" s="120"/>
      <c r="S314" s="120"/>
      <c r="T314" s="120"/>
      <c r="U314" s="120"/>
      <c r="V314" s="120"/>
    </row>
    <row r="315" spans="1:22">
      <c r="A315" s="135" t="s">
        <v>406</v>
      </c>
      <c r="B315" s="144">
        <f t="shared" ref="B315:O315" si="75">+(B192/B306)</f>
        <v>-9.9380660213148104</v>
      </c>
      <c r="C315" s="144">
        <f t="shared" si="75"/>
        <v>-6.3066980767987122</v>
      </c>
      <c r="D315" s="134" t="e">
        <f t="shared" si="75"/>
        <v>#REF!</v>
      </c>
      <c r="E315" s="134" t="e">
        <f t="shared" si="75"/>
        <v>#REF!</v>
      </c>
      <c r="F315" s="134" t="e">
        <f t="shared" si="75"/>
        <v>#REF!</v>
      </c>
      <c r="G315" s="134" t="e">
        <f t="shared" si="75"/>
        <v>#REF!</v>
      </c>
      <c r="H315" s="134" t="e">
        <f t="shared" si="75"/>
        <v>#REF!</v>
      </c>
      <c r="I315" s="134" t="e">
        <f t="shared" si="75"/>
        <v>#REF!</v>
      </c>
      <c r="J315" s="134" t="e">
        <f t="shared" si="75"/>
        <v>#REF!</v>
      </c>
      <c r="K315" s="134" t="e">
        <f t="shared" si="75"/>
        <v>#REF!</v>
      </c>
      <c r="L315" s="134" t="e">
        <f t="shared" si="75"/>
        <v>#REF!</v>
      </c>
      <c r="M315" s="134" t="e">
        <f>+(M192/M306)</f>
        <v>#REF!</v>
      </c>
      <c r="N315" s="134" t="e">
        <f t="shared" si="75"/>
        <v>#REF!</v>
      </c>
      <c r="O315" s="134" t="e">
        <f t="shared" si="75"/>
        <v>#REF!</v>
      </c>
      <c r="P315" s="120"/>
      <c r="Q315" s="120"/>
      <c r="R315" s="120"/>
      <c r="S315" s="120"/>
      <c r="T315" s="120"/>
      <c r="U315" s="120"/>
      <c r="V315" s="120"/>
    </row>
    <row r="316" spans="1:22">
      <c r="A316" s="126"/>
      <c r="B316" s="152"/>
      <c r="C316" s="152"/>
      <c r="D316" s="124"/>
      <c r="F316" s="124"/>
      <c r="G316" s="124"/>
      <c r="H316" s="124"/>
      <c r="I316" s="124"/>
      <c r="J316" s="124"/>
      <c r="K316" s="124"/>
      <c r="L316" s="124"/>
      <c r="M316" s="124"/>
      <c r="N316" s="124"/>
      <c r="O316" s="124"/>
      <c r="P316" s="120"/>
      <c r="Q316" s="120"/>
      <c r="R316" s="120"/>
      <c r="S316" s="120"/>
      <c r="T316" s="120"/>
      <c r="U316" s="120"/>
      <c r="V316" s="120"/>
    </row>
    <row r="317" spans="1:22">
      <c r="A317" s="138" t="s">
        <v>405</v>
      </c>
      <c r="B317" s="152"/>
      <c r="C317" s="152"/>
      <c r="D317" s="124"/>
      <c r="F317" s="124"/>
      <c r="G317" s="124"/>
      <c r="H317" s="124"/>
      <c r="I317" s="124"/>
      <c r="J317" s="124"/>
      <c r="K317" s="124"/>
      <c r="L317" s="124"/>
      <c r="M317" s="124"/>
      <c r="N317" s="124"/>
      <c r="O317" s="124"/>
      <c r="P317" s="120"/>
      <c r="Q317" s="120"/>
      <c r="R317" s="120"/>
      <c r="S317" s="120"/>
      <c r="T317" s="120"/>
      <c r="U317" s="120"/>
      <c r="V317" s="120"/>
    </row>
    <row r="318" spans="1:22">
      <c r="A318" s="126" t="s">
        <v>404</v>
      </c>
      <c r="B318" s="126">
        <v>0</v>
      </c>
      <c r="C318" s="126">
        <v>0</v>
      </c>
      <c r="D318" s="122">
        <v>0</v>
      </c>
      <c r="E318" s="124">
        <v>0</v>
      </c>
      <c r="F318" s="122"/>
      <c r="G318" s="122"/>
      <c r="H318" s="122"/>
      <c r="J318" s="122"/>
      <c r="K318" s="122"/>
      <c r="L318" s="122"/>
      <c r="M318" s="122"/>
      <c r="N318" s="122"/>
      <c r="O318" s="122"/>
      <c r="P318" s="120"/>
      <c r="Q318" s="120"/>
      <c r="R318" s="120"/>
      <c r="S318" s="120"/>
      <c r="T318" s="120"/>
      <c r="U318" s="120"/>
      <c r="V318" s="120"/>
    </row>
    <row r="319" spans="1:22">
      <c r="A319" s="126" t="s">
        <v>403</v>
      </c>
      <c r="B319" s="126">
        <v>0</v>
      </c>
      <c r="C319" s="126">
        <v>0</v>
      </c>
      <c r="D319" s="122">
        <v>0</v>
      </c>
      <c r="E319" s="124">
        <v>0</v>
      </c>
      <c r="F319" s="122"/>
      <c r="G319" s="122"/>
      <c r="H319" s="122"/>
      <c r="J319" s="122"/>
      <c r="K319" s="122"/>
      <c r="L319" s="122"/>
      <c r="M319" s="122"/>
      <c r="N319" s="122"/>
      <c r="O319" s="122"/>
      <c r="P319" s="120"/>
      <c r="Q319" s="120"/>
      <c r="R319" s="120"/>
      <c r="S319" s="120"/>
      <c r="T319" s="120"/>
      <c r="U319" s="120"/>
      <c r="V319" s="120"/>
    </row>
    <row r="320" spans="1:22">
      <c r="A320" s="126" t="s">
        <v>402</v>
      </c>
      <c r="B320" s="126">
        <v>0</v>
      </c>
      <c r="C320" s="126">
        <v>0</v>
      </c>
      <c r="D320" s="122">
        <v>0</v>
      </c>
      <c r="E320" s="124">
        <v>0</v>
      </c>
      <c r="F320" s="122"/>
      <c r="G320" s="122"/>
      <c r="H320" s="122"/>
      <c r="J320" s="122"/>
      <c r="K320" s="122"/>
      <c r="L320" s="122"/>
      <c r="M320" s="122"/>
      <c r="N320" s="122"/>
      <c r="O320" s="122"/>
      <c r="P320" s="120"/>
      <c r="Q320" s="120"/>
      <c r="R320" s="120"/>
      <c r="S320" s="120"/>
      <c r="T320" s="120"/>
      <c r="U320" s="120"/>
      <c r="V320" s="120"/>
    </row>
    <row r="321" spans="1:22">
      <c r="A321" s="126" t="s">
        <v>401</v>
      </c>
      <c r="B321" s="126">
        <v>0</v>
      </c>
      <c r="C321" s="126">
        <v>0</v>
      </c>
      <c r="D321" s="122">
        <v>0</v>
      </c>
      <c r="E321" s="124">
        <v>0</v>
      </c>
      <c r="F321" s="122"/>
      <c r="G321" s="122"/>
      <c r="H321" s="122"/>
      <c r="J321" s="122"/>
      <c r="K321" s="122"/>
      <c r="L321" s="122"/>
      <c r="M321" s="122"/>
      <c r="N321" s="122"/>
      <c r="O321" s="122"/>
      <c r="P321" s="120"/>
      <c r="Q321" s="120"/>
      <c r="R321" s="120"/>
      <c r="S321" s="120"/>
      <c r="T321" s="120"/>
      <c r="U321" s="120"/>
      <c r="V321" s="120"/>
    </row>
    <row r="322" spans="1:22">
      <c r="A322" s="126" t="s">
        <v>400</v>
      </c>
      <c r="B322" s="126">
        <v>0</v>
      </c>
      <c r="C322" s="126">
        <v>0</v>
      </c>
      <c r="D322" s="122">
        <v>0</v>
      </c>
      <c r="E322" s="124">
        <v>0</v>
      </c>
      <c r="F322" s="122"/>
      <c r="G322" s="122"/>
      <c r="H322" s="122"/>
      <c r="J322" s="122"/>
      <c r="K322" s="122"/>
      <c r="L322" s="122"/>
      <c r="M322" s="122"/>
      <c r="N322" s="122"/>
      <c r="O322" s="122"/>
      <c r="P322" s="120"/>
      <c r="Q322" s="120"/>
      <c r="R322" s="120"/>
      <c r="S322" s="120"/>
      <c r="T322" s="120"/>
      <c r="U322" s="120"/>
      <c r="V322" s="120"/>
    </row>
    <row r="323" spans="1:22">
      <c r="B323" s="125"/>
      <c r="I323" s="123"/>
      <c r="J323" s="123"/>
      <c r="K323" s="123"/>
      <c r="L323" s="123"/>
      <c r="M323" s="123"/>
      <c r="N323" s="123"/>
      <c r="O323" s="123"/>
      <c r="P323" s="120"/>
      <c r="Q323" s="120"/>
      <c r="R323" s="120"/>
      <c r="S323" s="120"/>
      <c r="T323" s="120"/>
      <c r="U323" s="120"/>
      <c r="V323" s="120"/>
    </row>
    <row r="324" spans="1:22" ht="15.75">
      <c r="A324" s="888" t="s">
        <v>399</v>
      </c>
      <c r="B324" s="888"/>
      <c r="C324" s="888"/>
      <c r="D324" s="888"/>
      <c r="E324" s="888"/>
      <c r="F324" s="172"/>
      <c r="G324" s="121"/>
      <c r="H324" s="121"/>
      <c r="P324" s="120"/>
      <c r="Q324" s="120"/>
      <c r="R324" s="120"/>
      <c r="S324" s="120"/>
      <c r="T324" s="120"/>
      <c r="U324" s="120"/>
      <c r="V324" s="120"/>
    </row>
    <row r="325" spans="1:22">
      <c r="A325" s="889" t="s">
        <v>366</v>
      </c>
      <c r="B325" s="889"/>
      <c r="C325" s="889"/>
      <c r="D325" s="889"/>
      <c r="E325" s="889"/>
      <c r="F325" s="157"/>
      <c r="G325" s="121"/>
      <c r="H325" s="121"/>
    </row>
    <row r="326" spans="1:22">
      <c r="A326" s="173" t="s">
        <v>398</v>
      </c>
      <c r="B326" s="173"/>
      <c r="C326" s="173"/>
      <c r="D326" s="155"/>
      <c r="E326" s="127"/>
      <c r="F326" s="155"/>
      <c r="G326" s="155"/>
      <c r="H326" s="155"/>
    </row>
    <row r="327" spans="1:22">
      <c r="E327" s="129"/>
      <c r="F327" s="129"/>
      <c r="G327" s="129"/>
      <c r="H327" s="129"/>
    </row>
    <row r="328" spans="1:22" s="174" customFormat="1" ht="15">
      <c r="A328" s="125"/>
      <c r="B328" s="156" t="str">
        <f t="shared" ref="B328:G329" si="76">+B273</f>
        <v>31.03.12</v>
      </c>
      <c r="C328" s="156" t="str">
        <f t="shared" si="76"/>
        <v>31.03.13</v>
      </c>
      <c r="D328" s="140" t="str">
        <f t="shared" si="76"/>
        <v>31.03.14</v>
      </c>
      <c r="E328" s="134" t="str">
        <f t="shared" si="76"/>
        <v>31.03.15</v>
      </c>
      <c r="F328" s="140" t="str">
        <f t="shared" si="76"/>
        <v>31.03.16</v>
      </c>
      <c r="G328" s="140" t="str">
        <f t="shared" si="76"/>
        <v>31.03.17</v>
      </c>
      <c r="H328" s="140" t="s">
        <v>278</v>
      </c>
      <c r="I328" s="140" t="str">
        <f t="shared" ref="I328:O330" si="77">+I273</f>
        <v>31.03.19</v>
      </c>
      <c r="J328" s="140" t="str">
        <f t="shared" si="77"/>
        <v>31.03.20</v>
      </c>
      <c r="K328" s="140" t="str">
        <f t="shared" si="77"/>
        <v>31.03.21</v>
      </c>
      <c r="L328" s="140" t="str">
        <f t="shared" si="77"/>
        <v>31.03.22</v>
      </c>
      <c r="M328" s="140" t="str">
        <f>+M273</f>
        <v>31.03.23</v>
      </c>
      <c r="N328" s="140" t="str">
        <f t="shared" si="77"/>
        <v>31.03.20</v>
      </c>
      <c r="O328" s="140" t="str">
        <f t="shared" si="77"/>
        <v>31.03.21</v>
      </c>
      <c r="P328" s="175"/>
      <c r="Q328" s="175"/>
      <c r="R328" s="175"/>
      <c r="S328" s="175"/>
      <c r="T328" s="175"/>
      <c r="U328" s="175"/>
      <c r="V328" s="175"/>
    </row>
    <row r="329" spans="1:22">
      <c r="A329" s="156" t="s">
        <v>300</v>
      </c>
      <c r="B329" s="156" t="str">
        <f t="shared" si="76"/>
        <v>AUDITED</v>
      </c>
      <c r="C329" s="156" t="str">
        <f t="shared" si="76"/>
        <v>AUDITED</v>
      </c>
      <c r="D329" s="140" t="str">
        <f t="shared" si="76"/>
        <v>Prov.</v>
      </c>
      <c r="E329" s="134" t="str">
        <f t="shared" si="76"/>
        <v>Proj.</v>
      </c>
      <c r="F329" s="140" t="str">
        <f t="shared" si="76"/>
        <v>Proj.</v>
      </c>
      <c r="G329" s="140" t="str">
        <f t="shared" si="76"/>
        <v>Proj.</v>
      </c>
      <c r="H329" s="140" t="s">
        <v>277</v>
      </c>
      <c r="I329" s="140" t="str">
        <f t="shared" si="77"/>
        <v>Proj.</v>
      </c>
      <c r="J329" s="140" t="str">
        <f t="shared" si="77"/>
        <v>Proj.</v>
      </c>
      <c r="K329" s="140" t="str">
        <f t="shared" si="77"/>
        <v>Proj.</v>
      </c>
      <c r="L329" s="140" t="str">
        <f t="shared" si="77"/>
        <v>Proj.</v>
      </c>
      <c r="M329" s="140" t="str">
        <f>+M274</f>
        <v>Proj.</v>
      </c>
      <c r="N329" s="140" t="str">
        <f t="shared" si="77"/>
        <v>Proj.</v>
      </c>
      <c r="O329" s="140" t="str">
        <f t="shared" si="77"/>
        <v>Proj.</v>
      </c>
    </row>
    <row r="330" spans="1:22">
      <c r="A330" s="125"/>
      <c r="B330" s="156">
        <f>+B275</f>
        <v>0</v>
      </c>
      <c r="C330" s="156">
        <f>+C275</f>
        <v>0</v>
      </c>
      <c r="D330" s="140">
        <f>+D275</f>
        <v>0</v>
      </c>
      <c r="E330" s="134">
        <f>+E275</f>
        <v>0</v>
      </c>
      <c r="F330" s="140"/>
      <c r="G330" s="140">
        <f>+G275</f>
        <v>0</v>
      </c>
      <c r="H330" s="140"/>
      <c r="I330" s="140">
        <f t="shared" si="77"/>
        <v>0</v>
      </c>
      <c r="J330" s="140">
        <f t="shared" si="77"/>
        <v>0</v>
      </c>
      <c r="K330" s="140">
        <f t="shared" si="77"/>
        <v>0</v>
      </c>
      <c r="L330" s="140">
        <f t="shared" si="77"/>
        <v>0</v>
      </c>
      <c r="M330" s="140">
        <f>+M275</f>
        <v>0</v>
      </c>
      <c r="N330" s="140">
        <f t="shared" si="77"/>
        <v>0</v>
      </c>
      <c r="O330" s="140">
        <f t="shared" si="77"/>
        <v>0</v>
      </c>
    </row>
    <row r="331" spans="1:22">
      <c r="A331" s="125"/>
      <c r="B331" s="171">
        <v>1</v>
      </c>
      <c r="C331" s="171">
        <v>2</v>
      </c>
      <c r="D331" s="169">
        <v>3</v>
      </c>
      <c r="E331" s="127">
        <v>4</v>
      </c>
      <c r="F331" s="155"/>
      <c r="G331" s="155"/>
      <c r="H331" s="155"/>
    </row>
    <row r="332" spans="1:22">
      <c r="A332" s="126"/>
      <c r="B332" s="152"/>
      <c r="C332" s="152"/>
      <c r="D332" s="124"/>
      <c r="F332" s="124"/>
      <c r="G332" s="124"/>
      <c r="H332" s="124"/>
    </row>
    <row r="333" spans="1:22">
      <c r="A333" s="154" t="s">
        <v>397</v>
      </c>
      <c r="B333" s="152"/>
      <c r="C333" s="152"/>
      <c r="D333" s="124"/>
      <c r="F333" s="124"/>
      <c r="G333" s="124"/>
      <c r="H333" s="124"/>
    </row>
    <row r="334" spans="1:22">
      <c r="A334" s="154"/>
      <c r="B334" s="152"/>
      <c r="C334" s="152"/>
      <c r="D334" s="124"/>
      <c r="F334" s="124"/>
      <c r="G334" s="124"/>
      <c r="H334" s="124"/>
    </row>
    <row r="335" spans="1:22">
      <c r="A335" s="126" t="s">
        <v>396</v>
      </c>
      <c r="B335" s="152">
        <f t="shared" ref="B335:O335" si="78">+B338+B341</f>
        <v>0</v>
      </c>
      <c r="C335" s="152">
        <f t="shared" si="78"/>
        <v>0</v>
      </c>
      <c r="D335" s="124">
        <f t="shared" si="78"/>
        <v>0</v>
      </c>
      <c r="E335" s="124">
        <f t="shared" si="78"/>
        <v>0</v>
      </c>
      <c r="F335" s="124">
        <f t="shared" si="78"/>
        <v>0</v>
      </c>
      <c r="G335" s="124">
        <f t="shared" si="78"/>
        <v>0</v>
      </c>
      <c r="H335" s="124">
        <f t="shared" si="78"/>
        <v>0</v>
      </c>
      <c r="I335" s="124">
        <f t="shared" si="78"/>
        <v>0</v>
      </c>
      <c r="J335" s="124">
        <f t="shared" si="78"/>
        <v>0</v>
      </c>
      <c r="K335" s="124">
        <f t="shared" si="78"/>
        <v>0</v>
      </c>
      <c r="L335" s="124">
        <f t="shared" si="78"/>
        <v>0</v>
      </c>
      <c r="M335" s="124">
        <f>+M338+M341</f>
        <v>0</v>
      </c>
      <c r="N335" s="124" t="e">
        <f t="shared" si="78"/>
        <v>#REF!</v>
      </c>
      <c r="O335" s="124" t="e">
        <f t="shared" si="78"/>
        <v>#REF!</v>
      </c>
    </row>
    <row r="336" spans="1:22">
      <c r="A336" s="126" t="s">
        <v>395</v>
      </c>
      <c r="B336" s="152">
        <f>+B335*6/B32</f>
        <v>0</v>
      </c>
      <c r="C336" s="152">
        <f>+C335*12/C32</f>
        <v>0</v>
      </c>
      <c r="D336" s="124">
        <f>+D335*12/D32</f>
        <v>0</v>
      </c>
      <c r="E336" s="124">
        <f>+E335*12/E32</f>
        <v>0</v>
      </c>
      <c r="F336" s="124">
        <f>+F335*9/F32</f>
        <v>0</v>
      </c>
      <c r="G336" s="124">
        <f t="shared" ref="G336:O336" si="79">+G335*12/G32</f>
        <v>0</v>
      </c>
      <c r="H336" s="124">
        <f t="shared" si="79"/>
        <v>0</v>
      </c>
      <c r="I336" s="124">
        <f t="shared" si="79"/>
        <v>0</v>
      </c>
      <c r="J336" s="124">
        <f t="shared" si="79"/>
        <v>0</v>
      </c>
      <c r="K336" s="124">
        <f t="shared" si="79"/>
        <v>0</v>
      </c>
      <c r="L336" s="124">
        <f t="shared" si="79"/>
        <v>0</v>
      </c>
      <c r="M336" s="124">
        <f>+M335*12/M32</f>
        <v>0</v>
      </c>
      <c r="N336" s="124" t="e">
        <f t="shared" si="79"/>
        <v>#REF!</v>
      </c>
      <c r="O336" s="124" t="e">
        <f t="shared" si="79"/>
        <v>#REF!</v>
      </c>
    </row>
    <row r="337" spans="1:22">
      <c r="A337" s="126" t="s">
        <v>394</v>
      </c>
      <c r="B337" s="152"/>
      <c r="C337" s="152"/>
      <c r="D337" s="124"/>
      <c r="F337" s="124"/>
      <c r="G337" s="124"/>
      <c r="H337" s="124"/>
      <c r="I337" s="124"/>
      <c r="J337" s="124"/>
      <c r="K337" s="124"/>
      <c r="L337" s="124"/>
      <c r="M337" s="124"/>
      <c r="N337" s="124"/>
      <c r="O337" s="124"/>
    </row>
    <row r="338" spans="1:22">
      <c r="A338" s="126" t="s">
        <v>393</v>
      </c>
      <c r="B338" s="152">
        <f t="shared" ref="B338:G338" si="80">+B250</f>
        <v>0</v>
      </c>
      <c r="C338" s="152">
        <f t="shared" si="80"/>
        <v>0</v>
      </c>
      <c r="D338" s="124">
        <f t="shared" si="80"/>
        <v>0</v>
      </c>
      <c r="E338" s="124">
        <f t="shared" si="80"/>
        <v>0</v>
      </c>
      <c r="F338" s="124">
        <f t="shared" si="80"/>
        <v>0</v>
      </c>
      <c r="G338" s="124">
        <f t="shared" si="80"/>
        <v>0</v>
      </c>
      <c r="H338" s="124"/>
      <c r="I338" s="124">
        <f t="shared" ref="I338:O338" si="81">+I250</f>
        <v>0</v>
      </c>
      <c r="J338" s="124">
        <f t="shared" si="81"/>
        <v>0</v>
      </c>
      <c r="K338" s="124">
        <f t="shared" si="81"/>
        <v>0</v>
      </c>
      <c r="L338" s="124">
        <f t="shared" si="81"/>
        <v>0</v>
      </c>
      <c r="M338" s="124">
        <f>+M250</f>
        <v>0</v>
      </c>
      <c r="N338" s="124" t="e">
        <f t="shared" si="81"/>
        <v>#REF!</v>
      </c>
      <c r="O338" s="124" t="e">
        <f t="shared" si="81"/>
        <v>#REF!</v>
      </c>
    </row>
    <row r="339" spans="1:22">
      <c r="A339" s="126" t="s">
        <v>391</v>
      </c>
      <c r="B339" s="152" t="e">
        <f>+B338*6/B34</f>
        <v>#DIV/0!</v>
      </c>
      <c r="C339" s="152" t="e">
        <f t="shared" ref="C339:O339" si="82">+C338*12/C34</f>
        <v>#DIV/0!</v>
      </c>
      <c r="D339" s="124" t="e">
        <f t="shared" si="82"/>
        <v>#DIV/0!</v>
      </c>
      <c r="E339" s="124" t="e">
        <f t="shared" si="82"/>
        <v>#DIV/0!</v>
      </c>
      <c r="F339" s="124" t="e">
        <f t="shared" si="82"/>
        <v>#DIV/0!</v>
      </c>
      <c r="G339" s="124" t="e">
        <f t="shared" si="82"/>
        <v>#DIV/0!</v>
      </c>
      <c r="H339" s="124" t="e">
        <f t="shared" si="82"/>
        <v>#DIV/0!</v>
      </c>
      <c r="I339" s="124" t="e">
        <f t="shared" si="82"/>
        <v>#DIV/0!</v>
      </c>
      <c r="J339" s="124" t="e">
        <f t="shared" si="82"/>
        <v>#DIV/0!</v>
      </c>
      <c r="K339" s="124" t="e">
        <f t="shared" si="82"/>
        <v>#DIV/0!</v>
      </c>
      <c r="L339" s="124" t="e">
        <f t="shared" si="82"/>
        <v>#DIV/0!</v>
      </c>
      <c r="M339" s="124" t="e">
        <f>+M338*12/M34</f>
        <v>#DIV/0!</v>
      </c>
      <c r="N339" s="124" t="e">
        <f t="shared" si="82"/>
        <v>#REF!</v>
      </c>
      <c r="O339" s="124" t="e">
        <f t="shared" si="82"/>
        <v>#REF!</v>
      </c>
    </row>
    <row r="340" spans="1:22">
      <c r="A340" s="126"/>
      <c r="B340" s="152"/>
      <c r="C340" s="152"/>
      <c r="D340" s="124"/>
      <c r="F340" s="124"/>
      <c r="G340" s="124"/>
      <c r="H340" s="124"/>
      <c r="I340" s="124"/>
      <c r="J340" s="124"/>
      <c r="K340" s="124"/>
      <c r="L340" s="124"/>
      <c r="M340" s="124"/>
      <c r="N340" s="124"/>
      <c r="O340" s="124"/>
    </row>
    <row r="341" spans="1:22">
      <c r="A341" s="126" t="s">
        <v>392</v>
      </c>
      <c r="B341" s="152">
        <f t="shared" ref="B341:O341" si="83">+B251</f>
        <v>0</v>
      </c>
      <c r="C341" s="152">
        <f t="shared" si="83"/>
        <v>0</v>
      </c>
      <c r="D341" s="124">
        <f t="shared" si="83"/>
        <v>0</v>
      </c>
      <c r="E341" s="124">
        <f t="shared" si="83"/>
        <v>0</v>
      </c>
      <c r="F341" s="124">
        <f t="shared" si="83"/>
        <v>0</v>
      </c>
      <c r="G341" s="124">
        <f t="shared" si="83"/>
        <v>0</v>
      </c>
      <c r="H341" s="124">
        <f t="shared" si="83"/>
        <v>0</v>
      </c>
      <c r="I341" s="124">
        <f t="shared" si="83"/>
        <v>0</v>
      </c>
      <c r="J341" s="124">
        <f t="shared" si="83"/>
        <v>0</v>
      </c>
      <c r="K341" s="124">
        <f t="shared" si="83"/>
        <v>0</v>
      </c>
      <c r="L341" s="124">
        <f t="shared" si="83"/>
        <v>0</v>
      </c>
      <c r="M341" s="124">
        <f>+M251</f>
        <v>0</v>
      </c>
      <c r="N341" s="124">
        <f t="shared" si="83"/>
        <v>0</v>
      </c>
      <c r="O341" s="124">
        <f t="shared" si="83"/>
        <v>0</v>
      </c>
      <c r="P341" s="120"/>
      <c r="Q341" s="120"/>
      <c r="R341" s="120"/>
      <c r="S341" s="120"/>
      <c r="T341" s="120"/>
      <c r="U341" s="120"/>
      <c r="V341" s="120"/>
    </row>
    <row r="342" spans="1:22">
      <c r="A342" s="126" t="s">
        <v>391</v>
      </c>
      <c r="B342" s="152">
        <f>+(B341*6)/B35</f>
        <v>0</v>
      </c>
      <c r="C342" s="152">
        <f>+(C341*12)/C35</f>
        <v>0</v>
      </c>
      <c r="D342" s="124">
        <f>+(D341*12)/D35</f>
        <v>0</v>
      </c>
      <c r="E342" s="124">
        <f>+(E341*12)/E35</f>
        <v>0</v>
      </c>
      <c r="F342" s="124">
        <f>+(F341*9)/F35</f>
        <v>0</v>
      </c>
      <c r="G342" s="124">
        <f t="shared" ref="G342:O342" si="84">+(G341*12)/G35</f>
        <v>0</v>
      </c>
      <c r="H342" s="124">
        <f t="shared" si="84"/>
        <v>0</v>
      </c>
      <c r="I342" s="124">
        <f t="shared" si="84"/>
        <v>0</v>
      </c>
      <c r="J342" s="124">
        <f t="shared" si="84"/>
        <v>0</v>
      </c>
      <c r="K342" s="124">
        <f t="shared" si="84"/>
        <v>0</v>
      </c>
      <c r="L342" s="124">
        <f t="shared" si="84"/>
        <v>0</v>
      </c>
      <c r="M342" s="124">
        <f>+(M341*12)/M35</f>
        <v>0</v>
      </c>
      <c r="N342" s="124" t="e">
        <f t="shared" si="84"/>
        <v>#REF!</v>
      </c>
      <c r="O342" s="124" t="e">
        <f t="shared" si="84"/>
        <v>#REF!</v>
      </c>
      <c r="P342" s="120"/>
      <c r="Q342" s="120"/>
      <c r="R342" s="120"/>
      <c r="S342" s="120"/>
      <c r="T342" s="120"/>
      <c r="U342" s="120"/>
      <c r="V342" s="120"/>
    </row>
    <row r="343" spans="1:22">
      <c r="A343" s="126"/>
      <c r="B343" s="152"/>
      <c r="C343" s="152"/>
      <c r="D343" s="124"/>
      <c r="F343" s="124"/>
      <c r="G343" s="124"/>
      <c r="H343" s="124"/>
      <c r="I343" s="124"/>
      <c r="J343" s="124"/>
      <c r="K343" s="124"/>
      <c r="L343" s="124"/>
      <c r="M343" s="124"/>
      <c r="N343" s="124"/>
      <c r="O343" s="124"/>
      <c r="P343" s="120"/>
      <c r="Q343" s="120"/>
      <c r="R343" s="120"/>
      <c r="S343" s="120"/>
      <c r="T343" s="120"/>
      <c r="U343" s="120"/>
      <c r="V343" s="120"/>
    </row>
    <row r="344" spans="1:22">
      <c r="A344" s="126" t="s">
        <v>390</v>
      </c>
      <c r="B344" s="152"/>
      <c r="C344" s="152"/>
      <c r="D344" s="124"/>
      <c r="F344" s="124"/>
      <c r="G344" s="124"/>
      <c r="H344" s="124"/>
      <c r="I344" s="124"/>
      <c r="J344" s="124"/>
      <c r="K344" s="124"/>
      <c r="L344" s="124"/>
      <c r="M344" s="124"/>
      <c r="N344" s="124"/>
      <c r="O344" s="124"/>
      <c r="P344" s="120"/>
      <c r="Q344" s="120"/>
      <c r="R344" s="120"/>
      <c r="S344" s="120"/>
      <c r="T344" s="120"/>
      <c r="U344" s="120"/>
      <c r="V344" s="120"/>
    </row>
    <row r="345" spans="1:22">
      <c r="A345" s="126" t="s">
        <v>389</v>
      </c>
      <c r="B345" s="152"/>
      <c r="C345" s="152"/>
      <c r="D345" s="124"/>
      <c r="F345" s="124"/>
      <c r="G345" s="124"/>
      <c r="H345" s="124"/>
      <c r="I345" s="124"/>
      <c r="J345" s="124"/>
      <c r="K345" s="124"/>
      <c r="L345" s="124"/>
      <c r="M345" s="124"/>
      <c r="N345" s="124"/>
      <c r="O345" s="124"/>
      <c r="P345" s="120"/>
      <c r="Q345" s="120"/>
      <c r="R345" s="120"/>
      <c r="S345" s="120"/>
      <c r="T345" s="120"/>
      <c r="U345" s="120"/>
      <c r="V345" s="120"/>
    </row>
    <row r="346" spans="1:22">
      <c r="A346" s="126" t="s">
        <v>388</v>
      </c>
      <c r="B346" s="152"/>
      <c r="C346" s="152"/>
      <c r="D346" s="124"/>
      <c r="F346" s="124"/>
      <c r="G346" s="124"/>
      <c r="H346" s="124"/>
      <c r="I346" s="124"/>
      <c r="J346" s="124"/>
      <c r="K346" s="124"/>
      <c r="L346" s="124"/>
      <c r="M346" s="124"/>
      <c r="N346" s="124"/>
      <c r="O346" s="124"/>
      <c r="P346" s="120"/>
      <c r="Q346" s="120"/>
      <c r="R346" s="120"/>
      <c r="S346" s="120"/>
      <c r="T346" s="120"/>
      <c r="U346" s="120"/>
      <c r="V346" s="120"/>
    </row>
    <row r="347" spans="1:22">
      <c r="A347" s="126" t="s">
        <v>386</v>
      </c>
      <c r="B347" s="152"/>
      <c r="C347" s="152"/>
      <c r="D347" s="124"/>
      <c r="F347" s="124"/>
      <c r="G347" s="124"/>
      <c r="H347" s="124"/>
      <c r="I347" s="124"/>
      <c r="J347" s="124"/>
      <c r="K347" s="124"/>
      <c r="L347" s="124"/>
      <c r="M347" s="124"/>
      <c r="N347" s="124"/>
      <c r="O347" s="124"/>
      <c r="P347" s="120"/>
      <c r="Q347" s="120"/>
      <c r="R347" s="120"/>
      <c r="S347" s="120"/>
      <c r="T347" s="120"/>
      <c r="U347" s="120"/>
      <c r="V347" s="120"/>
    </row>
    <row r="348" spans="1:22">
      <c r="A348" s="126"/>
      <c r="B348" s="152"/>
      <c r="C348" s="152"/>
      <c r="D348" s="124"/>
      <c r="F348" s="124"/>
      <c r="G348" s="124"/>
      <c r="H348" s="124"/>
      <c r="I348" s="124"/>
      <c r="J348" s="124"/>
      <c r="K348" s="124"/>
      <c r="L348" s="124"/>
      <c r="M348" s="124"/>
      <c r="N348" s="124"/>
      <c r="O348" s="124"/>
      <c r="P348" s="120"/>
      <c r="Q348" s="120"/>
      <c r="R348" s="120"/>
      <c r="S348" s="120"/>
      <c r="T348" s="120"/>
      <c r="U348" s="120"/>
      <c r="V348" s="120"/>
    </row>
    <row r="349" spans="1:22">
      <c r="A349" s="126" t="s">
        <v>387</v>
      </c>
      <c r="B349" s="152">
        <f t="shared" ref="B349:O349" si="85">B259</f>
        <v>0</v>
      </c>
      <c r="C349" s="152">
        <f t="shared" si="85"/>
        <v>0</v>
      </c>
      <c r="D349" s="124">
        <f t="shared" si="85"/>
        <v>0</v>
      </c>
      <c r="E349" s="124">
        <f t="shared" si="85"/>
        <v>0</v>
      </c>
      <c r="F349" s="124">
        <f t="shared" si="85"/>
        <v>0</v>
      </c>
      <c r="G349" s="124">
        <f t="shared" si="85"/>
        <v>0</v>
      </c>
      <c r="H349" s="124">
        <f t="shared" si="85"/>
        <v>0</v>
      </c>
      <c r="I349" s="124">
        <f t="shared" si="85"/>
        <v>0</v>
      </c>
      <c r="J349" s="124">
        <f t="shared" si="85"/>
        <v>0</v>
      </c>
      <c r="K349" s="124">
        <f t="shared" si="85"/>
        <v>0</v>
      </c>
      <c r="L349" s="124">
        <f t="shared" si="85"/>
        <v>0</v>
      </c>
      <c r="M349" s="124">
        <f>M259</f>
        <v>0</v>
      </c>
      <c r="N349" s="124">
        <f t="shared" si="85"/>
        <v>0</v>
      </c>
      <c r="O349" s="124">
        <f t="shared" si="85"/>
        <v>0</v>
      </c>
      <c r="P349" s="120"/>
      <c r="Q349" s="120"/>
      <c r="R349" s="120"/>
      <c r="S349" s="120"/>
      <c r="T349" s="120"/>
      <c r="U349" s="120"/>
      <c r="V349" s="120"/>
    </row>
    <row r="350" spans="1:22">
      <c r="A350" s="126" t="s">
        <v>386</v>
      </c>
      <c r="B350" s="152">
        <f>+(B349*6)/(B37+B42)</f>
        <v>0</v>
      </c>
      <c r="C350" s="152">
        <f>+(C349*12)/(C37+C42)</f>
        <v>0</v>
      </c>
      <c r="D350" s="124" t="e">
        <f>+(D349*12)/(D37+D42)</f>
        <v>#REF!</v>
      </c>
      <c r="E350" s="124" t="e">
        <f>+(E349*12)/(E37+E42)</f>
        <v>#REF!</v>
      </c>
      <c r="F350" s="124" t="e">
        <f>+(F349*9)/(F37+F42)</f>
        <v>#REF!</v>
      </c>
      <c r="G350" s="124" t="e">
        <f t="shared" ref="G350:O350" si="86">+(G349*12)/(G37+G42)</f>
        <v>#REF!</v>
      </c>
      <c r="H350" s="124" t="e">
        <f t="shared" si="86"/>
        <v>#REF!</v>
      </c>
      <c r="I350" s="124" t="e">
        <f t="shared" si="86"/>
        <v>#REF!</v>
      </c>
      <c r="J350" s="124" t="e">
        <f t="shared" si="86"/>
        <v>#REF!</v>
      </c>
      <c r="K350" s="124" t="e">
        <f t="shared" si="86"/>
        <v>#REF!</v>
      </c>
      <c r="L350" s="124" t="e">
        <f t="shared" si="86"/>
        <v>#REF!</v>
      </c>
      <c r="M350" s="124" t="e">
        <f>+(M349*12)/(M37+M42)</f>
        <v>#REF!</v>
      </c>
      <c r="N350" s="124" t="e">
        <f t="shared" si="86"/>
        <v>#REF!</v>
      </c>
      <c r="O350" s="124">
        <f t="shared" si="86"/>
        <v>0</v>
      </c>
      <c r="P350" s="120"/>
      <c r="Q350" s="120"/>
      <c r="R350" s="120"/>
      <c r="S350" s="120"/>
      <c r="T350" s="120"/>
      <c r="U350" s="120"/>
      <c r="V350" s="120"/>
    </row>
    <row r="351" spans="1:22">
      <c r="A351" s="126"/>
      <c r="B351" s="152"/>
      <c r="C351" s="152"/>
      <c r="D351" s="124"/>
      <c r="F351" s="124"/>
      <c r="G351" s="124"/>
      <c r="H351" s="124"/>
      <c r="I351" s="124"/>
      <c r="J351" s="124"/>
      <c r="K351" s="124"/>
      <c r="L351" s="124"/>
      <c r="M351" s="124"/>
      <c r="N351" s="124"/>
      <c r="O351" s="124"/>
      <c r="P351" s="120"/>
      <c r="Q351" s="120"/>
      <c r="R351" s="120"/>
      <c r="S351" s="120"/>
      <c r="T351" s="120"/>
      <c r="U351" s="120"/>
      <c r="V351" s="120"/>
    </row>
    <row r="352" spans="1:22">
      <c r="A352" s="126" t="s">
        <v>385</v>
      </c>
      <c r="B352" s="124"/>
      <c r="C352" s="124"/>
      <c r="D352" s="124"/>
      <c r="F352" s="124"/>
      <c r="G352" s="124"/>
      <c r="H352" s="124"/>
      <c r="I352" s="124"/>
      <c r="J352" s="124"/>
      <c r="K352" s="124"/>
      <c r="L352" s="124"/>
      <c r="M352" s="124"/>
      <c r="N352" s="124"/>
      <c r="O352" s="124"/>
      <c r="P352" s="120"/>
      <c r="Q352" s="120"/>
      <c r="R352" s="120"/>
      <c r="S352" s="120"/>
      <c r="T352" s="120"/>
      <c r="U352" s="120"/>
      <c r="V352" s="120"/>
    </row>
    <row r="353" spans="1:22">
      <c r="A353" s="126" t="s">
        <v>360</v>
      </c>
      <c r="B353" s="152">
        <f t="shared" ref="B353:O353" si="87">+B63</f>
        <v>0</v>
      </c>
      <c r="C353" s="152">
        <f t="shared" si="87"/>
        <v>0</v>
      </c>
      <c r="D353" s="124">
        <f t="shared" si="87"/>
        <v>0</v>
      </c>
      <c r="E353" s="124">
        <f t="shared" si="87"/>
        <v>0</v>
      </c>
      <c r="F353" s="124">
        <f t="shared" si="87"/>
        <v>0</v>
      </c>
      <c r="G353" s="124">
        <f t="shared" si="87"/>
        <v>0</v>
      </c>
      <c r="H353" s="124">
        <f t="shared" si="87"/>
        <v>0</v>
      </c>
      <c r="I353" s="124">
        <f t="shared" si="87"/>
        <v>0</v>
      </c>
      <c r="J353" s="124">
        <f t="shared" si="87"/>
        <v>0</v>
      </c>
      <c r="K353" s="124">
        <f t="shared" si="87"/>
        <v>0</v>
      </c>
      <c r="L353" s="124">
        <f t="shared" si="87"/>
        <v>0</v>
      </c>
      <c r="M353" s="124">
        <f>+M63</f>
        <v>0</v>
      </c>
      <c r="N353" s="124" t="e">
        <f t="shared" si="87"/>
        <v>#REF!</v>
      </c>
      <c r="O353" s="124">
        <f t="shared" si="87"/>
        <v>50</v>
      </c>
      <c r="P353" s="120"/>
      <c r="Q353" s="120"/>
      <c r="R353" s="120"/>
      <c r="S353" s="120"/>
      <c r="T353" s="120"/>
      <c r="U353" s="120"/>
      <c r="V353" s="120"/>
    </row>
    <row r="354" spans="1:22">
      <c r="A354" s="126" t="s">
        <v>384</v>
      </c>
      <c r="B354" s="124">
        <f>+(B353*6)/B65</f>
        <v>0</v>
      </c>
      <c r="C354" s="124">
        <f>+(C353*12)/C65</f>
        <v>0</v>
      </c>
      <c r="D354" s="124" t="e">
        <f>+(D353*12)/D65</f>
        <v>#REF!</v>
      </c>
      <c r="E354" s="124" t="e">
        <f>+(E353*12)/E65</f>
        <v>#REF!</v>
      </c>
      <c r="F354" s="124" t="e">
        <f>+(F353*9)/F65</f>
        <v>#REF!</v>
      </c>
      <c r="G354" s="124" t="e">
        <f t="shared" ref="G354:O354" si="88">+(G353*12)/G65</f>
        <v>#REF!</v>
      </c>
      <c r="H354" s="124" t="e">
        <f t="shared" si="88"/>
        <v>#REF!</v>
      </c>
      <c r="I354" s="124" t="e">
        <f t="shared" si="88"/>
        <v>#REF!</v>
      </c>
      <c r="J354" s="124" t="e">
        <f t="shared" si="88"/>
        <v>#REF!</v>
      </c>
      <c r="K354" s="124" t="e">
        <f t="shared" si="88"/>
        <v>#REF!</v>
      </c>
      <c r="L354" s="124" t="e">
        <f t="shared" si="88"/>
        <v>#REF!</v>
      </c>
      <c r="M354" s="124" t="e">
        <f>+(M353*12)/M65</f>
        <v>#REF!</v>
      </c>
      <c r="N354" s="124" t="e">
        <f t="shared" si="88"/>
        <v>#REF!</v>
      </c>
      <c r="O354" s="124" t="e">
        <f t="shared" si="88"/>
        <v>#REF!</v>
      </c>
      <c r="P354" s="120"/>
      <c r="Q354" s="120"/>
      <c r="R354" s="120"/>
      <c r="S354" s="120"/>
      <c r="T354" s="120"/>
      <c r="U354" s="120"/>
      <c r="V354" s="120"/>
    </row>
    <row r="355" spans="1:22">
      <c r="A355" s="126" t="s">
        <v>320</v>
      </c>
      <c r="B355" s="124"/>
      <c r="C355" s="124"/>
      <c r="D355" s="124"/>
      <c r="F355" s="124"/>
      <c r="G355" s="124"/>
      <c r="H355" s="124"/>
      <c r="I355" s="124"/>
      <c r="J355" s="124"/>
      <c r="K355" s="124"/>
      <c r="L355" s="124"/>
      <c r="M355" s="124"/>
      <c r="N355" s="124"/>
      <c r="O355" s="124"/>
      <c r="P355" s="120"/>
      <c r="Q355" s="120"/>
      <c r="R355" s="120"/>
      <c r="S355" s="120"/>
      <c r="T355" s="120"/>
      <c r="U355" s="120"/>
      <c r="V355" s="120"/>
    </row>
    <row r="356" spans="1:22">
      <c r="A356" s="126" t="s">
        <v>383</v>
      </c>
      <c r="B356" s="124"/>
      <c r="C356" s="124"/>
      <c r="D356" s="124"/>
      <c r="F356" s="124"/>
      <c r="G356" s="124"/>
      <c r="H356" s="124"/>
      <c r="I356" s="124"/>
      <c r="J356" s="124"/>
      <c r="K356" s="124"/>
      <c r="L356" s="124"/>
      <c r="M356" s="124"/>
      <c r="N356" s="124"/>
      <c r="O356" s="124"/>
      <c r="P356" s="120"/>
      <c r="Q356" s="120"/>
      <c r="R356" s="120"/>
      <c r="S356" s="120"/>
      <c r="T356" s="120"/>
      <c r="U356" s="120"/>
      <c r="V356" s="120"/>
    </row>
    <row r="357" spans="1:22">
      <c r="A357" s="126" t="s">
        <v>360</v>
      </c>
      <c r="B357" s="152">
        <f t="shared" ref="B357:O357" si="89">+B255</f>
        <v>0</v>
      </c>
      <c r="C357" s="152">
        <f t="shared" si="89"/>
        <v>0</v>
      </c>
      <c r="D357" s="124">
        <f t="shared" si="89"/>
        <v>0</v>
      </c>
      <c r="E357" s="124">
        <f t="shared" si="89"/>
        <v>0</v>
      </c>
      <c r="F357" s="124">
        <f t="shared" si="89"/>
        <v>0</v>
      </c>
      <c r="G357" s="124">
        <f t="shared" si="89"/>
        <v>0</v>
      </c>
      <c r="H357" s="124">
        <f t="shared" si="89"/>
        <v>0</v>
      </c>
      <c r="I357" s="124">
        <f t="shared" si="89"/>
        <v>0</v>
      </c>
      <c r="J357" s="124">
        <f t="shared" si="89"/>
        <v>0</v>
      </c>
      <c r="K357" s="124">
        <f t="shared" si="89"/>
        <v>0</v>
      </c>
      <c r="L357" s="124">
        <f t="shared" si="89"/>
        <v>0</v>
      </c>
      <c r="M357" s="124">
        <f>+M255</f>
        <v>0</v>
      </c>
      <c r="N357" s="124" t="e">
        <f t="shared" si="89"/>
        <v>#REF!</v>
      </c>
      <c r="O357" s="124">
        <f t="shared" si="89"/>
        <v>404.85</v>
      </c>
      <c r="P357" s="120"/>
      <c r="Q357" s="120"/>
      <c r="R357" s="120"/>
      <c r="S357" s="120"/>
      <c r="T357" s="120"/>
      <c r="U357" s="120"/>
      <c r="V357" s="120"/>
    </row>
    <row r="358" spans="1:22">
      <c r="A358" s="126" t="s">
        <v>382</v>
      </c>
      <c r="B358" s="124">
        <f>+(B357*6)/B73</f>
        <v>0</v>
      </c>
      <c r="C358" s="124">
        <f>+(C357*12)/C73</f>
        <v>0</v>
      </c>
      <c r="D358" s="124" t="e">
        <f>+(D357*12)/D73</f>
        <v>#REF!</v>
      </c>
      <c r="E358" s="124" t="e">
        <f>+(E357*12)/E73</f>
        <v>#REF!</v>
      </c>
      <c r="F358" s="124" t="e">
        <f>+(F357*9)/F73</f>
        <v>#REF!</v>
      </c>
      <c r="G358" s="124" t="e">
        <f t="shared" ref="G358:O358" si="90">+(G357*12)/G73</f>
        <v>#REF!</v>
      </c>
      <c r="H358" s="124" t="e">
        <f t="shared" si="90"/>
        <v>#REF!</v>
      </c>
      <c r="I358" s="124" t="e">
        <f t="shared" si="90"/>
        <v>#REF!</v>
      </c>
      <c r="J358" s="124" t="e">
        <f t="shared" si="90"/>
        <v>#REF!</v>
      </c>
      <c r="K358" s="124" t="e">
        <f t="shared" si="90"/>
        <v>#REF!</v>
      </c>
      <c r="L358" s="124" t="e">
        <f t="shared" si="90"/>
        <v>#REF!</v>
      </c>
      <c r="M358" s="124" t="e">
        <f>+(M357*12)/M73</f>
        <v>#REF!</v>
      </c>
      <c r="N358" s="124" t="e">
        <f t="shared" si="90"/>
        <v>#REF!</v>
      </c>
      <c r="O358" s="124" t="e">
        <f t="shared" si="90"/>
        <v>#REF!</v>
      </c>
      <c r="P358" s="120"/>
      <c r="Q358" s="120"/>
      <c r="R358" s="120"/>
      <c r="S358" s="120"/>
      <c r="T358" s="120"/>
      <c r="U358" s="120"/>
      <c r="V358" s="120"/>
    </row>
    <row r="359" spans="1:22">
      <c r="A359" s="126"/>
      <c r="B359" s="124"/>
      <c r="C359" s="124"/>
      <c r="D359" s="124"/>
      <c r="F359" s="124"/>
      <c r="G359" s="124"/>
      <c r="H359" s="124"/>
      <c r="I359" s="124"/>
      <c r="J359" s="124"/>
      <c r="K359" s="124"/>
      <c r="L359" s="124"/>
      <c r="M359" s="124"/>
      <c r="N359" s="124"/>
      <c r="O359" s="124"/>
      <c r="P359" s="120"/>
      <c r="Q359" s="120"/>
      <c r="R359" s="120"/>
      <c r="S359" s="120"/>
      <c r="T359" s="120"/>
      <c r="U359" s="120"/>
      <c r="V359" s="120"/>
    </row>
    <row r="360" spans="1:22">
      <c r="A360" s="126" t="s">
        <v>381</v>
      </c>
      <c r="B360" s="124"/>
      <c r="C360" s="124"/>
      <c r="D360" s="124"/>
      <c r="F360" s="124"/>
      <c r="G360" s="124"/>
      <c r="H360" s="124"/>
      <c r="I360" s="124"/>
      <c r="J360" s="124"/>
      <c r="K360" s="124"/>
      <c r="L360" s="124"/>
      <c r="M360" s="124"/>
      <c r="N360" s="124"/>
      <c r="O360" s="124"/>
      <c r="P360" s="120"/>
      <c r="Q360" s="120"/>
      <c r="R360" s="120"/>
      <c r="S360" s="120"/>
      <c r="T360" s="120"/>
      <c r="U360" s="120"/>
      <c r="V360" s="120"/>
    </row>
    <row r="361" spans="1:22">
      <c r="A361" s="126" t="s">
        <v>380</v>
      </c>
      <c r="B361" s="124"/>
      <c r="C361" s="124"/>
      <c r="D361" s="124"/>
      <c r="F361" s="124"/>
      <c r="G361" s="124"/>
      <c r="H361" s="124"/>
      <c r="I361" s="124"/>
      <c r="J361" s="124"/>
      <c r="K361" s="124"/>
      <c r="L361" s="124"/>
      <c r="M361" s="124"/>
      <c r="N361" s="124"/>
      <c r="O361" s="124"/>
      <c r="P361" s="120"/>
      <c r="Q361" s="120"/>
      <c r="R361" s="120"/>
      <c r="S361" s="120"/>
      <c r="T361" s="120"/>
      <c r="U361" s="120"/>
      <c r="V361" s="120"/>
    </row>
    <row r="362" spans="1:22">
      <c r="A362" s="126" t="s">
        <v>379</v>
      </c>
      <c r="B362" s="124"/>
      <c r="C362" s="124"/>
      <c r="D362" s="124"/>
      <c r="F362" s="124"/>
      <c r="G362" s="124"/>
      <c r="H362" s="124"/>
      <c r="I362" s="124"/>
      <c r="J362" s="124"/>
      <c r="K362" s="124"/>
      <c r="L362" s="124"/>
      <c r="M362" s="124"/>
      <c r="N362" s="124"/>
      <c r="O362" s="124"/>
      <c r="P362" s="120"/>
      <c r="Q362" s="120"/>
      <c r="R362" s="120"/>
      <c r="S362" s="120"/>
      <c r="T362" s="120"/>
      <c r="U362" s="120"/>
      <c r="V362" s="120"/>
    </row>
    <row r="363" spans="1:22">
      <c r="A363" s="126" t="s">
        <v>360</v>
      </c>
      <c r="B363" s="152">
        <f t="shared" ref="B363:O363" si="91">+B239</f>
        <v>0</v>
      </c>
      <c r="C363" s="152">
        <f t="shared" si="91"/>
        <v>0</v>
      </c>
      <c r="D363" s="124">
        <f t="shared" si="91"/>
        <v>0</v>
      </c>
      <c r="E363" s="124">
        <f t="shared" si="91"/>
        <v>0</v>
      </c>
      <c r="F363" s="124">
        <f t="shared" si="91"/>
        <v>0</v>
      </c>
      <c r="G363" s="124">
        <f t="shared" si="91"/>
        <v>0</v>
      </c>
      <c r="H363" s="124">
        <f t="shared" si="91"/>
        <v>0</v>
      </c>
      <c r="I363" s="124">
        <f t="shared" si="91"/>
        <v>0</v>
      </c>
      <c r="J363" s="124">
        <f t="shared" si="91"/>
        <v>0</v>
      </c>
      <c r="K363" s="124">
        <f t="shared" si="91"/>
        <v>0</v>
      </c>
      <c r="L363" s="124">
        <f t="shared" si="91"/>
        <v>0</v>
      </c>
      <c r="M363" s="124">
        <f>+M239</f>
        <v>0</v>
      </c>
      <c r="N363" s="124">
        <f t="shared" si="91"/>
        <v>2225.77</v>
      </c>
      <c r="O363" s="124">
        <f t="shared" si="91"/>
        <v>2225.77</v>
      </c>
      <c r="P363" s="120"/>
      <c r="Q363" s="120"/>
      <c r="R363" s="120"/>
      <c r="S363" s="120"/>
      <c r="T363" s="120"/>
      <c r="U363" s="120"/>
      <c r="V363" s="120"/>
    </row>
    <row r="364" spans="1:22">
      <c r="A364" s="126" t="s">
        <v>378</v>
      </c>
      <c r="B364" s="152">
        <f>+(B363*6)/B19</f>
        <v>0</v>
      </c>
      <c r="C364" s="152">
        <f>+(C363*12)/C19</f>
        <v>0</v>
      </c>
      <c r="D364" s="124" t="e">
        <f>+(D363*12)/D19</f>
        <v>#REF!</v>
      </c>
      <c r="E364" s="124" t="e">
        <f>+(E363*12)/E19</f>
        <v>#REF!</v>
      </c>
      <c r="F364" s="124" t="e">
        <f>+(F363*9)/F19</f>
        <v>#REF!</v>
      </c>
      <c r="G364" s="124" t="e">
        <f t="shared" ref="G364:O364" si="92">+(G363*12)/G19</f>
        <v>#REF!</v>
      </c>
      <c r="H364" s="124" t="e">
        <f t="shared" si="92"/>
        <v>#REF!</v>
      </c>
      <c r="I364" s="124" t="e">
        <f t="shared" si="92"/>
        <v>#REF!</v>
      </c>
      <c r="J364" s="124" t="e">
        <f t="shared" si="92"/>
        <v>#REF!</v>
      </c>
      <c r="K364" s="124" t="e">
        <f t="shared" si="92"/>
        <v>#REF!</v>
      </c>
      <c r="L364" s="124" t="e">
        <f t="shared" si="92"/>
        <v>#REF!</v>
      </c>
      <c r="M364" s="124" t="e">
        <f>+(M363*12)/M19</f>
        <v>#REF!</v>
      </c>
      <c r="N364" s="124" t="e">
        <f t="shared" si="92"/>
        <v>#DIV/0!</v>
      </c>
      <c r="O364" s="124" t="e">
        <f t="shared" si="92"/>
        <v>#DIV/0!</v>
      </c>
      <c r="P364" s="120"/>
      <c r="Q364" s="120"/>
      <c r="R364" s="120"/>
      <c r="S364" s="120"/>
      <c r="T364" s="120"/>
      <c r="U364" s="120"/>
      <c r="V364" s="120"/>
    </row>
    <row r="365" spans="1:22">
      <c r="A365" s="126"/>
      <c r="B365" s="152"/>
      <c r="C365" s="152"/>
      <c r="D365" s="124"/>
      <c r="F365" s="124"/>
      <c r="G365" s="124"/>
      <c r="H365" s="124"/>
      <c r="I365" s="124"/>
      <c r="J365" s="124"/>
      <c r="K365" s="124"/>
      <c r="L365" s="124"/>
      <c r="M365" s="124"/>
      <c r="N365" s="124"/>
      <c r="O365" s="124"/>
      <c r="P365" s="120"/>
      <c r="Q365" s="120"/>
      <c r="R365" s="120"/>
      <c r="S365" s="120"/>
      <c r="T365" s="120"/>
      <c r="U365" s="120"/>
      <c r="V365" s="120"/>
    </row>
    <row r="366" spans="1:22">
      <c r="A366" s="126" t="s">
        <v>377</v>
      </c>
      <c r="B366" s="152">
        <f t="shared" ref="B366:G366" si="93">+B241</f>
        <v>0</v>
      </c>
      <c r="C366" s="152">
        <f t="shared" si="93"/>
        <v>0</v>
      </c>
      <c r="D366" s="124">
        <f t="shared" si="93"/>
        <v>0</v>
      </c>
      <c r="E366" s="124">
        <f t="shared" si="93"/>
        <v>0</v>
      </c>
      <c r="F366" s="124">
        <f t="shared" si="93"/>
        <v>0</v>
      </c>
      <c r="G366" s="124">
        <f t="shared" si="93"/>
        <v>0</v>
      </c>
      <c r="H366" s="124"/>
      <c r="I366" s="124">
        <f t="shared" ref="I366:O366" si="94">+I241</f>
        <v>0</v>
      </c>
      <c r="J366" s="124">
        <f t="shared" si="94"/>
        <v>0</v>
      </c>
      <c r="K366" s="124">
        <f t="shared" si="94"/>
        <v>0</v>
      </c>
      <c r="L366" s="124">
        <f t="shared" si="94"/>
        <v>0</v>
      </c>
      <c r="M366" s="124">
        <f>+M241</f>
        <v>0</v>
      </c>
      <c r="N366" s="124">
        <f t="shared" si="94"/>
        <v>0</v>
      </c>
      <c r="O366" s="124">
        <f t="shared" si="94"/>
        <v>0</v>
      </c>
      <c r="P366" s="120"/>
      <c r="Q366" s="120"/>
      <c r="R366" s="120"/>
      <c r="S366" s="120"/>
      <c r="T366" s="120"/>
      <c r="U366" s="120"/>
      <c r="V366" s="120"/>
    </row>
    <row r="367" spans="1:22">
      <c r="A367" s="126" t="s">
        <v>376</v>
      </c>
      <c r="B367" s="152"/>
      <c r="C367" s="152"/>
      <c r="D367" s="124"/>
      <c r="F367" s="124"/>
      <c r="G367" s="124"/>
      <c r="H367" s="124"/>
      <c r="I367" s="124"/>
      <c r="J367" s="124"/>
      <c r="K367" s="124"/>
      <c r="L367" s="124"/>
      <c r="M367" s="124"/>
      <c r="N367" s="124"/>
      <c r="O367" s="124"/>
      <c r="P367" s="120"/>
      <c r="Q367" s="120"/>
      <c r="R367" s="120"/>
      <c r="S367" s="120"/>
      <c r="T367" s="120"/>
      <c r="U367" s="120"/>
      <c r="V367" s="120"/>
    </row>
    <row r="368" spans="1:22">
      <c r="A368" s="126"/>
      <c r="B368" s="152"/>
      <c r="C368" s="152"/>
      <c r="D368" s="124"/>
      <c r="F368" s="124"/>
      <c r="G368" s="124"/>
      <c r="H368" s="124"/>
      <c r="I368" s="124"/>
      <c r="J368" s="124"/>
      <c r="K368" s="124"/>
      <c r="L368" s="124"/>
      <c r="M368" s="124"/>
      <c r="N368" s="124"/>
      <c r="O368" s="124"/>
      <c r="P368" s="120"/>
      <c r="Q368" s="120"/>
      <c r="R368" s="120"/>
      <c r="S368" s="120"/>
      <c r="T368" s="120"/>
      <c r="U368" s="120"/>
      <c r="V368" s="120"/>
    </row>
    <row r="369" spans="1:22">
      <c r="A369" s="126" t="s">
        <v>375</v>
      </c>
      <c r="B369" s="152">
        <f>+B261</f>
        <v>0.66749999999999998</v>
      </c>
      <c r="C369" s="152">
        <f t="shared" ref="C369:J369" si="95">+C261</f>
        <v>0</v>
      </c>
      <c r="D369" s="152">
        <f t="shared" si="95"/>
        <v>0</v>
      </c>
      <c r="E369" s="152">
        <f t="shared" si="95"/>
        <v>0</v>
      </c>
      <c r="F369" s="152">
        <f t="shared" si="95"/>
        <v>0</v>
      </c>
      <c r="G369" s="152">
        <f t="shared" si="95"/>
        <v>0</v>
      </c>
      <c r="H369" s="152">
        <f t="shared" si="95"/>
        <v>0</v>
      </c>
      <c r="I369" s="124">
        <f t="shared" si="95"/>
        <v>0</v>
      </c>
      <c r="J369" s="124">
        <f t="shared" si="95"/>
        <v>0</v>
      </c>
      <c r="K369" s="124">
        <f>+K261</f>
        <v>0</v>
      </c>
      <c r="L369" s="124">
        <f>+L261</f>
        <v>0</v>
      </c>
      <c r="M369" s="124">
        <f>+M261</f>
        <v>0</v>
      </c>
      <c r="N369" s="124">
        <f>+N261</f>
        <v>0</v>
      </c>
      <c r="O369" s="124">
        <f>+O261</f>
        <v>0</v>
      </c>
      <c r="P369" s="120"/>
      <c r="Q369" s="120"/>
      <c r="R369" s="120"/>
      <c r="S369" s="120"/>
      <c r="T369" s="120"/>
      <c r="U369" s="120"/>
      <c r="V369" s="120"/>
    </row>
    <row r="370" spans="1:22">
      <c r="A370" s="126" t="s">
        <v>374</v>
      </c>
      <c r="B370" s="152">
        <f>+(B369*12)/B35</f>
        <v>0.11057339830429275</v>
      </c>
      <c r="C370" s="152">
        <f t="shared" ref="C370:J370" si="96">+(C369*12)/C35</f>
        <v>0</v>
      </c>
      <c r="D370" s="152">
        <f t="shared" si="96"/>
        <v>0</v>
      </c>
      <c r="E370" s="152">
        <f t="shared" si="96"/>
        <v>0</v>
      </c>
      <c r="F370" s="152">
        <f t="shared" si="96"/>
        <v>0</v>
      </c>
      <c r="G370" s="152">
        <f t="shared" si="96"/>
        <v>0</v>
      </c>
      <c r="H370" s="152">
        <f t="shared" si="96"/>
        <v>0</v>
      </c>
      <c r="I370" s="124">
        <f t="shared" si="96"/>
        <v>0</v>
      </c>
      <c r="J370" s="124">
        <f t="shared" si="96"/>
        <v>0</v>
      </c>
      <c r="K370" s="124">
        <f>+(K369*12)/K35</f>
        <v>0</v>
      </c>
      <c r="L370" s="124">
        <f>+(L369*12)/L35</f>
        <v>0</v>
      </c>
      <c r="M370" s="124">
        <f>+(M369*12)/M35</f>
        <v>0</v>
      </c>
      <c r="N370" s="124" t="e">
        <f>+(N369*12)/N35</f>
        <v>#REF!</v>
      </c>
      <c r="O370" s="124" t="e">
        <f>+(O369*12)/O35</f>
        <v>#REF!</v>
      </c>
      <c r="P370" s="120"/>
      <c r="Q370" s="120"/>
      <c r="R370" s="120"/>
      <c r="S370" s="120"/>
      <c r="T370" s="120"/>
      <c r="U370" s="120"/>
      <c r="V370" s="120"/>
    </row>
    <row r="371" spans="1:22">
      <c r="A371" s="126"/>
      <c r="B371" s="152"/>
      <c r="C371" s="152"/>
      <c r="D371" s="124"/>
      <c r="F371" s="124"/>
      <c r="G371" s="124"/>
      <c r="H371" s="124"/>
      <c r="I371" s="124"/>
      <c r="J371" s="124"/>
      <c r="K371" s="124"/>
      <c r="L371" s="124"/>
      <c r="M371" s="124"/>
      <c r="N371" s="124"/>
      <c r="O371" s="124"/>
      <c r="P371" s="120"/>
      <c r="Q371" s="120"/>
      <c r="R371" s="120"/>
      <c r="S371" s="120"/>
      <c r="T371" s="120"/>
      <c r="U371" s="120"/>
      <c r="V371" s="120"/>
    </row>
    <row r="372" spans="1:22">
      <c r="A372" s="126" t="s">
        <v>373</v>
      </c>
      <c r="B372" s="152">
        <f t="shared" ref="B372:O372" si="97">+B232+B236+B264+B266+B235</f>
        <v>32.270888799999966</v>
      </c>
      <c r="C372" s="152">
        <f t="shared" si="97"/>
        <v>10.568783800000224</v>
      </c>
      <c r="D372" s="124">
        <f t="shared" si="97"/>
        <v>30.352518174999886</v>
      </c>
      <c r="E372" s="124">
        <f t="shared" si="97"/>
        <v>76.034710609249942</v>
      </c>
      <c r="F372" s="124">
        <f t="shared" si="97"/>
        <v>101.93117952781267</v>
      </c>
      <c r="G372" s="124">
        <f t="shared" si="97"/>
        <v>164.27681565988678</v>
      </c>
      <c r="H372" s="124">
        <f t="shared" si="97"/>
        <v>200.22972887993228</v>
      </c>
      <c r="I372" s="124">
        <f t="shared" si="97"/>
        <v>488.19130723512808</v>
      </c>
      <c r="J372" s="124">
        <f t="shared" si="97"/>
        <v>808.52989877979689</v>
      </c>
      <c r="K372" s="124">
        <f t="shared" si="97"/>
        <v>1101.6730259165643</v>
      </c>
      <c r="L372" s="124">
        <f t="shared" si="97"/>
        <v>1618.7504607133515</v>
      </c>
      <c r="M372" s="124">
        <f>+M232+M236+M264+M266+M235</f>
        <v>2358.7453156267011</v>
      </c>
      <c r="N372" s="124">
        <f t="shared" si="97"/>
        <v>70</v>
      </c>
      <c r="O372" s="124">
        <f t="shared" si="97"/>
        <v>70</v>
      </c>
      <c r="P372" s="120"/>
      <c r="Q372" s="120"/>
      <c r="R372" s="120"/>
      <c r="S372" s="120"/>
      <c r="T372" s="120"/>
      <c r="U372" s="120"/>
      <c r="V372" s="120"/>
    </row>
    <row r="373" spans="1:22">
      <c r="A373" s="126" t="s">
        <v>372</v>
      </c>
      <c r="B373" s="152"/>
      <c r="C373" s="152"/>
      <c r="D373" s="124"/>
      <c r="F373" s="124"/>
      <c r="G373" s="124"/>
      <c r="H373" s="124"/>
      <c r="I373" s="124"/>
      <c r="J373" s="124"/>
      <c r="K373" s="124"/>
      <c r="L373" s="124"/>
      <c r="M373" s="124"/>
      <c r="N373" s="124"/>
      <c r="O373" s="124"/>
    </row>
    <row r="374" spans="1:22">
      <c r="A374" s="126" t="s">
        <v>371</v>
      </c>
      <c r="B374" s="152"/>
      <c r="C374" s="152" t="s">
        <v>320</v>
      </c>
      <c r="D374" s="124" t="s">
        <v>320</v>
      </c>
      <c r="E374" s="124" t="s">
        <v>320</v>
      </c>
      <c r="F374" s="124" t="s">
        <v>320</v>
      </c>
      <c r="G374" s="124" t="s">
        <v>320</v>
      </c>
      <c r="H374" s="124"/>
      <c r="I374" s="124" t="s">
        <v>320</v>
      </c>
      <c r="J374" s="124" t="s">
        <v>320</v>
      </c>
      <c r="K374" s="124" t="s">
        <v>320</v>
      </c>
      <c r="L374" s="124" t="s">
        <v>320</v>
      </c>
      <c r="M374" s="124" t="s">
        <v>320</v>
      </c>
      <c r="N374" s="124" t="s">
        <v>320</v>
      </c>
      <c r="O374" s="124" t="s">
        <v>320</v>
      </c>
    </row>
    <row r="375" spans="1:22">
      <c r="A375" s="126" t="s">
        <v>370</v>
      </c>
      <c r="B375" s="152"/>
      <c r="C375" s="152"/>
      <c r="D375" s="124"/>
      <c r="F375" s="124"/>
      <c r="G375" s="124"/>
      <c r="H375" s="124"/>
      <c r="I375" s="124"/>
      <c r="J375" s="124"/>
      <c r="K375" s="124"/>
      <c r="L375" s="124"/>
      <c r="M375" s="124"/>
      <c r="N375" s="124"/>
      <c r="O375" s="124"/>
    </row>
    <row r="376" spans="1:22">
      <c r="A376" s="126" t="s">
        <v>369</v>
      </c>
      <c r="B376" s="152"/>
      <c r="C376" s="152"/>
      <c r="D376" s="124"/>
      <c r="F376" s="124"/>
      <c r="G376" s="124"/>
      <c r="H376" s="124"/>
      <c r="I376" s="124"/>
      <c r="J376" s="124"/>
      <c r="K376" s="124"/>
      <c r="L376" s="124"/>
      <c r="M376" s="124"/>
      <c r="N376" s="124"/>
      <c r="O376" s="124"/>
    </row>
    <row r="377" spans="1:22">
      <c r="A377" s="126" t="s">
        <v>320</v>
      </c>
      <c r="B377" s="152"/>
      <c r="C377" s="152"/>
      <c r="D377" s="124"/>
      <c r="F377" s="124"/>
      <c r="G377" s="124"/>
      <c r="H377" s="124"/>
      <c r="I377" s="124"/>
      <c r="J377" s="124"/>
      <c r="K377" s="124"/>
      <c r="L377" s="124"/>
      <c r="M377" s="124"/>
      <c r="N377" s="124"/>
      <c r="O377" s="124"/>
    </row>
    <row r="378" spans="1:22">
      <c r="A378" s="135" t="s">
        <v>368</v>
      </c>
      <c r="B378" s="144">
        <f t="shared" ref="B378:O378" si="98">+B338+B341+B346+B349+B353+B357+B363+B366+B369+B372</f>
        <v>32.938388799999963</v>
      </c>
      <c r="C378" s="144">
        <f t="shared" si="98"/>
        <v>10.568783800000224</v>
      </c>
      <c r="D378" s="134">
        <f t="shared" si="98"/>
        <v>30.352518174999886</v>
      </c>
      <c r="E378" s="134">
        <f t="shared" si="98"/>
        <v>76.034710609249942</v>
      </c>
      <c r="F378" s="134">
        <f t="shared" si="98"/>
        <v>101.93117952781267</v>
      </c>
      <c r="G378" s="134">
        <f t="shared" si="98"/>
        <v>164.27681565988678</v>
      </c>
      <c r="H378" s="134">
        <f t="shared" si="98"/>
        <v>200.22972887993228</v>
      </c>
      <c r="I378" s="134">
        <f t="shared" si="98"/>
        <v>488.19130723512808</v>
      </c>
      <c r="J378" s="134">
        <f t="shared" si="98"/>
        <v>808.52989877979689</v>
      </c>
      <c r="K378" s="134">
        <f t="shared" si="98"/>
        <v>1101.6730259165643</v>
      </c>
      <c r="L378" s="134">
        <f t="shared" si="98"/>
        <v>1618.7504607133515</v>
      </c>
      <c r="M378" s="134">
        <f>+M338+M341+M346+M349+M353+M357+M363+M366+M369+M372</f>
        <v>2358.7453156267011</v>
      </c>
      <c r="N378" s="134" t="e">
        <f t="shared" si="98"/>
        <v>#REF!</v>
      </c>
      <c r="O378" s="134" t="e">
        <f t="shared" si="98"/>
        <v>#REF!</v>
      </c>
    </row>
    <row r="379" spans="1:22">
      <c r="A379" s="126"/>
      <c r="B379" s="126">
        <f t="shared" ref="B379:G379" si="99">+B268-B378</f>
        <v>0</v>
      </c>
      <c r="C379" s="126">
        <f t="shared" si="99"/>
        <v>0</v>
      </c>
      <c r="D379" s="122">
        <f t="shared" si="99"/>
        <v>0</v>
      </c>
      <c r="E379" s="124">
        <f t="shared" si="99"/>
        <v>0</v>
      </c>
      <c r="F379" s="122">
        <f t="shared" si="99"/>
        <v>0</v>
      </c>
      <c r="G379" s="126">
        <f t="shared" si="99"/>
        <v>0</v>
      </c>
      <c r="H379" s="126"/>
      <c r="I379" s="122">
        <f t="shared" ref="I379:O379" si="100">+I268-I378</f>
        <v>0</v>
      </c>
      <c r="J379" s="122">
        <f t="shared" si="100"/>
        <v>0</v>
      </c>
      <c r="K379" s="122">
        <f t="shared" si="100"/>
        <v>0</v>
      </c>
      <c r="L379" s="122">
        <f t="shared" si="100"/>
        <v>0</v>
      </c>
      <c r="M379" s="122">
        <f>+M268-M378</f>
        <v>0</v>
      </c>
      <c r="N379" s="126" t="e">
        <f t="shared" si="100"/>
        <v>#REF!</v>
      </c>
      <c r="O379" s="126" t="e">
        <f t="shared" si="100"/>
        <v>#REF!</v>
      </c>
    </row>
    <row r="380" spans="1:22">
      <c r="A380" s="126"/>
      <c r="C380" s="152"/>
      <c r="D380" s="124"/>
      <c r="F380" s="124"/>
      <c r="G380" s="124"/>
      <c r="H380" s="124"/>
      <c r="I380" s="124"/>
      <c r="J380" s="124"/>
      <c r="K380" s="124"/>
      <c r="L380" s="124"/>
      <c r="M380" s="124"/>
      <c r="N380" s="124"/>
      <c r="O380" s="124"/>
    </row>
    <row r="381" spans="1:22">
      <c r="A381" s="126"/>
    </row>
    <row r="382" spans="1:22" ht="15.75">
      <c r="A382" s="888" t="s">
        <v>367</v>
      </c>
      <c r="B382" s="888"/>
      <c r="C382" s="888"/>
      <c r="D382" s="888"/>
      <c r="E382" s="888"/>
      <c r="F382" s="172"/>
      <c r="G382" s="121"/>
      <c r="H382" s="121"/>
    </row>
    <row r="383" spans="1:22">
      <c r="A383" s="143"/>
      <c r="B383" s="146" t="s">
        <v>366</v>
      </c>
      <c r="C383" s="146"/>
      <c r="D383" s="157"/>
      <c r="E383" s="129"/>
      <c r="F383" s="157"/>
      <c r="G383" s="157"/>
      <c r="H383" s="157"/>
    </row>
    <row r="384" spans="1:22">
      <c r="B384" s="173" t="s">
        <v>365</v>
      </c>
      <c r="C384" s="173"/>
      <c r="D384" s="155"/>
      <c r="E384" s="127"/>
      <c r="F384" s="155"/>
      <c r="G384" s="155"/>
      <c r="H384" s="155"/>
    </row>
    <row r="385" spans="1:22">
      <c r="A385" s="126"/>
      <c r="E385" s="124">
        <f>+E327</f>
        <v>0</v>
      </c>
    </row>
    <row r="386" spans="1:22" s="143" customFormat="1">
      <c r="A386" s="156" t="s">
        <v>300</v>
      </c>
      <c r="B386" s="156" t="str">
        <f t="shared" ref="B386:D387" si="101">+B328</f>
        <v>31.03.12</v>
      </c>
      <c r="C386" s="156" t="str">
        <f t="shared" si="101"/>
        <v>31.03.13</v>
      </c>
      <c r="D386" s="140" t="str">
        <f t="shared" si="101"/>
        <v>31.03.14</v>
      </c>
      <c r="E386" s="134" t="str">
        <f>+E328</f>
        <v>31.03.15</v>
      </c>
      <c r="F386" s="140" t="str">
        <f t="shared" ref="F386:O386" si="102">+F328</f>
        <v>31.03.16</v>
      </c>
      <c r="G386" s="140" t="str">
        <f t="shared" si="102"/>
        <v>31.03.17</v>
      </c>
      <c r="H386" s="140" t="str">
        <f t="shared" si="102"/>
        <v>31.03.12</v>
      </c>
      <c r="I386" s="140" t="str">
        <f t="shared" si="102"/>
        <v>31.03.19</v>
      </c>
      <c r="J386" s="140" t="str">
        <f t="shared" si="102"/>
        <v>31.03.20</v>
      </c>
      <c r="K386" s="140" t="str">
        <f t="shared" si="102"/>
        <v>31.03.21</v>
      </c>
      <c r="L386" s="140" t="str">
        <f t="shared" si="102"/>
        <v>31.03.22</v>
      </c>
      <c r="M386" s="140" t="str">
        <f>+M328</f>
        <v>31.03.23</v>
      </c>
      <c r="N386" s="140" t="str">
        <f t="shared" si="102"/>
        <v>31.03.20</v>
      </c>
      <c r="O386" s="140" t="str">
        <f t="shared" si="102"/>
        <v>31.03.21</v>
      </c>
      <c r="P386" s="131"/>
      <c r="Q386" s="131"/>
      <c r="R386" s="131"/>
      <c r="S386" s="131"/>
      <c r="T386" s="131"/>
      <c r="U386" s="131"/>
      <c r="V386" s="131"/>
    </row>
    <row r="387" spans="1:22">
      <c r="A387" s="126"/>
      <c r="B387" s="156" t="str">
        <f t="shared" si="101"/>
        <v>AUDITED</v>
      </c>
      <c r="C387" s="156" t="str">
        <f t="shared" si="101"/>
        <v>AUDITED</v>
      </c>
      <c r="D387" s="140" t="str">
        <f t="shared" si="101"/>
        <v>Prov.</v>
      </c>
      <c r="E387" s="134" t="str">
        <f>+E329</f>
        <v>Proj.</v>
      </c>
      <c r="F387" s="140" t="str">
        <f t="shared" ref="F387:O387" si="103">+F329</f>
        <v>Proj.</v>
      </c>
      <c r="G387" s="140" t="str">
        <f t="shared" si="103"/>
        <v>Proj.</v>
      </c>
      <c r="H387" s="140" t="str">
        <f t="shared" si="103"/>
        <v>Prov.</v>
      </c>
      <c r="I387" s="140" t="str">
        <f t="shared" si="103"/>
        <v>Proj.</v>
      </c>
      <c r="J387" s="140" t="str">
        <f t="shared" si="103"/>
        <v>Proj.</v>
      </c>
      <c r="K387" s="140" t="str">
        <f t="shared" si="103"/>
        <v>Proj.</v>
      </c>
      <c r="L387" s="140" t="str">
        <f t="shared" si="103"/>
        <v>Proj.</v>
      </c>
      <c r="M387" s="140" t="str">
        <f>+M329</f>
        <v>Proj.</v>
      </c>
      <c r="N387" s="140" t="str">
        <f t="shared" si="103"/>
        <v>Proj.</v>
      </c>
      <c r="O387" s="140" t="str">
        <f t="shared" si="103"/>
        <v>Proj.</v>
      </c>
    </row>
    <row r="388" spans="1:22">
      <c r="A388" s="126"/>
      <c r="E388" s="127"/>
      <c r="F388" s="155"/>
      <c r="G388" s="155"/>
      <c r="H388" s="155"/>
    </row>
    <row r="389" spans="1:22" s="126" customFormat="1">
      <c r="B389" s="171">
        <v>1</v>
      </c>
      <c r="C389" s="171">
        <v>2</v>
      </c>
      <c r="D389" s="169">
        <v>3</v>
      </c>
      <c r="E389" s="169">
        <v>4</v>
      </c>
      <c r="F389" s="169">
        <v>5</v>
      </c>
      <c r="G389" s="169">
        <v>6</v>
      </c>
      <c r="H389" s="169">
        <v>7</v>
      </c>
      <c r="I389" s="169">
        <v>8</v>
      </c>
      <c r="J389" s="169">
        <v>9</v>
      </c>
      <c r="K389" s="122"/>
      <c r="L389" s="122"/>
      <c r="M389" s="122"/>
      <c r="N389" s="122"/>
      <c r="O389" s="122"/>
      <c r="P389" s="122"/>
      <c r="Q389" s="122"/>
      <c r="R389" s="122"/>
      <c r="S389" s="122"/>
      <c r="T389" s="122"/>
      <c r="U389" s="122"/>
      <c r="V389" s="122"/>
    </row>
    <row r="390" spans="1:22" s="126" customFormat="1">
      <c r="B390" s="152"/>
      <c r="C390" s="152"/>
      <c r="D390" s="124"/>
      <c r="E390" s="124"/>
      <c r="F390" s="124"/>
      <c r="G390" s="124"/>
      <c r="H390" s="124"/>
      <c r="I390" s="122"/>
      <c r="J390" s="122"/>
      <c r="K390" s="122"/>
      <c r="L390" s="122"/>
      <c r="M390" s="122"/>
      <c r="N390" s="122"/>
      <c r="O390" s="122"/>
      <c r="P390" s="122"/>
      <c r="Q390" s="122"/>
      <c r="R390" s="122"/>
      <c r="S390" s="122"/>
      <c r="T390" s="122"/>
      <c r="U390" s="122"/>
      <c r="V390" s="122"/>
    </row>
    <row r="391" spans="1:22" s="126" customFormat="1">
      <c r="A391" s="135" t="s">
        <v>364</v>
      </c>
      <c r="B391" s="152"/>
      <c r="C391" s="152"/>
      <c r="D391" s="124"/>
      <c r="E391" s="124"/>
      <c r="F391" s="124"/>
      <c r="G391" s="124"/>
      <c r="H391" s="124"/>
      <c r="I391" s="122"/>
      <c r="J391" s="122"/>
      <c r="K391" s="122"/>
      <c r="L391" s="122"/>
      <c r="M391" s="122"/>
      <c r="N391" s="122"/>
      <c r="O391" s="122"/>
      <c r="P391" s="122"/>
      <c r="Q391" s="122"/>
      <c r="R391" s="122"/>
      <c r="S391" s="122"/>
      <c r="T391" s="122"/>
      <c r="U391" s="122"/>
      <c r="V391" s="122"/>
    </row>
    <row r="392" spans="1:22" s="126" customFormat="1">
      <c r="A392" s="135"/>
      <c r="B392" s="152"/>
      <c r="C392" s="152"/>
      <c r="D392" s="124"/>
      <c r="E392" s="124"/>
      <c r="F392" s="124"/>
      <c r="G392" s="124"/>
      <c r="H392" s="124"/>
      <c r="I392" s="122"/>
      <c r="J392" s="122"/>
      <c r="K392" s="122"/>
      <c r="L392" s="122"/>
      <c r="M392" s="122"/>
      <c r="N392" s="122"/>
      <c r="O392" s="122"/>
      <c r="P392" s="122"/>
      <c r="Q392" s="122"/>
      <c r="R392" s="122"/>
      <c r="S392" s="122"/>
      <c r="T392" s="122"/>
      <c r="U392" s="122"/>
      <c r="V392" s="122"/>
    </row>
    <row r="393" spans="1:22" s="126" customFormat="1">
      <c r="A393" s="126" t="s">
        <v>363</v>
      </c>
      <c r="B393" s="152"/>
      <c r="C393" s="152"/>
      <c r="D393" s="124"/>
      <c r="E393" s="124"/>
      <c r="F393" s="124"/>
      <c r="G393" s="124"/>
      <c r="H393" s="124"/>
      <c r="I393" s="122"/>
      <c r="J393" s="122"/>
      <c r="K393" s="122"/>
      <c r="L393" s="122"/>
      <c r="M393" s="122"/>
      <c r="N393" s="122"/>
      <c r="O393" s="122"/>
      <c r="P393" s="122"/>
      <c r="Q393" s="122"/>
      <c r="R393" s="122"/>
      <c r="S393" s="122"/>
      <c r="T393" s="122"/>
      <c r="U393" s="122"/>
      <c r="V393" s="122"/>
    </row>
    <row r="394" spans="1:22" s="126" customFormat="1">
      <c r="B394" s="152"/>
      <c r="C394" s="152"/>
      <c r="D394" s="124"/>
      <c r="E394" s="124"/>
      <c r="F394" s="124"/>
      <c r="G394" s="124"/>
      <c r="H394" s="124"/>
      <c r="I394" s="122"/>
      <c r="J394" s="122"/>
      <c r="K394" s="122"/>
      <c r="L394" s="122"/>
      <c r="M394" s="122"/>
      <c r="N394" s="122"/>
      <c r="O394" s="122"/>
      <c r="P394" s="122"/>
      <c r="Q394" s="122"/>
      <c r="R394" s="122"/>
      <c r="S394" s="122"/>
      <c r="T394" s="122"/>
      <c r="U394" s="122"/>
      <c r="V394" s="122"/>
    </row>
    <row r="395" spans="1:22" s="126" customFormat="1">
      <c r="A395" s="126" t="s">
        <v>362</v>
      </c>
      <c r="B395" s="152"/>
      <c r="C395" s="152"/>
      <c r="D395" s="124"/>
      <c r="E395" s="124"/>
      <c r="F395" s="124"/>
      <c r="G395" s="124"/>
      <c r="H395" s="124"/>
      <c r="I395" s="122"/>
      <c r="J395" s="122"/>
      <c r="K395" s="122"/>
      <c r="L395" s="122"/>
      <c r="M395" s="122"/>
      <c r="N395" s="122"/>
      <c r="O395" s="122"/>
      <c r="P395" s="122"/>
      <c r="Q395" s="122"/>
      <c r="R395" s="122"/>
      <c r="S395" s="122"/>
      <c r="T395" s="122"/>
      <c r="U395" s="122"/>
      <c r="V395" s="122"/>
    </row>
    <row r="396" spans="1:22" s="126" customFormat="1">
      <c r="A396" s="126" t="s">
        <v>361</v>
      </c>
      <c r="B396" s="152"/>
      <c r="C396" s="152"/>
      <c r="D396" s="124"/>
      <c r="E396" s="124"/>
      <c r="F396" s="124"/>
      <c r="G396" s="124"/>
      <c r="H396" s="124"/>
      <c r="I396" s="122"/>
      <c r="J396" s="122"/>
      <c r="K396" s="122"/>
      <c r="L396" s="122"/>
      <c r="M396" s="122"/>
      <c r="N396" s="122"/>
      <c r="O396" s="122"/>
      <c r="P396" s="122"/>
      <c r="Q396" s="122"/>
      <c r="R396" s="122"/>
      <c r="S396" s="122"/>
      <c r="T396" s="122"/>
      <c r="U396" s="122"/>
      <c r="V396" s="122"/>
    </row>
    <row r="397" spans="1:22" s="126" customFormat="1">
      <c r="B397" s="152"/>
      <c r="C397" s="152"/>
      <c r="D397" s="124"/>
      <c r="E397" s="124"/>
      <c r="F397" s="124"/>
      <c r="G397" s="124"/>
      <c r="H397" s="124"/>
      <c r="I397" s="122"/>
      <c r="J397" s="122"/>
      <c r="K397" s="122"/>
      <c r="L397" s="122"/>
      <c r="M397" s="122"/>
      <c r="N397" s="122"/>
      <c r="O397" s="122"/>
      <c r="P397" s="122"/>
      <c r="Q397" s="122"/>
      <c r="R397" s="122"/>
      <c r="S397" s="122"/>
      <c r="T397" s="122"/>
      <c r="U397" s="122"/>
      <c r="V397" s="122"/>
    </row>
    <row r="398" spans="1:22" s="126" customFormat="1">
      <c r="A398" s="126" t="s">
        <v>360</v>
      </c>
      <c r="B398" s="152">
        <f t="shared" ref="B398:O398" si="104">+B142</f>
        <v>31.3042373</v>
      </c>
      <c r="C398" s="152">
        <f t="shared" si="104"/>
        <v>25.9422566</v>
      </c>
      <c r="D398" s="124">
        <f t="shared" si="104"/>
        <v>35</v>
      </c>
      <c r="E398" s="124">
        <f t="shared" si="104"/>
        <v>25</v>
      </c>
      <c r="F398" s="124">
        <f t="shared" si="104"/>
        <v>25</v>
      </c>
      <c r="G398" s="124">
        <f t="shared" si="104"/>
        <v>20</v>
      </c>
      <c r="H398" s="124">
        <f t="shared" si="104"/>
        <v>20</v>
      </c>
      <c r="I398" s="124">
        <f t="shared" si="104"/>
        <v>10</v>
      </c>
      <c r="J398" s="124">
        <f t="shared" si="104"/>
        <v>10</v>
      </c>
      <c r="K398" s="124">
        <f t="shared" si="104"/>
        <v>10</v>
      </c>
      <c r="L398" s="124">
        <f t="shared" si="104"/>
        <v>10</v>
      </c>
      <c r="M398" s="124">
        <f>+M142</f>
        <v>10</v>
      </c>
      <c r="N398" s="124">
        <f t="shared" si="104"/>
        <v>1245</v>
      </c>
      <c r="O398" s="124">
        <f t="shared" si="104"/>
        <v>1245</v>
      </c>
      <c r="P398" s="122"/>
      <c r="Q398" s="122"/>
      <c r="R398" s="122"/>
      <c r="S398" s="122"/>
      <c r="T398" s="122"/>
      <c r="U398" s="122"/>
      <c r="V398" s="122"/>
    </row>
    <row r="399" spans="1:22" s="126" customFormat="1">
      <c r="A399" s="126" t="s">
        <v>359</v>
      </c>
      <c r="B399" s="152">
        <f>+B398*6/(B32+B37+B42)</f>
        <v>2.5075191870009008</v>
      </c>
      <c r="C399" s="152">
        <f>+C398*12/(C32+C37+C42)</f>
        <v>3.3586013431942128</v>
      </c>
      <c r="D399" s="124" t="e">
        <f>+D398*12/(D32+D37+D42)</f>
        <v>#REF!</v>
      </c>
      <c r="E399" s="124" t="e">
        <f>+E398*12/(E32+E37+E42)</f>
        <v>#REF!</v>
      </c>
      <c r="F399" s="124" t="e">
        <f>+F398*9/(F32+F37+F42)</f>
        <v>#REF!</v>
      </c>
      <c r="G399" s="124" t="e">
        <f t="shared" ref="G399:O399" si="105">+G398*12/(G32+G37+G42)</f>
        <v>#REF!</v>
      </c>
      <c r="H399" s="124" t="e">
        <f t="shared" si="105"/>
        <v>#REF!</v>
      </c>
      <c r="I399" s="124" t="e">
        <f t="shared" si="105"/>
        <v>#REF!</v>
      </c>
      <c r="J399" s="124" t="e">
        <f t="shared" si="105"/>
        <v>#REF!</v>
      </c>
      <c r="K399" s="124" t="e">
        <f t="shared" si="105"/>
        <v>#REF!</v>
      </c>
      <c r="L399" s="124" t="e">
        <f t="shared" si="105"/>
        <v>#REF!</v>
      </c>
      <c r="M399" s="124" t="e">
        <f>+M398*12/(M32+M37+M42)</f>
        <v>#REF!</v>
      </c>
      <c r="N399" s="124" t="e">
        <f t="shared" si="105"/>
        <v>#REF!</v>
      </c>
      <c r="O399" s="124" t="e">
        <f t="shared" si="105"/>
        <v>#REF!</v>
      </c>
      <c r="P399" s="122"/>
      <c r="Q399" s="122"/>
      <c r="R399" s="122"/>
      <c r="S399" s="122"/>
      <c r="T399" s="122"/>
      <c r="U399" s="122"/>
      <c r="V399" s="122"/>
    </row>
    <row r="400" spans="1:22" s="126" customFormat="1">
      <c r="A400" s="138" t="s">
        <v>358</v>
      </c>
      <c r="B400" s="152">
        <f t="shared" ref="B400:H401" si="106">+B143</f>
        <v>0</v>
      </c>
      <c r="C400" s="152">
        <f t="shared" si="106"/>
        <v>0</v>
      </c>
      <c r="D400" s="124">
        <f t="shared" si="106"/>
        <v>0</v>
      </c>
      <c r="E400" s="124">
        <f t="shared" si="106"/>
        <v>0</v>
      </c>
      <c r="F400" s="124">
        <f t="shared" si="106"/>
        <v>0</v>
      </c>
      <c r="G400" s="124">
        <f t="shared" si="106"/>
        <v>0</v>
      </c>
      <c r="H400" s="124"/>
      <c r="I400" s="124">
        <f t="shared" ref="I400:O401" si="107">+I143</f>
        <v>0</v>
      </c>
      <c r="J400" s="124">
        <f t="shared" si="107"/>
        <v>0</v>
      </c>
      <c r="K400" s="124">
        <f t="shared" si="107"/>
        <v>0</v>
      </c>
      <c r="L400" s="124">
        <f t="shared" si="107"/>
        <v>0</v>
      </c>
      <c r="M400" s="124">
        <f>+M143</f>
        <v>0</v>
      </c>
      <c r="N400" s="124">
        <f t="shared" si="107"/>
        <v>0</v>
      </c>
      <c r="O400" s="124">
        <f t="shared" si="107"/>
        <v>0</v>
      </c>
      <c r="P400" s="122"/>
      <c r="Q400" s="122"/>
      <c r="R400" s="122"/>
      <c r="S400" s="122"/>
      <c r="T400" s="122"/>
      <c r="U400" s="122"/>
      <c r="V400" s="122"/>
    </row>
    <row r="401" spans="1:22" s="126" customFormat="1">
      <c r="A401" s="126" t="s">
        <v>357</v>
      </c>
      <c r="B401" s="152">
        <f t="shared" si="106"/>
        <v>29.78725</v>
      </c>
      <c r="C401" s="152">
        <f t="shared" si="106"/>
        <v>19.530750000000001</v>
      </c>
      <c r="D401" s="124" t="e">
        <f t="shared" si="106"/>
        <v>#REF!</v>
      </c>
      <c r="E401" s="124" t="e">
        <f t="shared" si="106"/>
        <v>#REF!</v>
      </c>
      <c r="F401" s="124" t="e">
        <f t="shared" si="106"/>
        <v>#REF!</v>
      </c>
      <c r="G401" s="124" t="e">
        <f t="shared" si="106"/>
        <v>#REF!</v>
      </c>
      <c r="H401" s="124" t="e">
        <f t="shared" si="106"/>
        <v>#REF!</v>
      </c>
      <c r="I401" s="124" t="e">
        <f t="shared" si="107"/>
        <v>#REF!</v>
      </c>
      <c r="J401" s="124" t="e">
        <f t="shared" si="107"/>
        <v>#REF!</v>
      </c>
      <c r="K401" s="124" t="e">
        <f t="shared" si="107"/>
        <v>#REF!</v>
      </c>
      <c r="L401" s="124" t="e">
        <f t="shared" si="107"/>
        <v>#REF!</v>
      </c>
      <c r="M401" s="124" t="e">
        <f>+M144</f>
        <v>#REF!</v>
      </c>
      <c r="N401" s="124">
        <f t="shared" si="107"/>
        <v>0</v>
      </c>
      <c r="O401" s="124">
        <f t="shared" si="107"/>
        <v>0</v>
      </c>
      <c r="P401" s="122"/>
      <c r="Q401" s="122"/>
      <c r="R401" s="122"/>
      <c r="S401" s="122"/>
      <c r="T401" s="122"/>
      <c r="U401" s="122"/>
      <c r="V401" s="122"/>
    </row>
    <row r="402" spans="1:22" s="126" customFormat="1">
      <c r="B402" s="152"/>
      <c r="C402" s="152"/>
      <c r="D402" s="124"/>
      <c r="E402" s="124"/>
      <c r="F402" s="124"/>
      <c r="G402" s="124"/>
      <c r="H402" s="124"/>
      <c r="I402" s="124"/>
      <c r="J402" s="124"/>
      <c r="K402" s="124"/>
      <c r="L402" s="124"/>
      <c r="M402" s="124"/>
      <c r="N402" s="124"/>
      <c r="O402" s="124"/>
      <c r="P402" s="122"/>
      <c r="Q402" s="122"/>
      <c r="R402" s="122"/>
      <c r="S402" s="122"/>
      <c r="T402" s="122"/>
      <c r="U402" s="122"/>
      <c r="V402" s="122"/>
    </row>
    <row r="403" spans="1:22" s="126" customFormat="1">
      <c r="A403" s="126" t="s">
        <v>356</v>
      </c>
      <c r="B403" s="152">
        <f t="shared" ref="B403:O403" si="108">+B151</f>
        <v>0</v>
      </c>
      <c r="C403" s="152">
        <f t="shared" si="108"/>
        <v>0</v>
      </c>
      <c r="D403" s="124">
        <f t="shared" si="108"/>
        <v>0</v>
      </c>
      <c r="E403" s="124">
        <f t="shared" si="108"/>
        <v>0</v>
      </c>
      <c r="F403" s="124">
        <f t="shared" si="108"/>
        <v>0</v>
      </c>
      <c r="G403" s="124">
        <f t="shared" si="108"/>
        <v>0</v>
      </c>
      <c r="H403" s="124">
        <f t="shared" si="108"/>
        <v>0</v>
      </c>
      <c r="I403" s="124">
        <f t="shared" si="108"/>
        <v>0</v>
      </c>
      <c r="J403" s="124">
        <f t="shared" si="108"/>
        <v>0</v>
      </c>
      <c r="K403" s="124">
        <f t="shared" si="108"/>
        <v>0</v>
      </c>
      <c r="L403" s="124">
        <f t="shared" si="108"/>
        <v>0</v>
      </c>
      <c r="M403" s="124">
        <f>+M151</f>
        <v>0</v>
      </c>
      <c r="N403" s="124">
        <f t="shared" si="108"/>
        <v>10</v>
      </c>
      <c r="O403" s="124">
        <f t="shared" si="108"/>
        <v>10</v>
      </c>
      <c r="P403" s="122"/>
      <c r="Q403" s="122"/>
      <c r="R403" s="122"/>
      <c r="S403" s="122"/>
      <c r="T403" s="122"/>
      <c r="U403" s="122"/>
      <c r="V403" s="122"/>
    </row>
    <row r="404" spans="1:22" s="126" customFormat="1">
      <c r="B404" s="152"/>
      <c r="C404" s="152"/>
      <c r="D404" s="124"/>
      <c r="E404" s="124"/>
      <c r="F404" s="124"/>
      <c r="G404" s="124"/>
      <c r="H404" s="124"/>
      <c r="I404" s="124"/>
      <c r="J404" s="124"/>
      <c r="K404" s="124"/>
      <c r="L404" s="124"/>
      <c r="M404" s="124"/>
      <c r="N404" s="124"/>
      <c r="O404" s="124"/>
      <c r="P404" s="122"/>
      <c r="Q404" s="122"/>
      <c r="R404" s="122"/>
      <c r="S404" s="122"/>
      <c r="T404" s="122"/>
      <c r="U404" s="122"/>
      <c r="V404" s="122"/>
    </row>
    <row r="405" spans="1:22">
      <c r="A405" s="126" t="s">
        <v>355</v>
      </c>
      <c r="B405" s="152">
        <v>0</v>
      </c>
      <c r="C405" s="152">
        <v>0</v>
      </c>
      <c r="D405" s="124">
        <v>0</v>
      </c>
      <c r="E405" s="124">
        <v>0</v>
      </c>
      <c r="F405" s="124">
        <v>0</v>
      </c>
      <c r="G405" s="124">
        <v>0</v>
      </c>
      <c r="H405" s="124"/>
      <c r="I405" s="124">
        <v>0</v>
      </c>
      <c r="J405" s="124">
        <v>0</v>
      </c>
      <c r="K405" s="124">
        <v>0</v>
      </c>
      <c r="L405" s="124">
        <v>0</v>
      </c>
      <c r="M405" s="124">
        <v>0</v>
      </c>
      <c r="N405" s="124">
        <v>0</v>
      </c>
      <c r="O405" s="124">
        <v>0</v>
      </c>
      <c r="P405" s="120"/>
      <c r="Q405" s="120"/>
      <c r="R405" s="120"/>
      <c r="S405" s="120"/>
      <c r="T405" s="120"/>
      <c r="U405" s="120"/>
      <c r="V405" s="120"/>
    </row>
    <row r="406" spans="1:22">
      <c r="A406" s="126" t="s">
        <v>354</v>
      </c>
      <c r="B406" s="152"/>
      <c r="C406" s="152"/>
      <c r="D406" s="124"/>
      <c r="F406" s="124"/>
      <c r="G406" s="124"/>
      <c r="H406" s="124"/>
      <c r="I406" s="124"/>
      <c r="J406" s="124"/>
      <c r="K406" s="124"/>
      <c r="L406" s="124"/>
      <c r="M406" s="124"/>
      <c r="N406" s="124"/>
      <c r="O406" s="124"/>
      <c r="P406" s="120"/>
      <c r="Q406" s="120"/>
      <c r="R406" s="120"/>
      <c r="S406" s="120"/>
      <c r="T406" s="120"/>
      <c r="U406" s="120"/>
      <c r="V406" s="120"/>
    </row>
    <row r="407" spans="1:22">
      <c r="A407" s="126"/>
      <c r="B407" s="152"/>
      <c r="C407" s="152"/>
      <c r="D407" s="124"/>
      <c r="F407" s="124"/>
      <c r="G407" s="124"/>
      <c r="H407" s="124"/>
      <c r="I407" s="124"/>
      <c r="J407" s="124"/>
      <c r="K407" s="124"/>
      <c r="L407" s="124"/>
      <c r="M407" s="124"/>
      <c r="N407" s="124"/>
      <c r="O407" s="124"/>
      <c r="P407" s="120"/>
      <c r="Q407" s="120"/>
      <c r="R407" s="120"/>
      <c r="S407" s="120"/>
      <c r="T407" s="120"/>
      <c r="U407" s="120"/>
      <c r="V407" s="120"/>
    </row>
    <row r="408" spans="1:22">
      <c r="A408" s="126" t="s">
        <v>353</v>
      </c>
      <c r="B408" s="152">
        <v>0</v>
      </c>
      <c r="C408" s="152">
        <v>0</v>
      </c>
      <c r="D408" s="124">
        <v>0</v>
      </c>
      <c r="E408" s="124">
        <v>0</v>
      </c>
      <c r="F408" s="124">
        <v>0</v>
      </c>
      <c r="G408" s="124">
        <v>0</v>
      </c>
      <c r="H408" s="124"/>
      <c r="I408" s="124">
        <v>0</v>
      </c>
      <c r="J408" s="124">
        <v>0</v>
      </c>
      <c r="K408" s="124">
        <v>0</v>
      </c>
      <c r="L408" s="124">
        <v>0</v>
      </c>
      <c r="M408" s="124">
        <v>0</v>
      </c>
      <c r="N408" s="124">
        <v>0</v>
      </c>
      <c r="O408" s="124">
        <v>0</v>
      </c>
      <c r="P408" s="120"/>
      <c r="Q408" s="120"/>
      <c r="R408" s="120"/>
      <c r="S408" s="120"/>
      <c r="T408" s="120"/>
      <c r="U408" s="120"/>
      <c r="V408" s="120"/>
    </row>
    <row r="409" spans="1:22">
      <c r="A409" s="126"/>
      <c r="B409" s="152"/>
      <c r="C409" s="152"/>
      <c r="D409" s="124"/>
      <c r="F409" s="124"/>
      <c r="G409" s="124"/>
      <c r="H409" s="124"/>
      <c r="I409" s="124"/>
      <c r="J409" s="124"/>
      <c r="K409" s="124"/>
      <c r="L409" s="124"/>
      <c r="M409" s="124"/>
      <c r="N409" s="124"/>
      <c r="O409" s="124"/>
      <c r="P409" s="120"/>
      <c r="Q409" s="120"/>
      <c r="R409" s="120"/>
      <c r="S409" s="120"/>
      <c r="T409" s="120"/>
      <c r="U409" s="120"/>
      <c r="V409" s="120"/>
    </row>
    <row r="410" spans="1:22">
      <c r="A410" s="126" t="s">
        <v>352</v>
      </c>
      <c r="B410" s="152">
        <v>0</v>
      </c>
      <c r="C410" s="152">
        <v>0</v>
      </c>
      <c r="D410" s="124">
        <v>0</v>
      </c>
      <c r="E410" s="124">
        <v>0</v>
      </c>
      <c r="F410" s="124">
        <v>0</v>
      </c>
      <c r="G410" s="124">
        <v>0</v>
      </c>
      <c r="H410" s="124"/>
      <c r="I410" s="124">
        <v>0</v>
      </c>
      <c r="J410" s="124">
        <v>0</v>
      </c>
      <c r="K410" s="124">
        <v>0</v>
      </c>
      <c r="L410" s="124">
        <v>0</v>
      </c>
      <c r="M410" s="124">
        <v>0</v>
      </c>
      <c r="N410" s="124">
        <v>0</v>
      </c>
      <c r="O410" s="124">
        <v>0</v>
      </c>
      <c r="P410" s="120"/>
      <c r="Q410" s="120"/>
      <c r="R410" s="120"/>
      <c r="S410" s="120"/>
      <c r="T410" s="120"/>
      <c r="U410" s="120"/>
      <c r="V410" s="120"/>
    </row>
    <row r="411" spans="1:22">
      <c r="A411" s="126"/>
      <c r="B411" s="152"/>
      <c r="C411" s="152"/>
      <c r="D411" s="124"/>
      <c r="F411" s="124"/>
      <c r="G411" s="124"/>
      <c r="H411" s="124"/>
      <c r="I411" s="124"/>
      <c r="J411" s="124"/>
      <c r="K411" s="124"/>
      <c r="L411" s="124"/>
      <c r="M411" s="124"/>
      <c r="N411" s="124"/>
      <c r="O411" s="124"/>
      <c r="P411" s="120"/>
      <c r="Q411" s="120"/>
      <c r="R411" s="120"/>
      <c r="S411" s="120"/>
      <c r="T411" s="120"/>
      <c r="U411" s="120"/>
      <c r="V411" s="120"/>
    </row>
    <row r="412" spans="1:22">
      <c r="A412" s="126" t="s">
        <v>351</v>
      </c>
      <c r="B412" s="152">
        <v>0</v>
      </c>
      <c r="C412" s="152">
        <v>0</v>
      </c>
      <c r="D412" s="124">
        <v>0</v>
      </c>
      <c r="E412" s="124">
        <v>0</v>
      </c>
      <c r="F412" s="124">
        <v>0</v>
      </c>
      <c r="G412" s="124">
        <v>0</v>
      </c>
      <c r="H412" s="124"/>
      <c r="I412" s="124">
        <v>0</v>
      </c>
      <c r="J412" s="124">
        <v>0</v>
      </c>
      <c r="K412" s="124">
        <v>0</v>
      </c>
      <c r="L412" s="124">
        <v>0</v>
      </c>
      <c r="M412" s="124">
        <v>0</v>
      </c>
      <c r="N412" s="124">
        <v>0</v>
      </c>
      <c r="O412" s="124">
        <v>0</v>
      </c>
      <c r="P412" s="120"/>
      <c r="Q412" s="120"/>
      <c r="R412" s="120"/>
      <c r="S412" s="120"/>
      <c r="T412" s="120"/>
      <c r="U412" s="120"/>
      <c r="V412" s="120"/>
    </row>
    <row r="413" spans="1:22">
      <c r="A413" s="126"/>
      <c r="B413" s="152"/>
      <c r="C413" s="152"/>
      <c r="D413" s="124"/>
      <c r="F413" s="124"/>
      <c r="G413" s="124"/>
      <c r="H413" s="124"/>
      <c r="I413" s="124"/>
      <c r="J413" s="124"/>
      <c r="K413" s="124"/>
      <c r="L413" s="124"/>
      <c r="M413" s="124"/>
      <c r="N413" s="124"/>
      <c r="O413" s="124"/>
      <c r="P413" s="120"/>
      <c r="Q413" s="120"/>
      <c r="R413" s="120"/>
      <c r="S413" s="120"/>
      <c r="T413" s="120"/>
      <c r="U413" s="120"/>
      <c r="V413" s="120"/>
    </row>
    <row r="414" spans="1:22">
      <c r="A414" s="126" t="s">
        <v>350</v>
      </c>
      <c r="B414" s="152">
        <f t="shared" ref="B414:O414" si="109">+B147+B156</f>
        <v>55.955129999999997</v>
      </c>
      <c r="C414" s="152">
        <f t="shared" si="109"/>
        <v>61.493769999999998</v>
      </c>
      <c r="D414" s="124" t="e">
        <f t="shared" si="109"/>
        <v>#REF!</v>
      </c>
      <c r="E414" s="124" t="e">
        <f t="shared" si="109"/>
        <v>#REF!</v>
      </c>
      <c r="F414" s="124" t="e">
        <f t="shared" si="109"/>
        <v>#REF!</v>
      </c>
      <c r="G414" s="124" t="e">
        <f t="shared" si="109"/>
        <v>#REF!</v>
      </c>
      <c r="H414" s="124" t="e">
        <f t="shared" si="109"/>
        <v>#REF!</v>
      </c>
      <c r="I414" s="124" t="e">
        <f t="shared" si="109"/>
        <v>#REF!</v>
      </c>
      <c r="J414" s="124" t="e">
        <f t="shared" si="109"/>
        <v>#REF!</v>
      </c>
      <c r="K414" s="124" t="e">
        <f t="shared" si="109"/>
        <v>#REF!</v>
      </c>
      <c r="L414" s="124" t="e">
        <f t="shared" si="109"/>
        <v>#REF!</v>
      </c>
      <c r="M414" s="124" t="e">
        <f>+M147+M156</f>
        <v>#REF!</v>
      </c>
      <c r="N414" s="124">
        <f t="shared" si="109"/>
        <v>100</v>
      </c>
      <c r="O414" s="124">
        <f t="shared" si="109"/>
        <v>100</v>
      </c>
      <c r="P414" s="120"/>
      <c r="Q414" s="120"/>
      <c r="R414" s="120"/>
      <c r="S414" s="120"/>
      <c r="T414" s="120"/>
      <c r="U414" s="120"/>
      <c r="V414" s="120"/>
    </row>
    <row r="415" spans="1:22">
      <c r="A415" s="126" t="s">
        <v>349</v>
      </c>
      <c r="B415" s="152"/>
      <c r="C415" s="152"/>
      <c r="D415" s="124"/>
      <c r="F415" s="124"/>
      <c r="G415" s="124"/>
      <c r="H415" s="124"/>
      <c r="I415" s="124"/>
      <c r="J415" s="124"/>
      <c r="K415" s="124"/>
      <c r="L415" s="124"/>
      <c r="M415" s="124"/>
      <c r="N415" s="124"/>
      <c r="O415" s="124"/>
      <c r="P415" s="120"/>
      <c r="Q415" s="120"/>
      <c r="R415" s="120"/>
      <c r="S415" s="120"/>
      <c r="T415" s="120"/>
      <c r="U415" s="120"/>
      <c r="V415" s="120"/>
    </row>
    <row r="416" spans="1:22">
      <c r="A416" s="126"/>
      <c r="B416" s="152"/>
      <c r="C416" s="152"/>
      <c r="D416" s="124"/>
      <c r="F416" s="124"/>
      <c r="G416" s="124"/>
      <c r="H416" s="124"/>
      <c r="I416" s="124"/>
      <c r="J416" s="124"/>
      <c r="K416" s="124"/>
      <c r="L416" s="124"/>
      <c r="M416" s="124"/>
      <c r="N416" s="124"/>
      <c r="O416" s="124"/>
      <c r="P416" s="120"/>
      <c r="Q416" s="120"/>
      <c r="R416" s="120"/>
      <c r="S416" s="120"/>
      <c r="T416" s="120"/>
      <c r="U416" s="120"/>
      <c r="V416" s="120"/>
    </row>
    <row r="417" spans="1:22">
      <c r="A417" s="126"/>
      <c r="B417" s="152"/>
      <c r="C417" s="152"/>
      <c r="D417" s="124"/>
      <c r="F417" s="124"/>
      <c r="G417" s="124"/>
      <c r="H417" s="124"/>
      <c r="I417" s="124"/>
      <c r="J417" s="124"/>
      <c r="K417" s="124"/>
      <c r="L417" s="124"/>
      <c r="M417" s="124"/>
      <c r="N417" s="124"/>
      <c r="O417" s="124"/>
      <c r="P417" s="120"/>
      <c r="Q417" s="120"/>
      <c r="R417" s="120"/>
      <c r="S417" s="120"/>
      <c r="T417" s="120"/>
      <c r="U417" s="120"/>
      <c r="V417" s="120"/>
    </row>
    <row r="418" spans="1:22">
      <c r="A418" s="135" t="s">
        <v>348</v>
      </c>
      <c r="B418" s="144">
        <f t="shared" ref="B418:O418" si="110">+B398+B400+B401+B403+B405+B408+B410+B412+B414</f>
        <v>117.04661729999999</v>
      </c>
      <c r="C418" s="144">
        <f t="shared" si="110"/>
        <v>106.9667766</v>
      </c>
      <c r="D418" s="134" t="e">
        <f t="shared" si="110"/>
        <v>#REF!</v>
      </c>
      <c r="E418" s="134" t="e">
        <f t="shared" si="110"/>
        <v>#REF!</v>
      </c>
      <c r="F418" s="134" t="e">
        <f t="shared" si="110"/>
        <v>#REF!</v>
      </c>
      <c r="G418" s="134" t="e">
        <f t="shared" si="110"/>
        <v>#REF!</v>
      </c>
      <c r="H418" s="134" t="e">
        <f t="shared" si="110"/>
        <v>#REF!</v>
      </c>
      <c r="I418" s="134" t="e">
        <f t="shared" si="110"/>
        <v>#REF!</v>
      </c>
      <c r="J418" s="134" t="e">
        <f t="shared" si="110"/>
        <v>#REF!</v>
      </c>
      <c r="K418" s="134" t="e">
        <f t="shared" si="110"/>
        <v>#REF!</v>
      </c>
      <c r="L418" s="134" t="e">
        <f t="shared" si="110"/>
        <v>#REF!</v>
      </c>
      <c r="M418" s="134" t="e">
        <f>+M398+M400+M401+M403+M405+M408+M410+M412+M414</f>
        <v>#REF!</v>
      </c>
      <c r="N418" s="134">
        <f t="shared" si="110"/>
        <v>1355</v>
      </c>
      <c r="O418" s="134">
        <f t="shared" si="110"/>
        <v>1355</v>
      </c>
      <c r="P418" s="120"/>
      <c r="Q418" s="120"/>
      <c r="R418" s="120"/>
      <c r="S418" s="120"/>
      <c r="T418" s="120"/>
      <c r="U418" s="120"/>
      <c r="V418" s="120"/>
    </row>
    <row r="419" spans="1:22">
      <c r="A419" s="126"/>
      <c r="B419" s="152">
        <f t="shared" ref="B419:J419" si="111">+B164-B418</f>
        <v>0</v>
      </c>
      <c r="C419" s="152">
        <f t="shared" si="111"/>
        <v>65.916760000000011</v>
      </c>
      <c r="D419" s="124" t="e">
        <f t="shared" si="111"/>
        <v>#REF!</v>
      </c>
      <c r="E419" s="124" t="e">
        <f t="shared" si="111"/>
        <v>#REF!</v>
      </c>
      <c r="F419" s="124" t="e">
        <f t="shared" si="111"/>
        <v>#REF!</v>
      </c>
      <c r="G419" s="124" t="e">
        <f t="shared" si="111"/>
        <v>#REF!</v>
      </c>
      <c r="H419" s="124" t="e">
        <f t="shared" si="111"/>
        <v>#REF!</v>
      </c>
      <c r="I419" s="124" t="e">
        <f t="shared" si="111"/>
        <v>#REF!</v>
      </c>
      <c r="J419" s="124" t="e">
        <f t="shared" si="111"/>
        <v>#REF!</v>
      </c>
      <c r="P419" s="120"/>
      <c r="Q419" s="120"/>
      <c r="R419" s="120"/>
      <c r="S419" s="120"/>
      <c r="T419" s="120"/>
      <c r="U419" s="120"/>
      <c r="V419" s="120"/>
    </row>
    <row r="420" spans="1:22">
      <c r="A420" s="126"/>
      <c r="C420" s="152"/>
      <c r="D420" s="124"/>
      <c r="F420" s="124"/>
      <c r="P420" s="120"/>
      <c r="Q420" s="120"/>
      <c r="R420" s="120"/>
      <c r="S420" s="120"/>
      <c r="T420" s="120"/>
      <c r="U420" s="120"/>
      <c r="V420" s="120"/>
    </row>
    <row r="421" spans="1:22">
      <c r="A421" s="126"/>
    </row>
    <row r="422" spans="1:22" ht="15.75">
      <c r="A422" s="888" t="s">
        <v>347</v>
      </c>
      <c r="B422" s="888"/>
      <c r="C422" s="888"/>
      <c r="D422" s="888"/>
      <c r="E422" s="888"/>
      <c r="F422" s="172"/>
      <c r="G422" s="121"/>
      <c r="H422" s="121"/>
    </row>
    <row r="423" spans="1:22" ht="13.5" customHeight="1">
      <c r="A423" s="888" t="s">
        <v>346</v>
      </c>
      <c r="B423" s="888"/>
      <c r="C423" s="888"/>
      <c r="D423" s="888"/>
      <c r="E423" s="888"/>
      <c r="F423" s="172"/>
      <c r="G423" s="121"/>
      <c r="H423" s="121"/>
    </row>
    <row r="424" spans="1:22">
      <c r="E424" s="124">
        <f>+E385</f>
        <v>0</v>
      </c>
    </row>
    <row r="425" spans="1:22">
      <c r="A425" s="125"/>
      <c r="B425" s="156" t="str">
        <f t="shared" ref="B425:D426" si="112">+B386</f>
        <v>31.03.12</v>
      </c>
      <c r="C425" s="156" t="str">
        <f t="shared" si="112"/>
        <v>31.03.13</v>
      </c>
      <c r="D425" s="140" t="str">
        <f t="shared" si="112"/>
        <v>31.03.14</v>
      </c>
      <c r="E425" s="134" t="str">
        <f>+E386</f>
        <v>31.03.15</v>
      </c>
      <c r="F425" s="140" t="str">
        <f t="shared" ref="F425:O425" si="113">+F386</f>
        <v>31.03.16</v>
      </c>
      <c r="G425" s="140" t="str">
        <f t="shared" si="113"/>
        <v>31.03.17</v>
      </c>
      <c r="H425" s="140" t="str">
        <f t="shared" si="113"/>
        <v>31.03.12</v>
      </c>
      <c r="I425" s="140" t="str">
        <f t="shared" si="113"/>
        <v>31.03.19</v>
      </c>
      <c r="J425" s="140" t="str">
        <f t="shared" si="113"/>
        <v>31.03.20</v>
      </c>
      <c r="K425" s="140" t="str">
        <f t="shared" si="113"/>
        <v>31.03.21</v>
      </c>
      <c r="L425" s="140" t="str">
        <f t="shared" si="113"/>
        <v>31.03.22</v>
      </c>
      <c r="M425" s="140" t="str">
        <f>+M386</f>
        <v>31.03.23</v>
      </c>
      <c r="N425" s="140" t="str">
        <f t="shared" si="113"/>
        <v>31.03.20</v>
      </c>
      <c r="O425" s="140" t="str">
        <f t="shared" si="113"/>
        <v>31.03.21</v>
      </c>
    </row>
    <row r="426" spans="1:22" s="143" customFormat="1">
      <c r="A426" s="156" t="s">
        <v>300</v>
      </c>
      <c r="B426" s="156" t="str">
        <f t="shared" si="112"/>
        <v>AUDITED</v>
      </c>
      <c r="C426" s="156" t="str">
        <f t="shared" si="112"/>
        <v>AUDITED</v>
      </c>
      <c r="D426" s="140" t="str">
        <f t="shared" si="112"/>
        <v>Prov.</v>
      </c>
      <c r="E426" s="134" t="str">
        <f>+E387</f>
        <v>Proj.</v>
      </c>
      <c r="F426" s="140" t="str">
        <f t="shared" ref="F426:O426" si="114">+F387</f>
        <v>Proj.</v>
      </c>
      <c r="G426" s="140" t="str">
        <f t="shared" si="114"/>
        <v>Proj.</v>
      </c>
      <c r="H426" s="140" t="str">
        <f t="shared" si="114"/>
        <v>Prov.</v>
      </c>
      <c r="I426" s="140" t="str">
        <f t="shared" si="114"/>
        <v>Proj.</v>
      </c>
      <c r="J426" s="140" t="str">
        <f t="shared" si="114"/>
        <v>Proj.</v>
      </c>
      <c r="K426" s="140" t="str">
        <f t="shared" si="114"/>
        <v>Proj.</v>
      </c>
      <c r="L426" s="140" t="str">
        <f t="shared" si="114"/>
        <v>Proj.</v>
      </c>
      <c r="M426" s="140" t="str">
        <f>+M387</f>
        <v>Proj.</v>
      </c>
      <c r="N426" s="140" t="str">
        <f t="shared" si="114"/>
        <v>Proj.</v>
      </c>
      <c r="O426" s="140" t="str">
        <f t="shared" si="114"/>
        <v>Proj.</v>
      </c>
      <c r="P426" s="131"/>
      <c r="Q426" s="131"/>
      <c r="R426" s="131"/>
      <c r="S426" s="131"/>
      <c r="T426" s="131"/>
      <c r="U426" s="131"/>
      <c r="V426" s="131"/>
    </row>
    <row r="427" spans="1:22">
      <c r="A427" s="125"/>
      <c r="B427" s="125"/>
      <c r="E427" s="127"/>
      <c r="F427" s="155"/>
      <c r="G427" s="155"/>
      <c r="H427" s="155"/>
    </row>
    <row r="428" spans="1:22">
      <c r="A428" s="125"/>
      <c r="B428" s="125"/>
      <c r="E428" s="127"/>
      <c r="F428" s="155"/>
      <c r="G428" s="155"/>
      <c r="H428" s="155"/>
    </row>
    <row r="429" spans="1:22">
      <c r="A429" s="125"/>
      <c r="B429" s="125"/>
      <c r="C429" s="171">
        <v>1</v>
      </c>
      <c r="D429" s="169">
        <v>2</v>
      </c>
      <c r="E429" s="170">
        <v>3</v>
      </c>
      <c r="F429" s="169">
        <v>4</v>
      </c>
      <c r="G429" s="169">
        <v>5</v>
      </c>
      <c r="H429" s="169">
        <v>6</v>
      </c>
      <c r="I429" s="169">
        <v>7</v>
      </c>
      <c r="J429" s="169">
        <v>8</v>
      </c>
    </row>
    <row r="430" spans="1:22">
      <c r="A430" s="125"/>
      <c r="B430" s="125"/>
      <c r="C430" s="171"/>
      <c r="D430" s="169"/>
      <c r="E430" s="170"/>
      <c r="F430" s="169"/>
      <c r="G430" s="169"/>
      <c r="H430" s="169"/>
    </row>
    <row r="431" spans="1:22" ht="15.75">
      <c r="A431" s="167" t="s">
        <v>345</v>
      </c>
      <c r="B431" s="153"/>
      <c r="C431" s="152"/>
      <c r="D431" s="124"/>
      <c r="E431" s="127"/>
      <c r="F431" s="127"/>
      <c r="G431" s="127"/>
      <c r="H431" s="127"/>
    </row>
    <row r="432" spans="1:22" ht="13.5" customHeight="1">
      <c r="A432" s="154"/>
      <c r="B432" s="153"/>
      <c r="C432" s="152"/>
      <c r="D432" s="124"/>
      <c r="E432" s="127"/>
      <c r="F432" s="127"/>
      <c r="G432" s="127"/>
      <c r="H432" s="127"/>
    </row>
    <row r="433" spans="1:22" ht="13.5" customHeight="1">
      <c r="A433" s="126" t="s">
        <v>344</v>
      </c>
      <c r="B433" s="168"/>
      <c r="C433" s="168">
        <f t="shared" ref="C433:O433" si="115">+C112</f>
        <v>-64.390869999999978</v>
      </c>
      <c r="D433" s="168" t="e">
        <f t="shared" si="115"/>
        <v>#REF!</v>
      </c>
      <c r="E433" s="168" t="e">
        <f t="shared" si="115"/>
        <v>#REF!</v>
      </c>
      <c r="F433" s="168" t="e">
        <f t="shared" si="115"/>
        <v>#REF!</v>
      </c>
      <c r="G433" s="168" t="e">
        <f t="shared" si="115"/>
        <v>#REF!</v>
      </c>
      <c r="H433" s="168" t="e">
        <f t="shared" si="115"/>
        <v>#REF!</v>
      </c>
      <c r="I433" s="133" t="e">
        <f t="shared" si="115"/>
        <v>#REF!</v>
      </c>
      <c r="J433" s="133" t="e">
        <f t="shared" si="115"/>
        <v>#REF!</v>
      </c>
      <c r="K433" s="133" t="e">
        <f t="shared" si="115"/>
        <v>#REF!</v>
      </c>
      <c r="L433" s="133" t="e">
        <f t="shared" si="115"/>
        <v>#REF!</v>
      </c>
      <c r="M433" s="133" t="e">
        <f>+M112</f>
        <v>#REF!</v>
      </c>
      <c r="N433" s="168" t="e">
        <f t="shared" si="115"/>
        <v>#REF!</v>
      </c>
      <c r="O433" s="168" t="e">
        <f t="shared" si="115"/>
        <v>#REF!</v>
      </c>
    </row>
    <row r="434" spans="1:22">
      <c r="A434" s="126"/>
      <c r="B434" s="152"/>
      <c r="C434" s="152"/>
      <c r="D434" s="124"/>
      <c r="F434" s="124"/>
      <c r="G434" s="124"/>
      <c r="H434" s="124"/>
      <c r="I434" s="124"/>
      <c r="J434" s="124"/>
      <c r="K434" s="124"/>
      <c r="L434" s="124"/>
      <c r="M434" s="124"/>
      <c r="N434" s="124"/>
      <c r="O434" s="124"/>
    </row>
    <row r="435" spans="1:22">
      <c r="A435" s="126" t="s">
        <v>343</v>
      </c>
      <c r="B435" s="152"/>
      <c r="C435" s="152">
        <f t="shared" ref="C435:O435" si="116">+C50</f>
        <v>69.962010000000006</v>
      </c>
      <c r="D435" s="152">
        <f t="shared" si="116"/>
        <v>63.873550000000002</v>
      </c>
      <c r="E435" s="152">
        <f t="shared" si="116"/>
        <v>61.994535600000006</v>
      </c>
      <c r="F435" s="152">
        <f t="shared" si="116"/>
        <v>274.16203154999999</v>
      </c>
      <c r="G435" s="152">
        <f t="shared" si="116"/>
        <v>249.89010447850004</v>
      </c>
      <c r="H435" s="152">
        <f t="shared" si="116"/>
        <v>227.99872870162505</v>
      </c>
      <c r="I435" s="124">
        <f t="shared" si="116"/>
        <v>213.43184530179127</v>
      </c>
      <c r="J435" s="124">
        <f t="shared" si="116"/>
        <v>201.18670182139155</v>
      </c>
      <c r="K435" s="124">
        <f t="shared" si="116"/>
        <v>220.37636653156497</v>
      </c>
      <c r="L435" s="124">
        <f t="shared" si="116"/>
        <v>236.25081453687406</v>
      </c>
      <c r="M435" s="124">
        <f>+M50</f>
        <v>342.97600504288255</v>
      </c>
      <c r="N435" s="152" t="e">
        <f t="shared" si="116"/>
        <v>#REF!</v>
      </c>
      <c r="O435" s="152">
        <f t="shared" si="116"/>
        <v>238.9</v>
      </c>
    </row>
    <row r="436" spans="1:22">
      <c r="A436" s="126"/>
      <c r="B436" s="152"/>
      <c r="C436" s="152"/>
      <c r="D436" s="124"/>
      <c r="F436" s="124"/>
      <c r="G436" s="124"/>
      <c r="H436" s="124"/>
      <c r="I436" s="124"/>
      <c r="J436" s="124"/>
      <c r="K436" s="124"/>
      <c r="L436" s="124"/>
      <c r="M436" s="124"/>
      <c r="N436" s="124"/>
      <c r="O436" s="124"/>
    </row>
    <row r="437" spans="1:22">
      <c r="A437" s="126" t="s">
        <v>342</v>
      </c>
      <c r="B437" s="152"/>
      <c r="C437" s="152">
        <f>+C198-B198</f>
        <v>0</v>
      </c>
      <c r="D437" s="124">
        <f>+D198-C198</f>
        <v>0</v>
      </c>
      <c r="E437" s="124">
        <f>+E198-D198</f>
        <v>0</v>
      </c>
      <c r="F437" s="124">
        <f>+F198-E198</f>
        <v>0</v>
      </c>
      <c r="G437" s="124">
        <f>+G198-F198</f>
        <v>0</v>
      </c>
      <c r="H437" s="124"/>
      <c r="I437" s="124">
        <f>+I198-G198</f>
        <v>0</v>
      </c>
      <c r="J437" s="124">
        <f t="shared" ref="J437:O437" si="117">+J198-I198</f>
        <v>0</v>
      </c>
      <c r="K437" s="124">
        <f t="shared" si="117"/>
        <v>0</v>
      </c>
      <c r="L437" s="124">
        <f t="shared" si="117"/>
        <v>0</v>
      </c>
      <c r="M437" s="124">
        <f>+M198-L198</f>
        <v>0</v>
      </c>
      <c r="N437" s="124">
        <f t="shared" si="117"/>
        <v>0</v>
      </c>
      <c r="O437" s="124">
        <f t="shared" si="117"/>
        <v>0</v>
      </c>
      <c r="P437" s="120"/>
      <c r="Q437" s="120"/>
      <c r="R437" s="120"/>
      <c r="S437" s="120"/>
      <c r="T437" s="120"/>
      <c r="U437" s="120"/>
      <c r="V437" s="120"/>
    </row>
    <row r="438" spans="1:22">
      <c r="A438" s="126" t="s">
        <v>341</v>
      </c>
      <c r="B438" s="152"/>
      <c r="C438" s="152">
        <f>+C200-B200</f>
        <v>0</v>
      </c>
      <c r="D438" s="124">
        <f>+D200-C200</f>
        <v>0</v>
      </c>
      <c r="E438" s="124">
        <f>+E200-D200</f>
        <v>0</v>
      </c>
      <c r="F438" s="124">
        <f>+F200-E200</f>
        <v>0</v>
      </c>
      <c r="G438" s="124">
        <f>+G200-F200</f>
        <v>0</v>
      </c>
      <c r="H438" s="124"/>
      <c r="I438" s="124">
        <f>+I200-G200</f>
        <v>0</v>
      </c>
      <c r="J438" s="124">
        <f t="shared" ref="J438:O438" si="118">+J200-I200</f>
        <v>0</v>
      </c>
      <c r="K438" s="124">
        <f t="shared" si="118"/>
        <v>0</v>
      </c>
      <c r="L438" s="124">
        <f t="shared" si="118"/>
        <v>0</v>
      </c>
      <c r="M438" s="124">
        <f>+M200-L200</f>
        <v>0</v>
      </c>
      <c r="N438" s="124">
        <f t="shared" si="118"/>
        <v>0</v>
      </c>
      <c r="O438" s="124">
        <f t="shared" si="118"/>
        <v>0</v>
      </c>
      <c r="P438" s="120"/>
      <c r="Q438" s="120"/>
      <c r="R438" s="120"/>
      <c r="S438" s="120"/>
      <c r="T438" s="120"/>
      <c r="U438" s="120"/>
      <c r="V438" s="120"/>
    </row>
    <row r="439" spans="1:22">
      <c r="A439" s="126" t="s">
        <v>340</v>
      </c>
      <c r="B439" s="125"/>
      <c r="C439" s="152">
        <f>IF((+C192-B192)&gt;0,+(C192-B192),0)</f>
        <v>0</v>
      </c>
      <c r="D439" s="124">
        <f>IF((+D192-C192)&gt;0,+(D192-C192),0)</f>
        <v>0</v>
      </c>
      <c r="E439" s="124">
        <f>IF((+E192-C192)&gt;0,+(E192-C192),0)</f>
        <v>1277.7651900000001</v>
      </c>
      <c r="F439" s="124">
        <f>IF((+F192-E192)&gt;0,+(F192-E192),0)</f>
        <v>0</v>
      </c>
      <c r="G439" s="124">
        <f>IF((+G192-E192)&gt;0,+(G192-E192),0)</f>
        <v>0</v>
      </c>
      <c r="H439" s="124">
        <f>IF((+H192-E192)&gt;0,+(H192-E192),0)</f>
        <v>0</v>
      </c>
      <c r="I439" s="124">
        <f t="shared" ref="I439:O439" si="119">IF((+I192-H192)&gt;0,+(I192-H192),0)</f>
        <v>0</v>
      </c>
      <c r="J439" s="124">
        <f t="shared" si="119"/>
        <v>0</v>
      </c>
      <c r="K439" s="124">
        <f t="shared" si="119"/>
        <v>0</v>
      </c>
      <c r="L439" s="124">
        <f t="shared" si="119"/>
        <v>0</v>
      </c>
      <c r="M439" s="124">
        <f>IF((+M192-L192)&gt;0,+(M192-L192),0)</f>
        <v>0</v>
      </c>
      <c r="N439" s="124" t="e">
        <f t="shared" si="119"/>
        <v>#REF!</v>
      </c>
      <c r="O439" s="124" t="e">
        <f t="shared" si="119"/>
        <v>#REF!</v>
      </c>
      <c r="P439" s="120"/>
      <c r="Q439" s="120"/>
      <c r="R439" s="120"/>
      <c r="S439" s="120"/>
      <c r="T439" s="120"/>
      <c r="U439" s="120"/>
      <c r="V439" s="120"/>
    </row>
    <row r="440" spans="1:22">
      <c r="A440" s="126"/>
      <c r="B440" s="152"/>
      <c r="C440" s="152"/>
      <c r="D440" s="124"/>
      <c r="F440" s="124"/>
      <c r="G440" s="124"/>
      <c r="H440" s="124"/>
      <c r="I440" s="124"/>
      <c r="J440" s="124"/>
      <c r="K440" s="124"/>
      <c r="L440" s="124"/>
      <c r="M440" s="124"/>
      <c r="N440" s="124"/>
      <c r="O440" s="124"/>
      <c r="P440" s="120"/>
      <c r="Q440" s="120"/>
      <c r="R440" s="120"/>
      <c r="S440" s="120"/>
      <c r="T440" s="120"/>
      <c r="U440" s="120"/>
      <c r="V440" s="120"/>
    </row>
    <row r="441" spans="1:22">
      <c r="A441" s="138" t="s">
        <v>339</v>
      </c>
      <c r="B441" s="152"/>
      <c r="C441" s="152"/>
      <c r="D441" s="124">
        <v>0</v>
      </c>
      <c r="E441" s="124">
        <v>0</v>
      </c>
      <c r="F441" s="124"/>
      <c r="G441" s="124"/>
      <c r="H441" s="124"/>
      <c r="I441" s="124"/>
      <c r="J441" s="124"/>
      <c r="K441" s="124"/>
      <c r="L441" s="124"/>
      <c r="M441" s="124"/>
      <c r="N441" s="124"/>
      <c r="O441" s="124"/>
      <c r="P441" s="120"/>
      <c r="Q441" s="120"/>
      <c r="R441" s="120"/>
      <c r="S441" s="120"/>
      <c r="T441" s="120"/>
      <c r="U441" s="120"/>
      <c r="V441" s="120"/>
    </row>
    <row r="442" spans="1:22">
      <c r="A442" s="126"/>
      <c r="B442" s="152"/>
      <c r="C442" s="152"/>
      <c r="D442" s="124"/>
      <c r="F442" s="124"/>
      <c r="G442" s="124"/>
      <c r="H442" s="124"/>
      <c r="I442" s="124"/>
      <c r="J442" s="124"/>
      <c r="K442" s="124"/>
      <c r="L442" s="124"/>
      <c r="M442" s="124"/>
      <c r="N442" s="124"/>
      <c r="O442" s="124"/>
      <c r="P442" s="120"/>
      <c r="Q442" s="120"/>
      <c r="R442" s="120"/>
      <c r="S442" s="120"/>
      <c r="T442" s="120"/>
      <c r="U442" s="120"/>
      <c r="V442" s="120"/>
    </row>
    <row r="443" spans="1:22">
      <c r="A443" s="126" t="s">
        <v>338</v>
      </c>
      <c r="B443" s="152"/>
      <c r="C443" s="152"/>
      <c r="D443" s="124"/>
      <c r="F443" s="124"/>
      <c r="G443" s="124"/>
      <c r="H443" s="124"/>
      <c r="I443" s="124"/>
      <c r="J443" s="124"/>
      <c r="K443" s="124"/>
      <c r="L443" s="124"/>
      <c r="M443" s="124"/>
      <c r="N443" s="124"/>
      <c r="O443" s="124"/>
      <c r="P443" s="120"/>
      <c r="Q443" s="120"/>
      <c r="R443" s="120"/>
      <c r="S443" s="120"/>
      <c r="T443" s="120"/>
      <c r="U443" s="120"/>
      <c r="V443" s="120"/>
    </row>
    <row r="444" spans="1:22">
      <c r="A444" s="126"/>
      <c r="B444" s="152"/>
      <c r="C444" s="152"/>
      <c r="D444" s="124"/>
      <c r="F444" s="124"/>
      <c r="G444" s="124"/>
      <c r="H444" s="124"/>
      <c r="I444" s="124"/>
      <c r="J444" s="124"/>
      <c r="K444" s="124"/>
      <c r="L444" s="124"/>
      <c r="M444" s="124"/>
      <c r="N444" s="124"/>
      <c r="O444" s="124"/>
      <c r="P444" s="120"/>
      <c r="Q444" s="120"/>
      <c r="R444" s="120"/>
      <c r="S444" s="120"/>
      <c r="T444" s="120"/>
      <c r="U444" s="120"/>
      <c r="V444" s="120"/>
    </row>
    <row r="445" spans="1:22">
      <c r="A445" s="126" t="s">
        <v>337</v>
      </c>
      <c r="B445" s="152"/>
      <c r="C445" s="124">
        <f t="shared" ref="C445:H445" si="120">+B298-C298</f>
        <v>2</v>
      </c>
      <c r="D445" s="124">
        <f t="shared" si="120"/>
        <v>-6.5749999999999975E-2</v>
      </c>
      <c r="E445" s="124">
        <f t="shared" si="120"/>
        <v>-1</v>
      </c>
      <c r="F445" s="124">
        <f t="shared" si="120"/>
        <v>-2.5</v>
      </c>
      <c r="G445" s="124">
        <f t="shared" si="120"/>
        <v>-10.5</v>
      </c>
      <c r="H445" s="124">
        <f t="shared" si="120"/>
        <v>-5</v>
      </c>
      <c r="I445" s="124">
        <f>+H298-I298</f>
        <v>-5</v>
      </c>
      <c r="J445" s="124">
        <f>+I298-J298</f>
        <v>-5</v>
      </c>
      <c r="K445" s="124"/>
      <c r="L445" s="124"/>
      <c r="M445" s="124"/>
      <c r="N445" s="124"/>
      <c r="O445" s="124"/>
      <c r="P445" s="120"/>
      <c r="Q445" s="120"/>
      <c r="R445" s="120"/>
      <c r="S445" s="120"/>
      <c r="T445" s="120"/>
      <c r="U445" s="120"/>
      <c r="V445" s="120"/>
    </row>
    <row r="446" spans="1:22">
      <c r="A446" s="126" t="s">
        <v>336</v>
      </c>
      <c r="B446" s="152"/>
      <c r="C446" s="124">
        <f>-(+C298-B298)</f>
        <v>2</v>
      </c>
      <c r="D446" s="124">
        <f>-(+D298-C298)</f>
        <v>-6.5749999999999975E-2</v>
      </c>
      <c r="E446" s="124">
        <f t="shared" ref="E446:J446" si="121">-(+E298-C298)</f>
        <v>-1.06575</v>
      </c>
      <c r="F446" s="124">
        <f t="shared" si="121"/>
        <v>-3.5</v>
      </c>
      <c r="G446" s="124">
        <f t="shared" si="121"/>
        <v>-13</v>
      </c>
      <c r="H446" s="124">
        <f t="shared" si="121"/>
        <v>-15.5</v>
      </c>
      <c r="I446" s="124">
        <f t="shared" si="121"/>
        <v>-10</v>
      </c>
      <c r="J446" s="124">
        <f t="shared" si="121"/>
        <v>-10</v>
      </c>
      <c r="K446" s="123"/>
      <c r="L446" s="123"/>
      <c r="M446" s="123"/>
      <c r="N446" s="123"/>
      <c r="O446" s="123"/>
      <c r="P446" s="120"/>
      <c r="Q446" s="120"/>
      <c r="R446" s="120"/>
      <c r="S446" s="120"/>
      <c r="T446" s="120"/>
      <c r="U446" s="120"/>
      <c r="V446" s="120"/>
    </row>
    <row r="447" spans="1:22">
      <c r="A447" s="126"/>
      <c r="B447" s="152"/>
      <c r="C447" s="152"/>
      <c r="D447" s="124"/>
      <c r="F447" s="124"/>
      <c r="G447" s="124"/>
      <c r="H447" s="124"/>
      <c r="I447" s="124"/>
      <c r="J447" s="124"/>
      <c r="K447" s="124"/>
      <c r="L447" s="124"/>
      <c r="M447" s="124"/>
      <c r="N447" s="124"/>
      <c r="O447" s="124"/>
      <c r="P447" s="120"/>
      <c r="Q447" s="120"/>
      <c r="R447" s="120"/>
      <c r="S447" s="120"/>
      <c r="T447" s="120"/>
      <c r="U447" s="120"/>
      <c r="V447" s="120"/>
    </row>
    <row r="448" spans="1:22">
      <c r="A448" s="126" t="s">
        <v>335</v>
      </c>
      <c r="B448" s="152"/>
      <c r="C448" s="152">
        <f>-(+B281+C50-C281)</f>
        <v>-69.940354299999981</v>
      </c>
      <c r="D448" s="152">
        <f>-(+C281+D50-D281)</f>
        <v>-69.962010000000021</v>
      </c>
      <c r="E448" s="124">
        <f t="shared" ref="E448:J448" si="122">-(+C281+E50-E281)</f>
        <v>-69.962010000000021</v>
      </c>
      <c r="F448" s="124">
        <f t="shared" si="122"/>
        <v>-63.873550000000023</v>
      </c>
      <c r="G448" s="124">
        <f t="shared" si="122"/>
        <v>-61.994535600000034</v>
      </c>
      <c r="H448" s="124">
        <f t="shared" si="122"/>
        <v>-274.16203154999999</v>
      </c>
      <c r="I448" s="124">
        <f t="shared" si="122"/>
        <v>-249.89010447850006</v>
      </c>
      <c r="J448" s="124">
        <f t="shared" si="122"/>
        <v>-227.99872870162508</v>
      </c>
      <c r="K448" s="124"/>
      <c r="L448" s="124"/>
      <c r="M448" s="124"/>
      <c r="N448" s="124"/>
      <c r="O448" s="124"/>
      <c r="P448" s="120"/>
      <c r="Q448" s="120"/>
      <c r="R448" s="120"/>
      <c r="S448" s="120"/>
      <c r="T448" s="120"/>
      <c r="U448" s="120"/>
      <c r="V448" s="120"/>
    </row>
    <row r="449" spans="1:22">
      <c r="A449" s="126"/>
      <c r="B449" s="152"/>
      <c r="C449" s="152" t="s">
        <v>320</v>
      </c>
      <c r="D449" s="124"/>
      <c r="F449" s="124"/>
      <c r="G449" s="124"/>
      <c r="H449" s="124"/>
      <c r="I449" s="124"/>
      <c r="J449" s="124"/>
      <c r="K449" s="124"/>
      <c r="L449" s="124"/>
      <c r="M449" s="124"/>
      <c r="N449" s="124"/>
      <c r="O449" s="124"/>
      <c r="P449" s="120"/>
      <c r="Q449" s="120"/>
      <c r="R449" s="120"/>
      <c r="S449" s="120"/>
      <c r="T449" s="120"/>
      <c r="U449" s="120"/>
      <c r="V449" s="120"/>
    </row>
    <row r="450" spans="1:22">
      <c r="A450" s="156" t="s">
        <v>322</v>
      </c>
      <c r="B450" s="144"/>
      <c r="C450" s="144">
        <f t="shared" ref="C450:O450" si="123">SUM(C433:C448)</f>
        <v>-60.369214299999953</v>
      </c>
      <c r="D450" s="144" t="e">
        <f t="shared" si="123"/>
        <v>#REF!</v>
      </c>
      <c r="E450" s="144" t="e">
        <f t="shared" si="123"/>
        <v>#REF!</v>
      </c>
      <c r="F450" s="144" t="e">
        <f t="shared" si="123"/>
        <v>#REF!</v>
      </c>
      <c r="G450" s="144" t="e">
        <f t="shared" si="123"/>
        <v>#REF!</v>
      </c>
      <c r="H450" s="144" t="e">
        <f t="shared" si="123"/>
        <v>#REF!</v>
      </c>
      <c r="I450" s="134" t="e">
        <f t="shared" si="123"/>
        <v>#REF!</v>
      </c>
      <c r="J450" s="134" t="e">
        <f t="shared" si="123"/>
        <v>#REF!</v>
      </c>
      <c r="K450" s="134" t="e">
        <f t="shared" si="123"/>
        <v>#REF!</v>
      </c>
      <c r="L450" s="134" t="e">
        <f t="shared" si="123"/>
        <v>#REF!</v>
      </c>
      <c r="M450" s="134" t="e">
        <f>SUM(M433:M448)</f>
        <v>#REF!</v>
      </c>
      <c r="N450" s="144" t="e">
        <f t="shared" si="123"/>
        <v>#REF!</v>
      </c>
      <c r="O450" s="144" t="e">
        <f t="shared" si="123"/>
        <v>#REF!</v>
      </c>
      <c r="P450" s="120"/>
      <c r="Q450" s="120"/>
      <c r="R450" s="120"/>
      <c r="S450" s="120"/>
      <c r="T450" s="120"/>
      <c r="U450" s="120"/>
      <c r="V450" s="120"/>
    </row>
    <row r="451" spans="1:22">
      <c r="A451" s="126"/>
      <c r="B451" s="152"/>
      <c r="C451" s="152"/>
      <c r="D451" s="124"/>
      <c r="F451" s="124"/>
      <c r="G451" s="124"/>
      <c r="H451" s="124"/>
      <c r="I451" s="124"/>
      <c r="J451" s="124"/>
      <c r="K451" s="124"/>
      <c r="L451" s="124"/>
      <c r="M451" s="124"/>
      <c r="N451" s="124"/>
      <c r="O451" s="124"/>
      <c r="P451" s="120"/>
      <c r="Q451" s="120"/>
      <c r="R451" s="120"/>
      <c r="S451" s="120"/>
      <c r="T451" s="120"/>
      <c r="U451" s="120"/>
      <c r="V451" s="120"/>
    </row>
    <row r="452" spans="1:22" ht="15.75">
      <c r="A452" s="167" t="s">
        <v>334</v>
      </c>
      <c r="B452" s="152"/>
      <c r="C452" s="152"/>
      <c r="D452" s="124"/>
      <c r="F452" s="124"/>
      <c r="G452" s="124"/>
      <c r="H452" s="124"/>
      <c r="I452" s="124"/>
      <c r="J452" s="124"/>
      <c r="K452" s="124"/>
      <c r="L452" s="124"/>
      <c r="M452" s="124"/>
      <c r="N452" s="124"/>
      <c r="O452" s="124"/>
      <c r="P452" s="120"/>
      <c r="Q452" s="120"/>
      <c r="R452" s="120"/>
      <c r="S452" s="120"/>
      <c r="T452" s="120"/>
      <c r="U452" s="120"/>
      <c r="V452" s="120"/>
    </row>
    <row r="453" spans="1:22" s="126" customFormat="1">
      <c r="B453" s="152"/>
      <c r="C453" s="152"/>
      <c r="D453" s="124"/>
      <c r="E453" s="124"/>
      <c r="F453" s="124"/>
      <c r="G453" s="124"/>
      <c r="H453" s="124"/>
      <c r="I453" s="124"/>
      <c r="J453" s="124"/>
      <c r="K453" s="124"/>
      <c r="L453" s="124"/>
      <c r="M453" s="124"/>
      <c r="N453" s="124"/>
      <c r="O453" s="124"/>
      <c r="P453" s="122"/>
      <c r="Q453" s="122"/>
      <c r="R453" s="122"/>
      <c r="S453" s="122"/>
      <c r="T453" s="122"/>
      <c r="U453" s="122"/>
      <c r="V453" s="122"/>
    </row>
    <row r="454" spans="1:22" s="126" customFormat="1">
      <c r="A454" s="126" t="s">
        <v>333</v>
      </c>
      <c r="B454" s="152"/>
      <c r="C454" s="152">
        <v>0</v>
      </c>
      <c r="D454" s="124">
        <v>0</v>
      </c>
      <c r="E454" s="124">
        <v>0</v>
      </c>
      <c r="F454" s="124"/>
      <c r="G454" s="124"/>
      <c r="H454" s="124"/>
      <c r="I454" s="124"/>
      <c r="J454" s="124"/>
      <c r="K454" s="124"/>
      <c r="L454" s="124"/>
      <c r="M454" s="124"/>
      <c r="N454" s="124"/>
      <c r="O454" s="124"/>
      <c r="P454" s="122"/>
      <c r="Q454" s="122"/>
      <c r="R454" s="122"/>
      <c r="S454" s="122"/>
      <c r="T454" s="122"/>
      <c r="U454" s="122"/>
      <c r="V454" s="122"/>
    </row>
    <row r="455" spans="1:22" s="126" customFormat="1">
      <c r="B455" s="152"/>
      <c r="C455" s="152"/>
      <c r="D455" s="124"/>
      <c r="E455" s="124"/>
      <c r="F455" s="124"/>
      <c r="G455" s="124"/>
      <c r="H455" s="124"/>
      <c r="I455" s="124"/>
      <c r="J455" s="124"/>
      <c r="K455" s="124"/>
      <c r="L455" s="124"/>
      <c r="M455" s="124"/>
      <c r="N455" s="124"/>
      <c r="O455" s="124"/>
      <c r="P455" s="122"/>
      <c r="Q455" s="122"/>
      <c r="R455" s="122"/>
      <c r="S455" s="122"/>
      <c r="T455" s="122"/>
      <c r="U455" s="122"/>
      <c r="V455" s="122"/>
    </row>
    <row r="456" spans="1:22" s="126" customFormat="1">
      <c r="A456" s="126" t="s">
        <v>332</v>
      </c>
      <c r="B456" s="152"/>
      <c r="C456" s="152"/>
      <c r="D456" s="124"/>
      <c r="E456" s="127"/>
      <c r="F456" s="127"/>
      <c r="G456" s="127"/>
      <c r="H456" s="127"/>
      <c r="I456" s="127"/>
      <c r="J456" s="127"/>
      <c r="K456" s="127"/>
      <c r="L456" s="127"/>
      <c r="M456" s="127"/>
      <c r="N456" s="127"/>
      <c r="O456" s="127"/>
      <c r="P456" s="122"/>
      <c r="Q456" s="122"/>
      <c r="R456" s="122"/>
      <c r="S456" s="122"/>
      <c r="T456" s="122"/>
      <c r="U456" s="122"/>
      <c r="V456" s="122"/>
    </row>
    <row r="457" spans="1:22" s="126" customFormat="1">
      <c r="A457" s="126" t="s">
        <v>331</v>
      </c>
      <c r="B457" s="152"/>
      <c r="C457" s="152">
        <f>IF((+C192-B192)&lt;0,+(B192-C192),0)</f>
        <v>27.602424200000087</v>
      </c>
      <c r="D457" s="124">
        <f>IF((+D192-C192)&lt;0,+(C192-D192),0)</f>
        <v>134.73559999999998</v>
      </c>
      <c r="E457" s="124">
        <f>IF((+E192-D192)&lt;0,+(D192-E192),0)</f>
        <v>0</v>
      </c>
      <c r="F457" s="124">
        <f>IF((+F192-E192)&lt;0,+(E192-F192),0)</f>
        <v>173.23603000000003</v>
      </c>
      <c r="G457" s="124">
        <f>IF((+G192-E192)&lt;0,+(E192-G192),0)</f>
        <v>398.23603000000003</v>
      </c>
      <c r="H457" s="124">
        <f>IF((+H192-F192)&lt;0,+(F192-H192),0)</f>
        <v>515</v>
      </c>
      <c r="I457" s="124">
        <f>IF((+I192-G192)&lt;0,+(G192-I192),0)</f>
        <v>680.5</v>
      </c>
      <c r="J457" s="124">
        <f>IF((+J192-H192)&lt;0,+(H192-J192),0)</f>
        <v>615.5</v>
      </c>
      <c r="K457" s="124">
        <f>IF((+K192-J192)&lt;0,+(J192-K192),0)</f>
        <v>300</v>
      </c>
      <c r="L457" s="124">
        <f>IF((+L192-K192)&lt;0,+(K192-L192),0)</f>
        <v>75</v>
      </c>
      <c r="M457" s="124">
        <f>IF((+M192-L192)&lt;0,+(L192-M192),0)</f>
        <v>0</v>
      </c>
      <c r="N457" s="124" t="e">
        <f>IF((+N192-M192)&lt;0,+(M192-N192),0)</f>
        <v>#REF!</v>
      </c>
      <c r="O457" s="124" t="e">
        <f>IF((+O192-N192)&lt;0,+(N192-O192),0)</f>
        <v>#REF!</v>
      </c>
      <c r="P457" s="122"/>
      <c r="Q457" s="122"/>
      <c r="R457" s="122"/>
      <c r="S457" s="122"/>
      <c r="T457" s="122"/>
      <c r="U457" s="122"/>
      <c r="V457" s="122"/>
    </row>
    <row r="458" spans="1:22" s="126" customFormat="1">
      <c r="A458" s="126" t="s">
        <v>330</v>
      </c>
      <c r="B458" s="152"/>
      <c r="C458" s="125"/>
      <c r="D458" s="124"/>
      <c r="E458" s="124"/>
      <c r="F458" s="124"/>
      <c r="G458" s="124"/>
      <c r="H458" s="124"/>
      <c r="I458" s="124"/>
      <c r="J458" s="124"/>
      <c r="K458" s="124"/>
      <c r="L458" s="124"/>
      <c r="M458" s="124"/>
      <c r="N458" s="124"/>
      <c r="O458" s="124"/>
      <c r="P458" s="122"/>
      <c r="Q458" s="122"/>
      <c r="R458" s="122"/>
      <c r="S458" s="122"/>
      <c r="T458" s="122"/>
      <c r="U458" s="122"/>
      <c r="V458" s="122"/>
    </row>
    <row r="459" spans="1:22" s="126" customFormat="1">
      <c r="A459" s="126" t="s">
        <v>329</v>
      </c>
      <c r="B459" s="152"/>
      <c r="C459" s="152"/>
      <c r="D459" s="124"/>
      <c r="E459" s="124"/>
      <c r="F459" s="124"/>
      <c r="G459" s="124"/>
      <c r="H459" s="124"/>
      <c r="I459" s="124"/>
      <c r="J459" s="124"/>
      <c r="K459" s="124"/>
      <c r="L459" s="124"/>
      <c r="M459" s="124"/>
      <c r="N459" s="124"/>
      <c r="O459" s="124"/>
      <c r="P459" s="122"/>
      <c r="Q459" s="122"/>
      <c r="R459" s="122"/>
      <c r="S459" s="122"/>
      <c r="T459" s="122"/>
      <c r="U459" s="122"/>
      <c r="V459" s="122"/>
    </row>
    <row r="460" spans="1:22" s="126" customFormat="1">
      <c r="A460" s="126" t="s">
        <v>328</v>
      </c>
      <c r="B460" s="152"/>
      <c r="C460" s="152">
        <f>+C278-B278</f>
        <v>-11.282184300000154</v>
      </c>
      <c r="D460" s="124">
        <f>+D278-C278</f>
        <v>-69.932009999999991</v>
      </c>
      <c r="E460" s="124">
        <f>+E278-C278</f>
        <v>1354.1944400000002</v>
      </c>
      <c r="F460" s="124">
        <f>+F278-E278</f>
        <v>-53.99453560000029</v>
      </c>
      <c r="G460" s="124">
        <f>+G278-E278</f>
        <v>-278.15656714999977</v>
      </c>
      <c r="H460" s="124">
        <f>+H278-E278</f>
        <v>-328.04667162849955</v>
      </c>
      <c r="I460" s="124">
        <f t="shared" ref="I460:O460" si="124">+I278-H278</f>
        <v>-147.99872870162562</v>
      </c>
      <c r="J460" s="124">
        <f t="shared" si="124"/>
        <v>-8.4318453017913271</v>
      </c>
      <c r="K460" s="124">
        <f t="shared" si="124"/>
        <v>648.81329817860887</v>
      </c>
      <c r="L460" s="124">
        <f t="shared" si="124"/>
        <v>679.6236334684354</v>
      </c>
      <c r="M460" s="124">
        <f>+M278-L278</f>
        <v>653.74918546312529</v>
      </c>
      <c r="N460" s="124">
        <f t="shared" si="124"/>
        <v>0</v>
      </c>
      <c r="O460" s="124">
        <f t="shared" si="124"/>
        <v>0</v>
      </c>
      <c r="P460" s="122"/>
      <c r="Q460" s="122"/>
      <c r="R460" s="122"/>
      <c r="S460" s="122"/>
      <c r="T460" s="122"/>
      <c r="U460" s="122"/>
      <c r="V460" s="122"/>
    </row>
    <row r="461" spans="1:22" s="126" customFormat="1">
      <c r="A461" s="126" t="s">
        <v>327</v>
      </c>
      <c r="B461" s="125"/>
      <c r="C461" s="124">
        <f>(+C298-B298)</f>
        <v>-2</v>
      </c>
      <c r="D461" s="124">
        <f>(+D298-C298)</f>
        <v>6.5749999999999975E-2</v>
      </c>
      <c r="E461" s="124">
        <f>(+E298-D298)</f>
        <v>1</v>
      </c>
      <c r="F461" s="124">
        <f>(+F298-E298)</f>
        <v>2.5</v>
      </c>
      <c r="G461" s="124">
        <f>-(E298-G298)</f>
        <v>13</v>
      </c>
      <c r="H461" s="124">
        <f>-(E298-H298)</f>
        <v>18</v>
      </c>
      <c r="I461" s="124">
        <f>-(F298-I298)</f>
        <v>20.5</v>
      </c>
      <c r="J461" s="124">
        <f t="shared" ref="J461:O461" si="125">-(I298-J298)</f>
        <v>5</v>
      </c>
      <c r="K461" s="124">
        <f t="shared" si="125"/>
        <v>5</v>
      </c>
      <c r="L461" s="124">
        <f t="shared" si="125"/>
        <v>5</v>
      </c>
      <c r="M461" s="124">
        <f>-(L298-M298)</f>
        <v>5</v>
      </c>
      <c r="N461" s="124">
        <f t="shared" si="125"/>
        <v>1307.2051812372792</v>
      </c>
      <c r="O461" s="124">
        <f t="shared" si="125"/>
        <v>479.0861303612528</v>
      </c>
      <c r="P461" s="122"/>
      <c r="Q461" s="122"/>
      <c r="R461" s="122"/>
      <c r="S461" s="122"/>
      <c r="T461" s="122"/>
      <c r="U461" s="122"/>
      <c r="V461" s="122"/>
    </row>
    <row r="462" spans="1:22" s="126" customFormat="1">
      <c r="B462" s="152"/>
      <c r="C462" s="152"/>
      <c r="D462" s="124"/>
      <c r="E462" s="124"/>
      <c r="F462" s="124"/>
      <c r="G462" s="124"/>
      <c r="H462" s="124"/>
      <c r="I462" s="124"/>
      <c r="J462" s="124"/>
      <c r="K462" s="124"/>
      <c r="L462" s="124"/>
      <c r="M462" s="124"/>
      <c r="N462" s="124"/>
      <c r="O462" s="124"/>
      <c r="P462" s="122"/>
      <c r="Q462" s="122"/>
      <c r="R462" s="122"/>
      <c r="S462" s="122"/>
      <c r="T462" s="122"/>
      <c r="U462" s="122"/>
      <c r="V462" s="122"/>
    </row>
    <row r="463" spans="1:22" s="126" customFormat="1">
      <c r="A463" s="126" t="s">
        <v>326</v>
      </c>
      <c r="B463" s="152"/>
      <c r="C463" s="152"/>
      <c r="D463" s="124"/>
      <c r="E463" s="124"/>
      <c r="F463" s="124"/>
      <c r="G463" s="124"/>
      <c r="H463" s="124"/>
      <c r="I463" s="124"/>
      <c r="J463" s="124"/>
      <c r="K463" s="124"/>
      <c r="L463" s="124"/>
      <c r="M463" s="124"/>
      <c r="N463" s="124"/>
      <c r="O463" s="124"/>
      <c r="P463" s="122"/>
      <c r="Q463" s="122"/>
      <c r="R463" s="122"/>
      <c r="S463" s="122"/>
      <c r="T463" s="122"/>
      <c r="U463" s="122"/>
      <c r="V463" s="122"/>
    </row>
    <row r="464" spans="1:22" s="126" customFormat="1">
      <c r="B464" s="152"/>
      <c r="C464" s="152"/>
      <c r="D464" s="124"/>
      <c r="E464" s="124"/>
      <c r="F464" s="124"/>
      <c r="G464" s="124"/>
      <c r="H464" s="124"/>
      <c r="I464" s="124"/>
      <c r="J464" s="124"/>
      <c r="K464" s="124"/>
      <c r="L464" s="124"/>
      <c r="M464" s="124"/>
      <c r="N464" s="124"/>
      <c r="O464" s="124"/>
      <c r="P464" s="122"/>
      <c r="Q464" s="122"/>
      <c r="R464" s="122"/>
      <c r="S464" s="122"/>
      <c r="T464" s="122"/>
      <c r="U464" s="122"/>
      <c r="V464" s="122"/>
    </row>
    <row r="465" spans="1:22" s="126" customFormat="1">
      <c r="A465" s="126" t="s">
        <v>325</v>
      </c>
      <c r="B465" s="152"/>
      <c r="D465" s="124"/>
      <c r="E465" s="124"/>
      <c r="F465" s="124"/>
      <c r="G465" s="124"/>
      <c r="H465" s="124"/>
      <c r="I465" s="124"/>
      <c r="J465" s="124"/>
      <c r="K465" s="124"/>
      <c r="L465" s="124"/>
      <c r="M465" s="124"/>
      <c r="N465" s="124"/>
      <c r="O465" s="124"/>
      <c r="P465" s="122"/>
      <c r="Q465" s="122"/>
      <c r="R465" s="122"/>
      <c r="S465" s="122"/>
      <c r="T465" s="122"/>
      <c r="U465" s="122"/>
      <c r="V465" s="122"/>
    </row>
    <row r="466" spans="1:22" s="126" customFormat="1">
      <c r="A466" s="126" t="s">
        <v>324</v>
      </c>
      <c r="B466" s="152"/>
      <c r="C466" s="125">
        <f>C88-B88</f>
        <v>0</v>
      </c>
      <c r="D466" s="125">
        <f>D88-C88</f>
        <v>0</v>
      </c>
      <c r="E466" s="125">
        <f>E88-C88</f>
        <v>0</v>
      </c>
      <c r="F466" s="125">
        <f>F88-E88</f>
        <v>0</v>
      </c>
      <c r="G466" s="125">
        <f>G88-E88</f>
        <v>0</v>
      </c>
      <c r="H466" s="125"/>
      <c r="I466" s="123">
        <f>I88-G88</f>
        <v>0</v>
      </c>
      <c r="J466" s="123">
        <f t="shared" ref="J466:O466" si="126">J88-I88</f>
        <v>0</v>
      </c>
      <c r="K466" s="123">
        <f t="shared" si="126"/>
        <v>0</v>
      </c>
      <c r="L466" s="123">
        <f t="shared" si="126"/>
        <v>0</v>
      </c>
      <c r="M466" s="123">
        <f>M88-L88</f>
        <v>0</v>
      </c>
      <c r="N466" s="125">
        <f t="shared" si="126"/>
        <v>0</v>
      </c>
      <c r="O466" s="125">
        <f t="shared" si="126"/>
        <v>0</v>
      </c>
      <c r="P466" s="122"/>
      <c r="Q466" s="122"/>
      <c r="R466" s="122"/>
      <c r="S466" s="122"/>
      <c r="T466" s="122"/>
      <c r="U466" s="122"/>
      <c r="V466" s="122"/>
    </row>
    <row r="467" spans="1:22" s="126" customFormat="1">
      <c r="A467" s="126" t="s">
        <v>323</v>
      </c>
      <c r="B467" s="152"/>
      <c r="C467" s="152">
        <f>+B202+C112-C202</f>
        <v>5.8346542999999542</v>
      </c>
      <c r="D467" s="152" t="e">
        <f>+C202+D112-D202</f>
        <v>#REF!</v>
      </c>
      <c r="E467" s="152" t="e">
        <f t="shared" ref="E467:J467" si="127">+C202+E112-E202-E206</f>
        <v>#REF!</v>
      </c>
      <c r="F467" s="152" t="e">
        <f t="shared" si="127"/>
        <v>#REF!</v>
      </c>
      <c r="G467" s="152" t="e">
        <f t="shared" si="127"/>
        <v>#REF!</v>
      </c>
      <c r="H467" s="152" t="e">
        <f t="shared" si="127"/>
        <v>#REF!</v>
      </c>
      <c r="I467" s="124" t="e">
        <f t="shared" si="127"/>
        <v>#REF!</v>
      </c>
      <c r="J467" s="124" t="e">
        <f t="shared" si="127"/>
        <v>#REF!</v>
      </c>
      <c r="K467" s="124"/>
      <c r="L467" s="124"/>
      <c r="M467" s="124"/>
      <c r="N467" s="124"/>
      <c r="O467" s="124"/>
      <c r="P467" s="122"/>
      <c r="Q467" s="122"/>
      <c r="R467" s="122"/>
      <c r="S467" s="122"/>
      <c r="T467" s="122"/>
      <c r="U467" s="122"/>
      <c r="V467" s="122"/>
    </row>
    <row r="468" spans="1:22" s="126" customFormat="1">
      <c r="A468" s="156" t="s">
        <v>322</v>
      </c>
      <c r="B468" s="144"/>
      <c r="C468" s="144">
        <f t="shared" ref="C468:O468" si="128">SUM(C454:C467)</f>
        <v>20.154894199999887</v>
      </c>
      <c r="D468" s="144" t="e">
        <f t="shared" si="128"/>
        <v>#REF!</v>
      </c>
      <c r="E468" s="144" t="e">
        <f t="shared" si="128"/>
        <v>#REF!</v>
      </c>
      <c r="F468" s="144" t="e">
        <f t="shared" si="128"/>
        <v>#REF!</v>
      </c>
      <c r="G468" s="144" t="e">
        <f t="shared" si="128"/>
        <v>#REF!</v>
      </c>
      <c r="H468" s="144" t="e">
        <f t="shared" si="128"/>
        <v>#REF!</v>
      </c>
      <c r="I468" s="134" t="e">
        <f t="shared" si="128"/>
        <v>#REF!</v>
      </c>
      <c r="J468" s="134" t="e">
        <f t="shared" si="128"/>
        <v>#REF!</v>
      </c>
      <c r="K468" s="134">
        <f t="shared" si="128"/>
        <v>953.81329817860887</v>
      </c>
      <c r="L468" s="134">
        <f t="shared" si="128"/>
        <v>759.6236334684354</v>
      </c>
      <c r="M468" s="134">
        <f>SUM(M454:M467)</f>
        <v>658.74918546312529</v>
      </c>
      <c r="N468" s="144" t="e">
        <f t="shared" si="128"/>
        <v>#REF!</v>
      </c>
      <c r="O468" s="144" t="e">
        <f t="shared" si="128"/>
        <v>#REF!</v>
      </c>
      <c r="P468" s="122"/>
      <c r="Q468" s="122"/>
      <c r="R468" s="122"/>
      <c r="S468" s="122"/>
      <c r="T468" s="122"/>
      <c r="U468" s="122"/>
      <c r="V468" s="122"/>
    </row>
    <row r="469" spans="1:22" s="126" customFormat="1">
      <c r="B469" s="152"/>
      <c r="C469" s="152"/>
      <c r="D469" s="124"/>
      <c r="E469" s="124"/>
      <c r="F469" s="124"/>
      <c r="G469" s="124"/>
      <c r="H469" s="124"/>
      <c r="I469" s="122"/>
      <c r="J469" s="122"/>
      <c r="K469" s="122"/>
      <c r="L469" s="122"/>
      <c r="M469" s="122"/>
      <c r="N469" s="122"/>
      <c r="O469" s="122"/>
      <c r="P469" s="122"/>
      <c r="Q469" s="122"/>
      <c r="R469" s="122"/>
      <c r="S469" s="122"/>
      <c r="T469" s="122"/>
      <c r="U469" s="122"/>
      <c r="V469" s="122"/>
    </row>
    <row r="472" spans="1:22" s="126" customFormat="1">
      <c r="A472" s="889" t="s">
        <v>321</v>
      </c>
      <c r="B472" s="889"/>
      <c r="C472" s="889"/>
      <c r="D472" s="889"/>
      <c r="E472" s="889"/>
      <c r="F472" s="157"/>
      <c r="G472" s="121"/>
      <c r="H472" s="121"/>
      <c r="I472" s="122"/>
      <c r="J472" s="122"/>
      <c r="K472" s="122"/>
      <c r="L472" s="122"/>
      <c r="M472" s="122"/>
      <c r="N472" s="122"/>
      <c r="O472" s="122"/>
      <c r="P472" s="122"/>
      <c r="Q472" s="122"/>
      <c r="R472" s="122"/>
      <c r="S472" s="122"/>
      <c r="T472" s="122"/>
      <c r="U472" s="122"/>
      <c r="V472" s="122"/>
    </row>
    <row r="473" spans="1:22" s="126" customFormat="1">
      <c r="A473" s="120"/>
      <c r="C473" s="125"/>
      <c r="D473" s="123"/>
      <c r="E473" s="124" t="s">
        <v>320</v>
      </c>
      <c r="F473" s="123"/>
      <c r="G473" s="123"/>
      <c r="H473" s="123"/>
      <c r="I473" s="122"/>
      <c r="J473" s="122"/>
      <c r="K473" s="122"/>
      <c r="L473" s="122"/>
      <c r="M473" s="122"/>
      <c r="N473" s="122"/>
      <c r="O473" s="122"/>
      <c r="P473" s="122"/>
      <c r="Q473" s="122"/>
      <c r="R473" s="122"/>
      <c r="S473" s="122"/>
      <c r="T473" s="122"/>
      <c r="U473" s="122"/>
      <c r="V473" s="122"/>
    </row>
    <row r="474" spans="1:22" s="126" customFormat="1">
      <c r="C474" s="125" t="s">
        <v>320</v>
      </c>
      <c r="D474" s="123"/>
      <c r="E474" s="129"/>
      <c r="F474" s="129"/>
      <c r="G474" s="129"/>
      <c r="H474" s="129"/>
      <c r="I474" s="122"/>
      <c r="J474" s="122"/>
      <c r="K474" s="122"/>
      <c r="L474" s="122"/>
      <c r="M474" s="122"/>
      <c r="N474" s="122"/>
      <c r="O474" s="122"/>
      <c r="P474" s="122"/>
      <c r="Q474" s="122"/>
      <c r="R474" s="122"/>
      <c r="S474" s="122"/>
      <c r="T474" s="122"/>
      <c r="U474" s="122"/>
      <c r="V474" s="122"/>
    </row>
    <row r="475" spans="1:22" s="126" customFormat="1">
      <c r="A475" s="135" t="s">
        <v>300</v>
      </c>
      <c r="B475" s="156" t="str">
        <f t="shared" ref="B475:G476" si="129">+B425</f>
        <v>31.03.12</v>
      </c>
      <c r="C475" s="156" t="str">
        <f t="shared" si="129"/>
        <v>31.03.13</v>
      </c>
      <c r="D475" s="140" t="str">
        <f t="shared" si="129"/>
        <v>31.03.14</v>
      </c>
      <c r="E475" s="134" t="str">
        <f t="shared" si="129"/>
        <v>31.03.15</v>
      </c>
      <c r="F475" s="140" t="str">
        <f t="shared" si="129"/>
        <v>31.03.16</v>
      </c>
      <c r="G475" s="140" t="str">
        <f t="shared" si="129"/>
        <v>31.03.17</v>
      </c>
      <c r="H475" s="140" t="s">
        <v>278</v>
      </c>
      <c r="I475" s="140" t="str">
        <f t="shared" ref="I475:O476" si="130">+I425</f>
        <v>31.03.19</v>
      </c>
      <c r="J475" s="140" t="str">
        <f t="shared" si="130"/>
        <v>31.03.20</v>
      </c>
      <c r="K475" s="140" t="str">
        <f t="shared" si="130"/>
        <v>31.03.21</v>
      </c>
      <c r="L475" s="140" t="str">
        <f t="shared" si="130"/>
        <v>31.03.22</v>
      </c>
      <c r="M475" s="140" t="str">
        <f>+M425</f>
        <v>31.03.23</v>
      </c>
      <c r="N475" s="140" t="str">
        <f t="shared" si="130"/>
        <v>31.03.20</v>
      </c>
      <c r="O475" s="140" t="str">
        <f t="shared" si="130"/>
        <v>31.03.21</v>
      </c>
      <c r="P475" s="122"/>
      <c r="Q475" s="122"/>
      <c r="R475" s="122"/>
      <c r="S475" s="122"/>
      <c r="T475" s="122"/>
      <c r="U475" s="122"/>
      <c r="V475" s="122"/>
    </row>
    <row r="476" spans="1:22" s="126" customFormat="1">
      <c r="A476" s="135"/>
      <c r="B476" s="156" t="str">
        <f t="shared" si="129"/>
        <v>AUDITED</v>
      </c>
      <c r="C476" s="156" t="str">
        <f t="shared" si="129"/>
        <v>AUDITED</v>
      </c>
      <c r="D476" s="140" t="str">
        <f t="shared" si="129"/>
        <v>Prov.</v>
      </c>
      <c r="E476" s="134" t="str">
        <f t="shared" si="129"/>
        <v>Proj.</v>
      </c>
      <c r="F476" s="140" t="str">
        <f t="shared" si="129"/>
        <v>Proj.</v>
      </c>
      <c r="G476" s="140" t="str">
        <f t="shared" si="129"/>
        <v>Proj.</v>
      </c>
      <c r="H476" s="140" t="s">
        <v>277</v>
      </c>
      <c r="I476" s="140" t="str">
        <f t="shared" si="130"/>
        <v>Proj.</v>
      </c>
      <c r="J476" s="140" t="str">
        <f t="shared" si="130"/>
        <v>Proj.</v>
      </c>
      <c r="K476" s="140" t="str">
        <f t="shared" si="130"/>
        <v>Proj.</v>
      </c>
      <c r="L476" s="140" t="str">
        <f t="shared" si="130"/>
        <v>Proj.</v>
      </c>
      <c r="M476" s="140" t="str">
        <f>+M426</f>
        <v>Proj.</v>
      </c>
      <c r="N476" s="140" t="str">
        <f t="shared" si="130"/>
        <v>Proj.</v>
      </c>
      <c r="O476" s="140" t="str">
        <f t="shared" si="130"/>
        <v>Proj.</v>
      </c>
      <c r="P476" s="122"/>
      <c r="Q476" s="122"/>
      <c r="R476" s="122"/>
      <c r="S476" s="122"/>
      <c r="T476" s="122"/>
      <c r="U476" s="122"/>
      <c r="V476" s="122"/>
    </row>
    <row r="477" spans="1:22" s="126" customFormat="1">
      <c r="C477" s="156">
        <f>+C427</f>
        <v>0</v>
      </c>
      <c r="D477" s="140">
        <f>+D427</f>
        <v>0</v>
      </c>
      <c r="E477" s="134">
        <f>+E427</f>
        <v>0</v>
      </c>
      <c r="F477" s="140"/>
      <c r="G477" s="140"/>
      <c r="H477" s="140"/>
      <c r="I477" s="122"/>
      <c r="J477" s="122"/>
      <c r="K477" s="122"/>
      <c r="L477" s="122"/>
      <c r="M477" s="122"/>
      <c r="N477" s="122"/>
      <c r="O477" s="122"/>
      <c r="P477" s="122"/>
      <c r="Q477" s="122"/>
      <c r="R477" s="122"/>
      <c r="S477" s="122"/>
      <c r="T477" s="122"/>
      <c r="U477" s="122"/>
      <c r="V477" s="122"/>
    </row>
    <row r="478" spans="1:22" s="126" customFormat="1">
      <c r="C478" s="125"/>
      <c r="D478" s="123"/>
      <c r="E478" s="127"/>
      <c r="F478" s="155"/>
      <c r="G478" s="155"/>
      <c r="H478" s="155"/>
      <c r="I478" s="122"/>
      <c r="J478" s="122"/>
      <c r="K478" s="122"/>
      <c r="L478" s="122"/>
      <c r="M478" s="122"/>
      <c r="N478" s="122"/>
      <c r="O478" s="122"/>
      <c r="P478" s="122"/>
      <c r="Q478" s="122"/>
      <c r="R478" s="122"/>
      <c r="S478" s="122"/>
      <c r="T478" s="122"/>
      <c r="U478" s="122"/>
      <c r="V478" s="122"/>
    </row>
    <row r="479" spans="1:22" s="126" customFormat="1" ht="12" customHeight="1">
      <c r="A479" s="138" t="s">
        <v>319</v>
      </c>
      <c r="B479" s="165">
        <f t="shared" ref="B479:O479" si="131">+B450-B468</f>
        <v>0</v>
      </c>
      <c r="C479" s="165">
        <f t="shared" si="131"/>
        <v>-80.524108499999841</v>
      </c>
      <c r="D479" s="165" t="e">
        <f t="shared" si="131"/>
        <v>#REF!</v>
      </c>
      <c r="E479" s="165" t="e">
        <f t="shared" si="131"/>
        <v>#REF!</v>
      </c>
      <c r="F479" s="165" t="e">
        <f t="shared" si="131"/>
        <v>#REF!</v>
      </c>
      <c r="G479" s="165" t="e">
        <f t="shared" si="131"/>
        <v>#REF!</v>
      </c>
      <c r="H479" s="165" t="e">
        <f t="shared" si="131"/>
        <v>#REF!</v>
      </c>
      <c r="I479" s="166" t="e">
        <f t="shared" si="131"/>
        <v>#REF!</v>
      </c>
      <c r="J479" s="166" t="e">
        <f t="shared" si="131"/>
        <v>#REF!</v>
      </c>
      <c r="K479" s="166" t="e">
        <f t="shared" si="131"/>
        <v>#REF!</v>
      </c>
      <c r="L479" s="166" t="e">
        <f t="shared" si="131"/>
        <v>#REF!</v>
      </c>
      <c r="M479" s="166" t="e">
        <f>+M450-M468</f>
        <v>#REF!</v>
      </c>
      <c r="N479" s="165" t="e">
        <f t="shared" si="131"/>
        <v>#REF!</v>
      </c>
      <c r="O479" s="165" t="e">
        <f t="shared" si="131"/>
        <v>#REF!</v>
      </c>
      <c r="P479" s="122"/>
      <c r="Q479" s="122"/>
      <c r="R479" s="122"/>
      <c r="S479" s="122"/>
      <c r="T479" s="122"/>
      <c r="U479" s="122"/>
      <c r="V479" s="122"/>
    </row>
    <row r="480" spans="1:22" s="126" customFormat="1">
      <c r="A480" s="138"/>
      <c r="B480" s="165"/>
      <c r="C480" s="165"/>
      <c r="D480" s="166"/>
      <c r="E480" s="166"/>
      <c r="F480" s="166"/>
      <c r="G480" s="166"/>
      <c r="H480" s="166"/>
      <c r="I480" s="166"/>
      <c r="J480" s="166"/>
      <c r="K480" s="166"/>
      <c r="L480" s="166"/>
      <c r="M480" s="166"/>
      <c r="N480" s="166"/>
      <c r="O480" s="166"/>
      <c r="P480" s="122"/>
      <c r="Q480" s="122"/>
      <c r="R480" s="122"/>
      <c r="S480" s="122"/>
      <c r="T480" s="122"/>
      <c r="U480" s="122"/>
      <c r="V480" s="122"/>
    </row>
    <row r="481" spans="1:22" s="126" customFormat="1">
      <c r="A481" s="138" t="s">
        <v>318</v>
      </c>
      <c r="B481" s="165"/>
      <c r="C481" s="165">
        <f>+C378-B378</f>
        <v>-22.369604999999737</v>
      </c>
      <c r="D481" s="166">
        <f>+D378-C378</f>
        <v>19.783734374999661</v>
      </c>
      <c r="E481" s="166">
        <f>+E378-C378</f>
        <v>65.465926809249723</v>
      </c>
      <c r="F481" s="166">
        <f>+F378-E378</f>
        <v>25.896468918562732</v>
      </c>
      <c r="G481" s="166">
        <f>+G378-E378</f>
        <v>88.242105050636837</v>
      </c>
      <c r="H481" s="166">
        <f>+H378-E378</f>
        <v>124.19501827068234</v>
      </c>
      <c r="I481" s="166">
        <f t="shared" ref="I481:O481" si="132">+I378-H378</f>
        <v>287.9615783551958</v>
      </c>
      <c r="J481" s="166">
        <f t="shared" si="132"/>
        <v>320.33859154466882</v>
      </c>
      <c r="K481" s="166">
        <f t="shared" si="132"/>
        <v>293.14312713676736</v>
      </c>
      <c r="L481" s="166">
        <f t="shared" si="132"/>
        <v>517.0774347967872</v>
      </c>
      <c r="M481" s="166">
        <f>+M378-L378</f>
        <v>739.99485491334963</v>
      </c>
      <c r="N481" s="166" t="e">
        <f t="shared" si="132"/>
        <v>#REF!</v>
      </c>
      <c r="O481" s="166" t="e">
        <f t="shared" si="132"/>
        <v>#REF!</v>
      </c>
      <c r="P481" s="122"/>
      <c r="Q481" s="122"/>
      <c r="R481" s="122"/>
      <c r="S481" s="122"/>
      <c r="T481" s="122"/>
      <c r="U481" s="122"/>
      <c r="V481" s="122"/>
    </row>
    <row r="482" spans="1:22" s="126" customFormat="1">
      <c r="A482" s="138" t="s">
        <v>317</v>
      </c>
      <c r="B482" s="165"/>
      <c r="C482" s="165"/>
      <c r="D482" s="166"/>
      <c r="E482" s="166"/>
      <c r="F482" s="166"/>
      <c r="G482" s="166"/>
      <c r="H482" s="166"/>
      <c r="I482" s="166"/>
      <c r="J482" s="166"/>
      <c r="K482" s="166"/>
      <c r="L482" s="166"/>
      <c r="M482" s="166"/>
      <c r="N482" s="166"/>
      <c r="O482" s="166"/>
      <c r="P482" s="122"/>
      <c r="Q482" s="122"/>
      <c r="R482" s="122"/>
      <c r="S482" s="122"/>
      <c r="T482" s="122"/>
      <c r="U482" s="122"/>
      <c r="V482" s="122"/>
    </row>
    <row r="483" spans="1:22" s="126" customFormat="1">
      <c r="A483" s="138"/>
      <c r="B483" s="165"/>
      <c r="C483" s="165"/>
      <c r="D483" s="166"/>
      <c r="E483" s="166"/>
      <c r="F483" s="166"/>
      <c r="G483" s="166"/>
      <c r="H483" s="166"/>
      <c r="I483" s="166"/>
      <c r="J483" s="166"/>
      <c r="K483" s="166"/>
      <c r="L483" s="166"/>
      <c r="M483" s="166"/>
      <c r="N483" s="166"/>
      <c r="O483" s="166"/>
      <c r="P483" s="122"/>
      <c r="Q483" s="122"/>
      <c r="R483" s="122"/>
      <c r="S483" s="122"/>
      <c r="T483" s="122"/>
      <c r="U483" s="122"/>
      <c r="V483" s="122"/>
    </row>
    <row r="484" spans="1:22" s="126" customFormat="1">
      <c r="A484" s="138" t="s">
        <v>316</v>
      </c>
      <c r="B484" s="165"/>
      <c r="C484" s="165">
        <f>+C418-B418</f>
        <v>-10.079840699999991</v>
      </c>
      <c r="D484" s="166" t="e">
        <f>+D418-C418</f>
        <v>#REF!</v>
      </c>
      <c r="E484" s="166" t="e">
        <f>+E418-C418</f>
        <v>#REF!</v>
      </c>
      <c r="F484" s="166" t="e">
        <f>+F418-E418</f>
        <v>#REF!</v>
      </c>
      <c r="G484" s="166" t="e">
        <f>+G418-E418</f>
        <v>#REF!</v>
      </c>
      <c r="H484" s="166" t="e">
        <f>+H418-E418</f>
        <v>#REF!</v>
      </c>
      <c r="I484" s="166" t="e">
        <f t="shared" ref="I484:O484" si="133">+I418-H418</f>
        <v>#REF!</v>
      </c>
      <c r="J484" s="166" t="e">
        <f t="shared" si="133"/>
        <v>#REF!</v>
      </c>
      <c r="K484" s="166" t="e">
        <f t="shared" si="133"/>
        <v>#REF!</v>
      </c>
      <c r="L484" s="166" t="e">
        <f t="shared" si="133"/>
        <v>#REF!</v>
      </c>
      <c r="M484" s="166" t="e">
        <f>+M418-L418</f>
        <v>#REF!</v>
      </c>
      <c r="N484" s="166" t="e">
        <f t="shared" si="133"/>
        <v>#REF!</v>
      </c>
      <c r="O484" s="166">
        <f t="shared" si="133"/>
        <v>0</v>
      </c>
      <c r="P484" s="122"/>
      <c r="Q484" s="122"/>
      <c r="R484" s="122"/>
      <c r="S484" s="122"/>
      <c r="T484" s="122"/>
      <c r="U484" s="122"/>
      <c r="V484" s="122"/>
    </row>
    <row r="485" spans="1:22">
      <c r="A485" s="138" t="s">
        <v>315</v>
      </c>
      <c r="B485" s="165"/>
      <c r="C485" s="165"/>
      <c r="D485" s="166"/>
      <c r="E485" s="166"/>
      <c r="F485" s="166"/>
      <c r="G485" s="166"/>
      <c r="H485" s="166"/>
      <c r="I485" s="166"/>
      <c r="J485" s="166"/>
      <c r="K485" s="166"/>
      <c r="L485" s="166"/>
      <c r="M485" s="166"/>
      <c r="N485" s="166"/>
      <c r="O485" s="166"/>
      <c r="P485" s="120"/>
      <c r="Q485" s="120"/>
      <c r="R485" s="120"/>
      <c r="S485" s="120"/>
      <c r="T485" s="120"/>
      <c r="U485" s="120"/>
      <c r="V485" s="120"/>
    </row>
    <row r="486" spans="1:22">
      <c r="A486" s="138"/>
      <c r="B486" s="165"/>
      <c r="C486" s="165"/>
      <c r="D486" s="166"/>
      <c r="E486" s="166"/>
      <c r="F486" s="166"/>
      <c r="G486" s="166"/>
      <c r="H486" s="166"/>
      <c r="I486" s="166"/>
      <c r="J486" s="166"/>
      <c r="K486" s="166"/>
      <c r="L486" s="166"/>
      <c r="M486" s="166"/>
      <c r="N486" s="166"/>
      <c r="O486" s="166"/>
      <c r="P486" s="120"/>
      <c r="Q486" s="120"/>
      <c r="R486" s="120"/>
      <c r="S486" s="120"/>
      <c r="T486" s="120"/>
      <c r="U486" s="120"/>
      <c r="V486" s="120"/>
    </row>
    <row r="487" spans="1:22">
      <c r="A487" s="138" t="s">
        <v>314</v>
      </c>
      <c r="B487" s="165"/>
      <c r="C487" s="165">
        <f t="shared" ref="C487:O487" si="134">+C481-C484</f>
        <v>-12.289764299999746</v>
      </c>
      <c r="D487" s="165" t="e">
        <f t="shared" si="134"/>
        <v>#REF!</v>
      </c>
      <c r="E487" s="165" t="e">
        <f t="shared" si="134"/>
        <v>#REF!</v>
      </c>
      <c r="F487" s="165" t="e">
        <f t="shared" si="134"/>
        <v>#REF!</v>
      </c>
      <c r="G487" s="165" t="e">
        <f t="shared" si="134"/>
        <v>#REF!</v>
      </c>
      <c r="H487" s="165" t="e">
        <f t="shared" si="134"/>
        <v>#REF!</v>
      </c>
      <c r="I487" s="166" t="e">
        <f t="shared" si="134"/>
        <v>#REF!</v>
      </c>
      <c r="J487" s="166" t="e">
        <f t="shared" si="134"/>
        <v>#REF!</v>
      </c>
      <c r="K487" s="166" t="e">
        <f t="shared" si="134"/>
        <v>#REF!</v>
      </c>
      <c r="L487" s="166" t="e">
        <f t="shared" si="134"/>
        <v>#REF!</v>
      </c>
      <c r="M487" s="166" t="e">
        <f>+M481-M484</f>
        <v>#REF!</v>
      </c>
      <c r="N487" s="165" t="e">
        <f t="shared" si="134"/>
        <v>#REF!</v>
      </c>
      <c r="O487" s="165" t="e">
        <f t="shared" si="134"/>
        <v>#REF!</v>
      </c>
      <c r="P487" s="120"/>
      <c r="Q487" s="120"/>
      <c r="R487" s="120"/>
      <c r="S487" s="120"/>
      <c r="T487" s="120"/>
      <c r="U487" s="120"/>
      <c r="V487" s="120"/>
    </row>
    <row r="488" spans="1:22">
      <c r="A488" s="126"/>
      <c r="B488" s="160"/>
      <c r="C488" s="160"/>
      <c r="D488" s="159"/>
      <c r="E488" s="159"/>
      <c r="F488" s="159"/>
      <c r="G488" s="159"/>
      <c r="H488" s="159"/>
      <c r="I488" s="159"/>
      <c r="J488" s="159"/>
      <c r="K488" s="159"/>
      <c r="L488" s="159"/>
      <c r="M488" s="159"/>
      <c r="N488" s="159"/>
      <c r="O488" s="159"/>
      <c r="P488" s="120"/>
      <c r="Q488" s="120"/>
      <c r="R488" s="120"/>
      <c r="S488" s="120"/>
      <c r="T488" s="120"/>
      <c r="U488" s="120"/>
      <c r="V488" s="120"/>
    </row>
    <row r="489" spans="1:22">
      <c r="A489" s="135" t="s">
        <v>313</v>
      </c>
      <c r="B489" s="162">
        <f t="shared" ref="B489:G489" si="135">+B479-B487</f>
        <v>0</v>
      </c>
      <c r="C489" s="162">
        <f t="shared" si="135"/>
        <v>-68.234344200000095</v>
      </c>
      <c r="D489" s="162" t="e">
        <f t="shared" si="135"/>
        <v>#REF!</v>
      </c>
      <c r="E489" s="162" t="e">
        <f t="shared" si="135"/>
        <v>#REF!</v>
      </c>
      <c r="F489" s="162" t="e">
        <f t="shared" si="135"/>
        <v>#REF!</v>
      </c>
      <c r="G489" s="162" t="e">
        <f t="shared" si="135"/>
        <v>#REF!</v>
      </c>
      <c r="H489" s="162" t="e">
        <f>+H479-H487+0.01</f>
        <v>#REF!</v>
      </c>
      <c r="I489" s="161" t="e">
        <f t="shared" ref="I489:O489" si="136">+I479-I487</f>
        <v>#REF!</v>
      </c>
      <c r="J489" s="161" t="e">
        <f t="shared" si="136"/>
        <v>#REF!</v>
      </c>
      <c r="K489" s="161" t="e">
        <f t="shared" si="136"/>
        <v>#REF!</v>
      </c>
      <c r="L489" s="161" t="e">
        <f t="shared" si="136"/>
        <v>#REF!</v>
      </c>
      <c r="M489" s="161" t="e">
        <f>+M479-M487</f>
        <v>#REF!</v>
      </c>
      <c r="N489" s="162" t="e">
        <f t="shared" si="136"/>
        <v>#REF!</v>
      </c>
      <c r="O489" s="162" t="e">
        <f t="shared" si="136"/>
        <v>#REF!</v>
      </c>
      <c r="P489" s="120"/>
      <c r="Q489" s="120"/>
      <c r="R489" s="120"/>
      <c r="S489" s="120"/>
      <c r="T489" s="120"/>
      <c r="U489" s="120"/>
      <c r="V489" s="120"/>
    </row>
    <row r="490" spans="1:22">
      <c r="A490" s="135"/>
      <c r="B490" s="162"/>
      <c r="C490" s="162"/>
      <c r="D490" s="161"/>
      <c r="E490" s="161"/>
      <c r="F490" s="161"/>
      <c r="G490" s="161"/>
      <c r="H490" s="161"/>
      <c r="I490" s="161"/>
      <c r="J490" s="161"/>
      <c r="K490" s="161"/>
      <c r="L490" s="161"/>
      <c r="M490" s="161"/>
      <c r="N490" s="161"/>
      <c r="O490" s="161"/>
      <c r="P490" s="120"/>
      <c r="Q490" s="120"/>
      <c r="R490" s="120"/>
      <c r="S490" s="120"/>
      <c r="T490" s="120"/>
      <c r="U490" s="120"/>
      <c r="V490" s="120"/>
    </row>
    <row r="491" spans="1:22">
      <c r="A491" s="135" t="s">
        <v>312</v>
      </c>
      <c r="B491" s="162"/>
      <c r="C491" s="162">
        <f>+C138-B138</f>
        <v>0</v>
      </c>
      <c r="D491" s="162">
        <f>+D138-C138</f>
        <v>0</v>
      </c>
      <c r="E491" s="162">
        <f>+E138-C138</f>
        <v>0</v>
      </c>
      <c r="F491" s="162">
        <f>+F138-E138</f>
        <v>0</v>
      </c>
      <c r="G491" s="162">
        <f>+G138-E138</f>
        <v>0</v>
      </c>
      <c r="H491" s="162">
        <f>+H138-E138</f>
        <v>0</v>
      </c>
      <c r="I491" s="161">
        <f t="shared" ref="I491:O491" si="137">+I138-H138</f>
        <v>0</v>
      </c>
      <c r="J491" s="161">
        <f t="shared" si="137"/>
        <v>0</v>
      </c>
      <c r="K491" s="161">
        <f t="shared" si="137"/>
        <v>0</v>
      </c>
      <c r="L491" s="161">
        <f t="shared" si="137"/>
        <v>0</v>
      </c>
      <c r="M491" s="161">
        <f>+M138-L138</f>
        <v>0</v>
      </c>
      <c r="N491" s="162" t="e">
        <f t="shared" si="137"/>
        <v>#REF!</v>
      </c>
      <c r="O491" s="162" t="e">
        <f t="shared" si="137"/>
        <v>#REF!</v>
      </c>
      <c r="P491" s="120"/>
      <c r="Q491" s="120"/>
      <c r="R491" s="120"/>
      <c r="S491" s="120"/>
      <c r="T491" s="120"/>
      <c r="U491" s="120"/>
      <c r="V491" s="120"/>
    </row>
    <row r="492" spans="1:22">
      <c r="A492" s="126"/>
      <c r="B492" s="160"/>
      <c r="C492" s="160">
        <f t="shared" ref="C492:O492" si="138">C489+C491</f>
        <v>-68.234344200000095</v>
      </c>
      <c r="D492" s="160" t="e">
        <f t="shared" si="138"/>
        <v>#REF!</v>
      </c>
      <c r="E492" s="160" t="e">
        <f t="shared" si="138"/>
        <v>#REF!</v>
      </c>
      <c r="F492" s="160" t="e">
        <f t="shared" si="138"/>
        <v>#REF!</v>
      </c>
      <c r="G492" s="160" t="e">
        <f t="shared" si="138"/>
        <v>#REF!</v>
      </c>
      <c r="H492" s="160" t="e">
        <f t="shared" si="138"/>
        <v>#REF!</v>
      </c>
      <c r="I492" s="159" t="e">
        <f t="shared" si="138"/>
        <v>#REF!</v>
      </c>
      <c r="J492" s="159" t="e">
        <f t="shared" si="138"/>
        <v>#REF!</v>
      </c>
      <c r="K492" s="159" t="e">
        <f t="shared" si="138"/>
        <v>#REF!</v>
      </c>
      <c r="L492" s="159" t="e">
        <f t="shared" si="138"/>
        <v>#REF!</v>
      </c>
      <c r="M492" s="159" t="e">
        <f>M489+M491</f>
        <v>#REF!</v>
      </c>
      <c r="N492" s="160" t="e">
        <f t="shared" si="138"/>
        <v>#REF!</v>
      </c>
      <c r="O492" s="160" t="e">
        <f t="shared" si="138"/>
        <v>#REF!</v>
      </c>
      <c r="P492" s="120"/>
      <c r="Q492" s="120"/>
      <c r="R492" s="120"/>
      <c r="S492" s="120"/>
      <c r="T492" s="120"/>
      <c r="U492" s="120"/>
      <c r="V492" s="120"/>
    </row>
    <row r="493" spans="1:22">
      <c r="A493" s="126" t="s">
        <v>311</v>
      </c>
      <c r="B493" s="160"/>
      <c r="C493" s="160"/>
      <c r="D493" s="159"/>
      <c r="E493" s="159"/>
      <c r="F493" s="159"/>
      <c r="G493" s="159"/>
      <c r="H493" s="159"/>
      <c r="I493" s="159"/>
      <c r="J493" s="159"/>
      <c r="K493" s="159"/>
      <c r="L493" s="159"/>
      <c r="M493" s="159"/>
      <c r="N493" s="159"/>
      <c r="O493" s="159"/>
      <c r="P493" s="120"/>
      <c r="Q493" s="120"/>
      <c r="R493" s="120"/>
      <c r="S493" s="120"/>
      <c r="T493" s="120"/>
      <c r="U493" s="120"/>
      <c r="V493" s="120"/>
    </row>
    <row r="494" spans="1:22">
      <c r="A494" s="126"/>
      <c r="B494" s="152"/>
      <c r="C494" s="152"/>
      <c r="D494" s="124"/>
      <c r="F494" s="124"/>
      <c r="G494" s="124"/>
      <c r="H494" s="124"/>
      <c r="I494" s="124"/>
      <c r="J494" s="124"/>
      <c r="K494" s="124"/>
      <c r="L494" s="124"/>
      <c r="M494" s="124"/>
      <c r="N494" s="124"/>
      <c r="O494" s="124"/>
      <c r="P494" s="120"/>
      <c r="Q494" s="120"/>
      <c r="R494" s="120"/>
      <c r="S494" s="120"/>
      <c r="T494" s="120"/>
      <c r="U494" s="120"/>
      <c r="V494" s="120"/>
    </row>
    <row r="495" spans="1:22">
      <c r="A495" s="135" t="s">
        <v>310</v>
      </c>
      <c r="B495" s="152"/>
      <c r="C495" s="152"/>
      <c r="D495" s="124"/>
      <c r="F495" s="124"/>
      <c r="G495" s="124"/>
      <c r="H495" s="124"/>
      <c r="I495" s="124"/>
      <c r="J495" s="124"/>
      <c r="K495" s="124"/>
      <c r="L495" s="124"/>
      <c r="M495" s="124"/>
      <c r="N495" s="124"/>
      <c r="O495" s="124"/>
      <c r="P495" s="120"/>
      <c r="Q495" s="120"/>
      <c r="R495" s="120"/>
      <c r="S495" s="120"/>
      <c r="T495" s="120"/>
      <c r="U495" s="120"/>
      <c r="V495" s="120"/>
    </row>
    <row r="496" spans="1:22">
      <c r="A496" s="126"/>
      <c r="B496" s="160"/>
      <c r="C496" s="160"/>
      <c r="D496" s="159"/>
      <c r="E496" s="159"/>
      <c r="F496" s="159"/>
      <c r="G496" s="159"/>
      <c r="H496" s="159"/>
      <c r="I496" s="159"/>
      <c r="J496" s="159"/>
      <c r="K496" s="159"/>
      <c r="L496" s="159"/>
      <c r="M496" s="159"/>
      <c r="N496" s="159"/>
      <c r="O496" s="159"/>
      <c r="P496" s="120"/>
      <c r="Q496" s="120"/>
      <c r="R496" s="120"/>
      <c r="S496" s="120"/>
      <c r="T496" s="120"/>
      <c r="U496" s="120"/>
      <c r="V496" s="120"/>
    </row>
    <row r="497" spans="1:22">
      <c r="A497" s="126" t="s">
        <v>309</v>
      </c>
      <c r="B497" s="160"/>
      <c r="C497" s="160">
        <f>+C251-B251+C250-B250</f>
        <v>0</v>
      </c>
      <c r="D497" s="159">
        <f>+D251-C251+D250-C250</f>
        <v>0</v>
      </c>
      <c r="E497" s="159">
        <f>+E251-C251+E250-C250</f>
        <v>0</v>
      </c>
      <c r="F497" s="159">
        <f>+F251-E251+F250-E250</f>
        <v>0</v>
      </c>
      <c r="G497" s="159">
        <f>+G251-E251+G250-E250</f>
        <v>0</v>
      </c>
      <c r="H497" s="159">
        <f>+H251-E251+H250-E250</f>
        <v>0</v>
      </c>
      <c r="I497" s="159">
        <f t="shared" ref="I497:O497" si="139">+I251-H251+I250-H250</f>
        <v>0</v>
      </c>
      <c r="J497" s="159">
        <f t="shared" si="139"/>
        <v>0</v>
      </c>
      <c r="K497" s="159">
        <f t="shared" si="139"/>
        <v>0</v>
      </c>
      <c r="L497" s="159">
        <f t="shared" si="139"/>
        <v>0</v>
      </c>
      <c r="M497" s="159">
        <f>+M251-L251+M250-L250</f>
        <v>0</v>
      </c>
      <c r="N497" s="159" t="e">
        <f t="shared" si="139"/>
        <v>#REF!</v>
      </c>
      <c r="O497" s="159" t="e">
        <f t="shared" si="139"/>
        <v>#REF!</v>
      </c>
      <c r="P497" s="120"/>
      <c r="Q497" s="120"/>
      <c r="R497" s="120"/>
      <c r="S497" s="120"/>
      <c r="T497" s="120"/>
      <c r="U497" s="120"/>
      <c r="V497" s="120"/>
    </row>
    <row r="498" spans="1:22">
      <c r="A498" s="126"/>
      <c r="B498" s="160"/>
      <c r="C498" s="160"/>
      <c r="D498" s="159"/>
      <c r="E498" s="159"/>
      <c r="F498" s="159"/>
      <c r="G498" s="159"/>
      <c r="H498" s="159"/>
      <c r="I498" s="159"/>
      <c r="J498" s="159"/>
      <c r="K498" s="159"/>
      <c r="L498" s="159"/>
      <c r="M498" s="159"/>
      <c r="N498" s="159"/>
      <c r="O498" s="159"/>
      <c r="P498" s="120"/>
      <c r="Q498" s="120"/>
      <c r="R498" s="120"/>
      <c r="S498" s="120"/>
      <c r="T498" s="120"/>
      <c r="U498" s="120"/>
      <c r="V498" s="120"/>
    </row>
    <row r="499" spans="1:22">
      <c r="A499" s="126" t="s">
        <v>308</v>
      </c>
      <c r="B499" s="160"/>
      <c r="C499" s="160">
        <f>+C253-B253</f>
        <v>0</v>
      </c>
      <c r="D499" s="159">
        <f>+D253-C253</f>
        <v>0</v>
      </c>
      <c r="E499" s="159">
        <f>+E253-C253</f>
        <v>0</v>
      </c>
      <c r="F499" s="159">
        <f>+F253-E253</f>
        <v>0</v>
      </c>
      <c r="G499" s="159">
        <f>+G253-E253</f>
        <v>0</v>
      </c>
      <c r="H499" s="159">
        <f>+H253-E253</f>
        <v>0</v>
      </c>
      <c r="I499" s="159">
        <f t="shared" ref="I499:O499" si="140">+I253-H253</f>
        <v>0</v>
      </c>
      <c r="J499" s="159">
        <f t="shared" si="140"/>
        <v>0</v>
      </c>
      <c r="K499" s="159">
        <f t="shared" si="140"/>
        <v>0</v>
      </c>
      <c r="L499" s="159">
        <f t="shared" si="140"/>
        <v>0</v>
      </c>
      <c r="M499" s="159">
        <f>+M253-L253</f>
        <v>0</v>
      </c>
      <c r="N499" s="159" t="e">
        <f t="shared" si="140"/>
        <v>#REF!</v>
      </c>
      <c r="O499" s="159" t="e">
        <f t="shared" si="140"/>
        <v>#REF!</v>
      </c>
      <c r="P499" s="120"/>
      <c r="Q499" s="120"/>
      <c r="R499" s="120"/>
      <c r="S499" s="120"/>
      <c r="T499" s="120"/>
      <c r="U499" s="120"/>
      <c r="V499" s="120"/>
    </row>
    <row r="500" spans="1:22">
      <c r="A500" s="126"/>
      <c r="B500" s="160"/>
      <c r="C500" s="160"/>
      <c r="D500" s="159"/>
      <c r="E500" s="159"/>
      <c r="F500" s="159"/>
      <c r="G500" s="159"/>
      <c r="H500" s="159"/>
      <c r="I500" s="159"/>
      <c r="J500" s="159"/>
      <c r="K500" s="159"/>
      <c r="L500" s="159"/>
      <c r="M500" s="159"/>
      <c r="N500" s="159"/>
      <c r="O500" s="159"/>
      <c r="P500" s="120"/>
      <c r="Q500" s="120"/>
      <c r="R500" s="120"/>
      <c r="S500" s="120"/>
      <c r="T500" s="120"/>
      <c r="U500" s="120"/>
      <c r="V500" s="120"/>
    </row>
    <row r="501" spans="1:22" s="126" customFormat="1">
      <c r="A501" s="126" t="s">
        <v>307</v>
      </c>
      <c r="B501" s="160"/>
      <c r="C501" s="160">
        <f>+C255-B255</f>
        <v>0</v>
      </c>
      <c r="D501" s="159">
        <f>+D255-C255</f>
        <v>0</v>
      </c>
      <c r="E501" s="159">
        <f>+E255-C255</f>
        <v>0</v>
      </c>
      <c r="F501" s="159">
        <f>+F255-E255</f>
        <v>0</v>
      </c>
      <c r="G501" s="159">
        <f>+G255-E255</f>
        <v>0</v>
      </c>
      <c r="H501" s="159">
        <f>+H255-E255</f>
        <v>0</v>
      </c>
      <c r="I501" s="159">
        <f t="shared" ref="I501:O501" si="141">+I255-H255</f>
        <v>0</v>
      </c>
      <c r="J501" s="159">
        <f t="shared" si="141"/>
        <v>0</v>
      </c>
      <c r="K501" s="159">
        <f t="shared" si="141"/>
        <v>0</v>
      </c>
      <c r="L501" s="159">
        <f t="shared" si="141"/>
        <v>0</v>
      </c>
      <c r="M501" s="159">
        <f>+M255-L255</f>
        <v>0</v>
      </c>
      <c r="N501" s="159" t="e">
        <f t="shared" si="141"/>
        <v>#REF!</v>
      </c>
      <c r="O501" s="159" t="e">
        <f t="shared" si="141"/>
        <v>#REF!</v>
      </c>
      <c r="P501" s="122"/>
      <c r="Q501" s="122"/>
      <c r="R501" s="122"/>
      <c r="S501" s="122"/>
      <c r="T501" s="122"/>
      <c r="U501" s="122"/>
      <c r="V501" s="122"/>
    </row>
    <row r="502" spans="1:22" s="126" customFormat="1">
      <c r="B502" s="160"/>
      <c r="C502" s="160"/>
      <c r="D502" s="159"/>
      <c r="E502" s="159"/>
      <c r="F502" s="159"/>
      <c r="G502" s="159"/>
      <c r="H502" s="159"/>
      <c r="I502" s="159"/>
      <c r="J502" s="159"/>
      <c r="K502" s="159"/>
      <c r="L502" s="159"/>
      <c r="M502" s="159"/>
      <c r="N502" s="159"/>
      <c r="O502" s="159"/>
      <c r="P502" s="122"/>
      <c r="Q502" s="122"/>
      <c r="R502" s="122"/>
      <c r="S502" s="122"/>
      <c r="T502" s="122"/>
      <c r="U502" s="122"/>
      <c r="V502" s="122"/>
    </row>
    <row r="503" spans="1:22" s="126" customFormat="1">
      <c r="A503" s="126" t="s">
        <v>306</v>
      </c>
      <c r="B503" s="160"/>
      <c r="C503" s="160">
        <f>+C239-B239+C366-B366</f>
        <v>0</v>
      </c>
      <c r="D503" s="159">
        <f>+D239-C239+D366-C366</f>
        <v>0</v>
      </c>
      <c r="E503" s="159">
        <f>+E239-C239+E366-C366</f>
        <v>0</v>
      </c>
      <c r="F503" s="159">
        <f>+F239-E239+F366-E366</f>
        <v>0</v>
      </c>
      <c r="G503" s="159">
        <f>+G239-E239+G366-E366</f>
        <v>0</v>
      </c>
      <c r="H503" s="159">
        <f>+H239-E239+H366-E366</f>
        <v>0</v>
      </c>
      <c r="I503" s="159">
        <f t="shared" ref="I503:O503" si="142">+I239-H239+I366-H366</f>
        <v>0</v>
      </c>
      <c r="J503" s="159">
        <f t="shared" si="142"/>
        <v>0</v>
      </c>
      <c r="K503" s="159">
        <f t="shared" si="142"/>
        <v>0</v>
      </c>
      <c r="L503" s="159">
        <f t="shared" si="142"/>
        <v>0</v>
      </c>
      <c r="M503" s="159">
        <f>+M239-L239+M366-L366</f>
        <v>0</v>
      </c>
      <c r="N503" s="159">
        <f t="shared" si="142"/>
        <v>2225.77</v>
      </c>
      <c r="O503" s="159">
        <f t="shared" si="142"/>
        <v>0</v>
      </c>
      <c r="P503" s="122"/>
      <c r="Q503" s="122"/>
      <c r="R503" s="122"/>
      <c r="S503" s="122"/>
      <c r="T503" s="122"/>
      <c r="U503" s="122"/>
      <c r="V503" s="122"/>
    </row>
    <row r="504" spans="1:22" s="126" customFormat="1">
      <c r="B504" s="160"/>
      <c r="C504" s="160"/>
      <c r="D504" s="159"/>
      <c r="E504" s="159"/>
      <c r="F504" s="159"/>
      <c r="G504" s="159"/>
      <c r="H504" s="159"/>
      <c r="I504" s="159"/>
      <c r="J504" s="159"/>
      <c r="K504" s="159"/>
      <c r="L504" s="159"/>
      <c r="M504" s="159"/>
      <c r="N504" s="159"/>
      <c r="O504" s="159"/>
      <c r="P504" s="122"/>
      <c r="Q504" s="122"/>
      <c r="R504" s="122"/>
      <c r="S504" s="122"/>
      <c r="T504" s="122"/>
      <c r="U504" s="122"/>
      <c r="V504" s="122"/>
    </row>
    <row r="505" spans="1:22" s="126" customFormat="1">
      <c r="A505" s="126" t="s">
        <v>305</v>
      </c>
      <c r="B505" s="160"/>
      <c r="C505" s="160">
        <f>C259-B259</f>
        <v>0</v>
      </c>
      <c r="D505" s="159">
        <f>D259-C259</f>
        <v>0</v>
      </c>
      <c r="E505" s="159">
        <f>E259-C259</f>
        <v>0</v>
      </c>
      <c r="F505" s="159">
        <f>F259-E259</f>
        <v>0</v>
      </c>
      <c r="G505" s="159">
        <f>G259-E259</f>
        <v>0</v>
      </c>
      <c r="H505" s="159">
        <f>H259-E259</f>
        <v>0</v>
      </c>
      <c r="I505" s="159">
        <f t="shared" ref="I505:O505" si="143">I259-H259</f>
        <v>0</v>
      </c>
      <c r="J505" s="159">
        <f t="shared" si="143"/>
        <v>0</v>
      </c>
      <c r="K505" s="159">
        <f t="shared" si="143"/>
        <v>0</v>
      </c>
      <c r="L505" s="159">
        <f t="shared" si="143"/>
        <v>0</v>
      </c>
      <c r="M505" s="159">
        <f>M259-L259</f>
        <v>0</v>
      </c>
      <c r="N505" s="159">
        <f t="shared" si="143"/>
        <v>0</v>
      </c>
      <c r="O505" s="159">
        <f t="shared" si="143"/>
        <v>0</v>
      </c>
      <c r="P505" s="122"/>
      <c r="Q505" s="122"/>
      <c r="R505" s="122"/>
      <c r="S505" s="122"/>
      <c r="T505" s="122"/>
      <c r="U505" s="122"/>
      <c r="V505" s="122"/>
    </row>
    <row r="506" spans="1:22" s="126" customFormat="1">
      <c r="B506" s="160"/>
      <c r="C506" s="160"/>
      <c r="D506" s="159"/>
      <c r="E506" s="159"/>
      <c r="F506" s="159"/>
      <c r="G506" s="159"/>
      <c r="H506" s="159"/>
      <c r="I506" s="159"/>
      <c r="J506" s="159"/>
      <c r="K506" s="159"/>
      <c r="L506" s="159"/>
      <c r="M506" s="159"/>
      <c r="N506" s="159"/>
      <c r="O506" s="159"/>
      <c r="P506" s="122"/>
      <c r="Q506" s="122"/>
      <c r="R506" s="122"/>
      <c r="S506" s="122"/>
      <c r="T506" s="122"/>
      <c r="U506" s="122"/>
      <c r="V506" s="122"/>
    </row>
    <row r="507" spans="1:22" s="126" customFormat="1">
      <c r="A507" s="126" t="s">
        <v>304</v>
      </c>
      <c r="B507" s="160"/>
      <c r="C507" s="160">
        <f>+(-B232-B236-B264-B266+C232+C236+C264+C266+C369-B369)</f>
        <v>-22.369604999999744</v>
      </c>
      <c r="D507" s="159">
        <f>+(-C232-C236-C264-C266+D232+D236+D264+D266+D369-C369)</f>
        <v>19.783734374999661</v>
      </c>
      <c r="E507" s="159">
        <f>+(-C232-C236-C264-C266+E232+E236+E264+E266+E369-C369)</f>
        <v>65.465926809249709</v>
      </c>
      <c r="F507" s="159">
        <f>+(-E232-E236-E264-E266+F232+F236+F264+F266+F369-E369)</f>
        <v>25.896468918562732</v>
      </c>
      <c r="G507" s="159">
        <f>+(-E232-E236-E264-E266+G232+G236+G264+G266+G369-E369)</f>
        <v>88.242105050636837</v>
      </c>
      <c r="H507" s="159">
        <f>+(-E232-E236-E264-E266+H232+H236+H264+H266+H369-E369)</f>
        <v>124.19501827068234</v>
      </c>
      <c r="I507" s="159">
        <f t="shared" ref="I507:O507" si="144">+(-H232-H236-H264-H266+I232+I236+I264+I266+I369-H369)</f>
        <v>287.9615783551958</v>
      </c>
      <c r="J507" s="159">
        <f t="shared" si="144"/>
        <v>320.33859154466882</v>
      </c>
      <c r="K507" s="159">
        <f t="shared" si="144"/>
        <v>293.14312713676736</v>
      </c>
      <c r="L507" s="159">
        <f t="shared" si="144"/>
        <v>517.0774347967872</v>
      </c>
      <c r="M507" s="159">
        <f>+(-L232-L236-L264-L266+M232+M236+M264+M266+M369-L369)</f>
        <v>739.99485491334963</v>
      </c>
      <c r="N507" s="159">
        <f t="shared" si="144"/>
        <v>-2288.7453156267011</v>
      </c>
      <c r="O507" s="159">
        <f t="shared" si="144"/>
        <v>0</v>
      </c>
      <c r="P507" s="122"/>
      <c r="Q507" s="122"/>
      <c r="R507" s="122"/>
      <c r="S507" s="122"/>
      <c r="T507" s="122"/>
      <c r="U507" s="122"/>
      <c r="V507" s="122"/>
    </row>
    <row r="508" spans="1:22" s="126" customFormat="1">
      <c r="A508" s="164"/>
      <c r="B508" s="160"/>
      <c r="C508" s="160"/>
      <c r="D508" s="159"/>
      <c r="E508" s="159"/>
      <c r="F508" s="159"/>
      <c r="G508" s="159"/>
      <c r="H508" s="159"/>
      <c r="I508" s="159"/>
      <c r="J508" s="159"/>
      <c r="K508" s="159"/>
      <c r="L508" s="159"/>
      <c r="M508" s="159"/>
      <c r="N508" s="159"/>
      <c r="O508" s="159"/>
      <c r="P508" s="122"/>
      <c r="Q508" s="122"/>
      <c r="R508" s="122"/>
      <c r="S508" s="122"/>
      <c r="T508" s="122"/>
      <c r="U508" s="122"/>
      <c r="V508" s="122"/>
    </row>
    <row r="509" spans="1:22" s="126" customFormat="1">
      <c r="A509" s="163" t="s">
        <v>303</v>
      </c>
      <c r="B509" s="162">
        <f t="shared" ref="B509:O509" si="145">SUM(B497:B507)</f>
        <v>0</v>
      </c>
      <c r="C509" s="162">
        <f t="shared" si="145"/>
        <v>-22.369604999999744</v>
      </c>
      <c r="D509" s="161">
        <f t="shared" si="145"/>
        <v>19.783734374999661</v>
      </c>
      <c r="E509" s="161">
        <f t="shared" si="145"/>
        <v>65.465926809249709</v>
      </c>
      <c r="F509" s="161">
        <f t="shared" si="145"/>
        <v>25.896468918562732</v>
      </c>
      <c r="G509" s="161">
        <f t="shared" si="145"/>
        <v>88.242105050636837</v>
      </c>
      <c r="H509" s="161">
        <f t="shared" si="145"/>
        <v>124.19501827068234</v>
      </c>
      <c r="I509" s="161">
        <f t="shared" si="145"/>
        <v>287.9615783551958</v>
      </c>
      <c r="J509" s="161">
        <f t="shared" si="145"/>
        <v>320.33859154466882</v>
      </c>
      <c r="K509" s="161">
        <f t="shared" si="145"/>
        <v>293.14312713676736</v>
      </c>
      <c r="L509" s="161">
        <f t="shared" si="145"/>
        <v>517.0774347967872</v>
      </c>
      <c r="M509" s="161">
        <f>SUM(M497:M507)</f>
        <v>739.99485491334963</v>
      </c>
      <c r="N509" s="161" t="e">
        <f t="shared" si="145"/>
        <v>#REF!</v>
      </c>
      <c r="O509" s="161" t="e">
        <f t="shared" si="145"/>
        <v>#REF!</v>
      </c>
      <c r="P509" s="122"/>
      <c r="Q509" s="122"/>
      <c r="R509" s="122"/>
      <c r="S509" s="122"/>
      <c r="T509" s="122"/>
      <c r="U509" s="122"/>
      <c r="V509" s="122"/>
    </row>
    <row r="510" spans="1:22" s="126" customFormat="1">
      <c r="A510" s="120"/>
      <c r="B510" s="152"/>
      <c r="C510" s="160">
        <f t="shared" ref="C510:O510" si="146">+C481-C509</f>
        <v>0</v>
      </c>
      <c r="D510" s="160">
        <f t="shared" si="146"/>
        <v>0</v>
      </c>
      <c r="E510" s="160">
        <f t="shared" si="146"/>
        <v>0</v>
      </c>
      <c r="F510" s="160">
        <f t="shared" si="146"/>
        <v>0</v>
      </c>
      <c r="G510" s="160">
        <f t="shared" si="146"/>
        <v>0</v>
      </c>
      <c r="H510" s="160">
        <f t="shared" si="146"/>
        <v>0</v>
      </c>
      <c r="I510" s="159">
        <f t="shared" si="146"/>
        <v>0</v>
      </c>
      <c r="J510" s="159">
        <f t="shared" si="146"/>
        <v>0</v>
      </c>
      <c r="K510" s="159">
        <f t="shared" si="146"/>
        <v>0</v>
      </c>
      <c r="L510" s="159">
        <f t="shared" si="146"/>
        <v>0</v>
      </c>
      <c r="M510" s="159">
        <f>+M481-M509</f>
        <v>0</v>
      </c>
      <c r="N510" s="160" t="e">
        <f t="shared" si="146"/>
        <v>#REF!</v>
      </c>
      <c r="O510" s="160" t="e">
        <f t="shared" si="146"/>
        <v>#REF!</v>
      </c>
      <c r="P510" s="122"/>
      <c r="Q510" s="122"/>
      <c r="R510" s="122"/>
      <c r="S510" s="122"/>
      <c r="T510" s="122"/>
      <c r="U510" s="122"/>
      <c r="V510" s="122"/>
    </row>
    <row r="511" spans="1:22" s="126" customFormat="1">
      <c r="A511" s="120"/>
      <c r="B511" s="152"/>
      <c r="C511" s="152"/>
      <c r="D511" s="124"/>
      <c r="E511" s="159"/>
      <c r="F511" s="159"/>
      <c r="G511" s="159"/>
      <c r="H511" s="159"/>
      <c r="I511" s="122"/>
      <c r="J511" s="122"/>
      <c r="K511" s="122"/>
      <c r="L511" s="122"/>
      <c r="M511" s="122"/>
      <c r="N511" s="122"/>
      <c r="O511" s="122"/>
      <c r="P511" s="122"/>
      <c r="Q511" s="122"/>
      <c r="R511" s="122"/>
      <c r="S511" s="122"/>
      <c r="T511" s="122"/>
      <c r="U511" s="122"/>
      <c r="V511" s="122"/>
    </row>
    <row r="512" spans="1:22" s="126" customFormat="1">
      <c r="A512" s="120"/>
      <c r="C512" s="125"/>
      <c r="D512" s="123"/>
      <c r="E512" s="159"/>
      <c r="F512" s="158"/>
      <c r="G512" s="158"/>
      <c r="H512" s="158"/>
      <c r="I512" s="122"/>
      <c r="J512" s="122"/>
      <c r="K512" s="122"/>
      <c r="L512" s="122"/>
      <c r="M512" s="122"/>
      <c r="N512" s="122"/>
      <c r="O512" s="122"/>
      <c r="P512" s="122"/>
      <c r="Q512" s="122"/>
      <c r="R512" s="122"/>
      <c r="S512" s="122"/>
      <c r="T512" s="122"/>
      <c r="U512" s="122"/>
      <c r="V512" s="122"/>
    </row>
    <row r="513" spans="1:22" s="126" customFormat="1">
      <c r="A513" s="889" t="s">
        <v>302</v>
      </c>
      <c r="B513" s="889"/>
      <c r="C513" s="889"/>
      <c r="D513" s="889"/>
      <c r="E513" s="889"/>
      <c r="F513" s="157"/>
      <c r="G513" s="121"/>
      <c r="H513" s="121"/>
      <c r="I513" s="122"/>
      <c r="J513" s="122"/>
      <c r="K513" s="122"/>
      <c r="L513" s="122"/>
      <c r="M513" s="122"/>
      <c r="N513" s="122"/>
      <c r="O513" s="122"/>
      <c r="P513" s="122"/>
      <c r="Q513" s="122"/>
      <c r="R513" s="122"/>
      <c r="S513" s="122"/>
      <c r="T513" s="122"/>
      <c r="U513" s="122"/>
      <c r="V513" s="122"/>
    </row>
    <row r="514" spans="1:22" s="126" customFormat="1">
      <c r="A514" s="890" t="s">
        <v>301</v>
      </c>
      <c r="B514" s="890"/>
      <c r="C514" s="890"/>
      <c r="D514" s="890"/>
      <c r="E514" s="890"/>
      <c r="F514" s="140"/>
      <c r="G514" s="121"/>
      <c r="H514" s="121"/>
      <c r="I514" s="122"/>
      <c r="J514" s="122"/>
      <c r="K514" s="122"/>
      <c r="L514" s="122"/>
      <c r="M514" s="122"/>
      <c r="N514" s="122"/>
      <c r="O514" s="122"/>
      <c r="P514" s="122"/>
      <c r="Q514" s="122"/>
      <c r="R514" s="122"/>
      <c r="S514" s="122"/>
      <c r="T514" s="122"/>
      <c r="U514" s="122"/>
      <c r="V514" s="122"/>
    </row>
    <row r="515" spans="1:22" s="126" customFormat="1">
      <c r="C515" s="125"/>
      <c r="D515" s="123"/>
      <c r="E515" s="124"/>
      <c r="F515" s="123"/>
      <c r="G515" s="123"/>
      <c r="H515" s="123"/>
      <c r="I515" s="122"/>
      <c r="J515" s="122"/>
      <c r="K515" s="122"/>
      <c r="L515" s="122"/>
      <c r="M515" s="122"/>
      <c r="N515" s="122"/>
      <c r="O515" s="122"/>
      <c r="P515" s="122"/>
      <c r="Q515" s="122"/>
      <c r="R515" s="122"/>
      <c r="S515" s="122"/>
      <c r="T515" s="122"/>
      <c r="U515" s="122"/>
      <c r="V515" s="122"/>
    </row>
    <row r="516" spans="1:22" s="126" customFormat="1">
      <c r="C516" s="125"/>
      <c r="D516" s="123"/>
      <c r="E516" s="124"/>
      <c r="F516" s="123"/>
      <c r="G516" s="123"/>
      <c r="H516" s="123"/>
      <c r="I516" s="122"/>
      <c r="J516" s="122"/>
      <c r="K516" s="122"/>
      <c r="L516" s="122"/>
      <c r="M516" s="122"/>
      <c r="N516" s="122"/>
      <c r="O516" s="122"/>
      <c r="P516" s="122"/>
      <c r="Q516" s="122"/>
      <c r="R516" s="122"/>
      <c r="S516" s="122"/>
      <c r="T516" s="122"/>
      <c r="U516" s="122"/>
      <c r="V516" s="122"/>
    </row>
    <row r="517" spans="1:22" s="143" customFormat="1">
      <c r="A517" s="126"/>
      <c r="B517" s="126"/>
      <c r="C517" s="125"/>
      <c r="D517" s="123"/>
      <c r="E517" s="129"/>
      <c r="F517" s="129"/>
      <c r="G517" s="129"/>
      <c r="H517" s="129"/>
      <c r="I517" s="130"/>
      <c r="J517" s="131"/>
      <c r="K517" s="131"/>
      <c r="L517" s="131"/>
      <c r="M517" s="131"/>
      <c r="N517" s="131"/>
      <c r="O517" s="131"/>
      <c r="P517" s="131"/>
      <c r="Q517" s="131"/>
      <c r="R517" s="131"/>
      <c r="S517" s="131"/>
      <c r="T517" s="131"/>
      <c r="U517" s="131"/>
      <c r="V517" s="131"/>
    </row>
    <row r="518" spans="1:22">
      <c r="A518" s="125"/>
      <c r="B518" s="156" t="str">
        <f t="shared" ref="B518:G519" si="147">+B475</f>
        <v>31.03.12</v>
      </c>
      <c r="C518" s="156" t="str">
        <f t="shared" si="147"/>
        <v>31.03.13</v>
      </c>
      <c r="D518" s="140" t="str">
        <f t="shared" si="147"/>
        <v>31.03.14</v>
      </c>
      <c r="E518" s="134" t="str">
        <f t="shared" si="147"/>
        <v>31.03.15</v>
      </c>
      <c r="F518" s="140" t="str">
        <f t="shared" si="147"/>
        <v>31.03.16</v>
      </c>
      <c r="G518" s="140" t="str">
        <f t="shared" si="147"/>
        <v>31.03.17</v>
      </c>
      <c r="H518" s="140" t="s">
        <v>278</v>
      </c>
      <c r="I518" s="140" t="str">
        <f t="shared" ref="I518:O519" si="148">+I475</f>
        <v>31.03.19</v>
      </c>
      <c r="J518" s="140" t="str">
        <f t="shared" si="148"/>
        <v>31.03.20</v>
      </c>
      <c r="K518" s="140" t="str">
        <f t="shared" si="148"/>
        <v>31.03.21</v>
      </c>
      <c r="L518" s="140" t="str">
        <f t="shared" si="148"/>
        <v>31.03.22</v>
      </c>
      <c r="M518" s="140" t="str">
        <f>+M475</f>
        <v>31.03.23</v>
      </c>
      <c r="N518" s="140" t="str">
        <f t="shared" si="148"/>
        <v>31.03.20</v>
      </c>
      <c r="O518" s="140" t="str">
        <f t="shared" si="148"/>
        <v>31.03.21</v>
      </c>
    </row>
    <row r="519" spans="1:22">
      <c r="A519" s="156" t="s">
        <v>300</v>
      </c>
      <c r="B519" s="156" t="str">
        <f t="shared" si="147"/>
        <v>AUDITED</v>
      </c>
      <c r="C519" s="156" t="str">
        <f t="shared" si="147"/>
        <v>AUDITED</v>
      </c>
      <c r="D519" s="140" t="str">
        <f t="shared" si="147"/>
        <v>Prov.</v>
      </c>
      <c r="E519" s="134" t="str">
        <f t="shared" si="147"/>
        <v>Proj.</v>
      </c>
      <c r="F519" s="140" t="str">
        <f t="shared" si="147"/>
        <v>Proj.</v>
      </c>
      <c r="G519" s="140" t="str">
        <f t="shared" si="147"/>
        <v>Proj.</v>
      </c>
      <c r="H519" s="140" t="s">
        <v>277</v>
      </c>
      <c r="I519" s="140" t="str">
        <f t="shared" si="148"/>
        <v>Proj.</v>
      </c>
      <c r="J519" s="140" t="str">
        <f t="shared" si="148"/>
        <v>Proj.</v>
      </c>
      <c r="K519" s="140" t="str">
        <f t="shared" si="148"/>
        <v>Proj.</v>
      </c>
      <c r="L519" s="140" t="str">
        <f t="shared" si="148"/>
        <v>Proj.</v>
      </c>
      <c r="M519" s="140" t="str">
        <f>+M476</f>
        <v>Proj.</v>
      </c>
      <c r="N519" s="140" t="str">
        <f t="shared" si="148"/>
        <v>Proj.</v>
      </c>
      <c r="O519" s="140" t="str">
        <f t="shared" si="148"/>
        <v>Proj.</v>
      </c>
    </row>
    <row r="520" spans="1:22">
      <c r="A520" s="125"/>
      <c r="B520" s="125"/>
      <c r="G520" s="155"/>
      <c r="H520" s="155"/>
    </row>
    <row r="521" spans="1:22">
      <c r="A521" s="125"/>
      <c r="B521" s="125"/>
      <c r="E521" s="127"/>
      <c r="F521" s="155"/>
      <c r="G521" s="155"/>
      <c r="H521" s="155"/>
    </row>
    <row r="522" spans="1:22">
      <c r="A522" s="125"/>
      <c r="B522" s="152"/>
      <c r="C522" s="152"/>
      <c r="D522" s="124"/>
      <c r="E522" s="127"/>
      <c r="F522" s="127"/>
      <c r="G522" s="127"/>
      <c r="H522" s="127"/>
    </row>
    <row r="523" spans="1:22">
      <c r="A523" s="154" t="s">
        <v>299</v>
      </c>
      <c r="B523" s="153"/>
      <c r="C523" s="152"/>
      <c r="D523" s="124"/>
      <c r="E523" s="127"/>
      <c r="F523" s="127"/>
      <c r="G523" s="127"/>
      <c r="H523" s="127"/>
    </row>
    <row r="524" spans="1:22" ht="13.5" customHeight="1">
      <c r="A524" s="154"/>
      <c r="B524" s="153"/>
      <c r="C524" s="152"/>
      <c r="D524" s="124"/>
      <c r="E524" s="127"/>
      <c r="F524" s="127"/>
      <c r="G524" s="127"/>
      <c r="H524" s="127"/>
    </row>
    <row r="525" spans="1:22" ht="13.5" customHeight="1">
      <c r="A525" s="126" t="s">
        <v>292</v>
      </c>
      <c r="B525" s="152"/>
      <c r="C525" s="152"/>
      <c r="D525" s="124"/>
      <c r="F525" s="124"/>
      <c r="G525" s="124"/>
      <c r="H525" s="124"/>
    </row>
    <row r="526" spans="1:22">
      <c r="A526" s="126"/>
      <c r="B526" s="152"/>
      <c r="C526" s="152"/>
      <c r="D526" s="124"/>
      <c r="F526" s="124"/>
      <c r="G526" s="124"/>
      <c r="H526" s="124"/>
    </row>
    <row r="527" spans="1:22">
      <c r="A527" s="126" t="s">
        <v>298</v>
      </c>
      <c r="B527" s="152"/>
      <c r="C527" s="152"/>
      <c r="D527" s="124"/>
      <c r="F527" s="124"/>
      <c r="G527" s="124"/>
      <c r="H527" s="124"/>
    </row>
    <row r="528" spans="1:22">
      <c r="A528" s="126" t="s">
        <v>290</v>
      </c>
      <c r="B528" s="152"/>
      <c r="C528" s="152"/>
      <c r="D528" s="124"/>
      <c r="F528" s="124"/>
      <c r="G528" s="124"/>
      <c r="H528" s="124"/>
    </row>
    <row r="529" spans="1:22">
      <c r="A529" s="126"/>
      <c r="B529" s="152"/>
      <c r="C529" s="152"/>
      <c r="D529" s="124"/>
      <c r="E529" s="127"/>
      <c r="F529" s="127"/>
      <c r="G529" s="127"/>
      <c r="H529" s="127"/>
    </row>
    <row r="530" spans="1:22">
      <c r="A530" s="126" t="s">
        <v>289</v>
      </c>
      <c r="B530" s="152"/>
      <c r="C530" s="152"/>
      <c r="D530" s="124"/>
      <c r="F530" s="124"/>
      <c r="G530" s="124"/>
      <c r="H530" s="124"/>
    </row>
    <row r="531" spans="1:22">
      <c r="A531" s="126"/>
      <c r="B531" s="152"/>
      <c r="C531" s="152"/>
      <c r="D531" s="124"/>
      <c r="F531" s="124"/>
      <c r="G531" s="124"/>
      <c r="H531" s="124"/>
    </row>
    <row r="532" spans="1:22">
      <c r="A532" s="126" t="s">
        <v>288</v>
      </c>
      <c r="B532" s="152"/>
      <c r="C532" s="152"/>
      <c r="D532" s="124"/>
      <c r="F532" s="124"/>
      <c r="G532" s="124"/>
      <c r="H532" s="124"/>
    </row>
    <row r="533" spans="1:22" s="126" customFormat="1">
      <c r="A533" s="126" t="s">
        <v>297</v>
      </c>
      <c r="B533" s="152"/>
      <c r="C533" s="152"/>
      <c r="D533" s="124"/>
      <c r="E533" s="124"/>
      <c r="F533" s="124"/>
      <c r="G533" s="124"/>
      <c r="H533" s="124"/>
      <c r="I533" s="122"/>
      <c r="J533" s="122"/>
      <c r="K533" s="122"/>
      <c r="L533" s="122"/>
      <c r="M533" s="122"/>
      <c r="N533" s="122"/>
      <c r="O533" s="122"/>
      <c r="P533" s="122"/>
      <c r="Q533" s="122"/>
      <c r="R533" s="122"/>
      <c r="S533" s="122"/>
      <c r="T533" s="122"/>
      <c r="U533" s="122"/>
      <c r="V533" s="122"/>
    </row>
    <row r="534" spans="1:22" s="126" customFormat="1">
      <c r="B534" s="152"/>
      <c r="C534" s="152"/>
      <c r="D534" s="124"/>
      <c r="E534" s="124"/>
      <c r="F534" s="124"/>
      <c r="G534" s="124"/>
      <c r="H534" s="124"/>
      <c r="I534" s="122"/>
      <c r="J534" s="122"/>
      <c r="K534" s="122"/>
      <c r="L534" s="122"/>
      <c r="M534" s="122"/>
      <c r="N534" s="122"/>
      <c r="O534" s="122"/>
      <c r="P534" s="122"/>
      <c r="Q534" s="122"/>
      <c r="R534" s="122"/>
      <c r="S534" s="122"/>
      <c r="T534" s="122"/>
      <c r="U534" s="122"/>
      <c r="V534" s="122"/>
    </row>
    <row r="535" spans="1:22" s="126" customFormat="1">
      <c r="A535" s="126" t="s">
        <v>296</v>
      </c>
      <c r="B535" s="152"/>
      <c r="C535" s="152"/>
      <c r="D535" s="124"/>
      <c r="E535" s="124"/>
      <c r="F535" s="124"/>
      <c r="G535" s="124"/>
      <c r="H535" s="124"/>
      <c r="I535" s="122"/>
      <c r="J535" s="122"/>
      <c r="K535" s="122"/>
      <c r="L535" s="122"/>
      <c r="M535" s="122"/>
      <c r="N535" s="122"/>
      <c r="O535" s="122"/>
      <c r="P535" s="122"/>
      <c r="Q535" s="122"/>
      <c r="R535" s="122"/>
      <c r="S535" s="122"/>
      <c r="T535" s="122"/>
      <c r="U535" s="122"/>
      <c r="V535" s="122"/>
    </row>
    <row r="536" spans="1:22" s="126" customFormat="1">
      <c r="B536" s="152"/>
      <c r="C536" s="152"/>
      <c r="D536" s="124"/>
      <c r="E536" s="124"/>
      <c r="F536" s="124"/>
      <c r="G536" s="124"/>
      <c r="H536" s="124"/>
      <c r="I536" s="122"/>
      <c r="J536" s="122"/>
      <c r="K536" s="122"/>
      <c r="L536" s="122"/>
      <c r="M536" s="122"/>
      <c r="N536" s="122"/>
      <c r="O536" s="122"/>
      <c r="P536" s="122"/>
      <c r="Q536" s="122"/>
      <c r="R536" s="122"/>
      <c r="S536" s="122"/>
      <c r="T536" s="122"/>
      <c r="U536" s="122"/>
      <c r="V536" s="122"/>
    </row>
    <row r="537" spans="1:22" s="126" customFormat="1">
      <c r="A537" s="126" t="s">
        <v>284</v>
      </c>
      <c r="B537" s="152"/>
      <c r="C537" s="152"/>
      <c r="D537" s="124"/>
      <c r="E537" s="124"/>
      <c r="F537" s="124"/>
      <c r="G537" s="124"/>
      <c r="H537" s="124"/>
      <c r="I537" s="122"/>
      <c r="J537" s="122"/>
      <c r="K537" s="122"/>
      <c r="L537" s="122"/>
      <c r="M537" s="122"/>
      <c r="N537" s="122"/>
      <c r="O537" s="122"/>
      <c r="P537" s="122"/>
      <c r="Q537" s="122"/>
      <c r="R537" s="122"/>
      <c r="S537" s="122"/>
      <c r="T537" s="122"/>
      <c r="U537" s="122"/>
      <c r="V537" s="122"/>
    </row>
    <row r="538" spans="1:22" s="126" customFormat="1">
      <c r="B538" s="152"/>
      <c r="C538" s="152"/>
      <c r="D538" s="124"/>
      <c r="E538" s="124"/>
      <c r="F538" s="124"/>
      <c r="G538" s="124"/>
      <c r="H538" s="124"/>
      <c r="I538" s="122"/>
      <c r="J538" s="122"/>
      <c r="K538" s="122"/>
      <c r="L538" s="122"/>
      <c r="M538" s="122"/>
      <c r="N538" s="122"/>
      <c r="O538" s="122"/>
      <c r="P538" s="122"/>
      <c r="Q538" s="122"/>
      <c r="R538" s="122"/>
      <c r="S538" s="122"/>
      <c r="T538" s="122"/>
      <c r="U538" s="122"/>
      <c r="V538" s="122"/>
    </row>
    <row r="539" spans="1:22" s="126" customFormat="1">
      <c r="A539" s="126" t="s">
        <v>283</v>
      </c>
      <c r="B539" s="152"/>
      <c r="C539" s="152"/>
      <c r="D539" s="124"/>
      <c r="E539" s="124"/>
      <c r="F539" s="124"/>
      <c r="G539" s="124"/>
      <c r="H539" s="124"/>
      <c r="I539" s="122"/>
      <c r="J539" s="122"/>
      <c r="K539" s="122"/>
      <c r="L539" s="122"/>
      <c r="M539" s="122"/>
      <c r="N539" s="122"/>
      <c r="O539" s="122"/>
      <c r="P539" s="122"/>
      <c r="Q539" s="122"/>
      <c r="R539" s="122"/>
      <c r="S539" s="122"/>
      <c r="T539" s="122"/>
      <c r="U539" s="122"/>
      <c r="V539" s="122"/>
    </row>
    <row r="540" spans="1:22" s="126" customFormat="1">
      <c r="B540" s="152"/>
      <c r="C540" s="152"/>
      <c r="D540" s="124"/>
      <c r="E540" s="124"/>
      <c r="F540" s="124"/>
      <c r="G540" s="124"/>
      <c r="H540" s="124"/>
      <c r="I540" s="122"/>
      <c r="J540" s="122"/>
      <c r="K540" s="122"/>
      <c r="L540" s="122"/>
      <c r="M540" s="122"/>
      <c r="N540" s="122"/>
      <c r="O540" s="122"/>
      <c r="P540" s="122"/>
      <c r="Q540" s="122"/>
      <c r="R540" s="122"/>
      <c r="S540" s="122"/>
      <c r="T540" s="122"/>
      <c r="U540" s="122"/>
      <c r="V540" s="122"/>
    </row>
    <row r="541" spans="1:22" s="126" customFormat="1">
      <c r="A541" s="126" t="s">
        <v>295</v>
      </c>
      <c r="B541" s="152"/>
      <c r="C541" s="144"/>
      <c r="D541" s="134"/>
      <c r="E541" s="134"/>
      <c r="F541" s="134"/>
      <c r="G541" s="134"/>
      <c r="H541" s="134"/>
      <c r="I541" s="122"/>
      <c r="J541" s="122"/>
      <c r="K541" s="122"/>
      <c r="L541" s="122"/>
      <c r="M541" s="122"/>
      <c r="N541" s="122"/>
      <c r="O541" s="122"/>
      <c r="P541" s="122"/>
      <c r="Q541" s="122"/>
      <c r="R541" s="122"/>
      <c r="S541" s="122"/>
      <c r="T541" s="122"/>
      <c r="U541" s="122"/>
      <c r="V541" s="122"/>
    </row>
    <row r="542" spans="1:22" s="126" customFormat="1">
      <c r="A542" s="126" t="s">
        <v>294</v>
      </c>
      <c r="B542" s="152"/>
      <c r="C542" s="152"/>
      <c r="D542" s="124"/>
      <c r="E542" s="124"/>
      <c r="F542" s="124"/>
      <c r="G542" s="124"/>
      <c r="H542" s="124"/>
      <c r="I542" s="122"/>
      <c r="J542" s="122"/>
      <c r="K542" s="122"/>
      <c r="L542" s="122"/>
      <c r="M542" s="122"/>
      <c r="N542" s="122"/>
      <c r="O542" s="122"/>
      <c r="P542" s="122"/>
      <c r="Q542" s="122"/>
      <c r="R542" s="122"/>
      <c r="S542" s="122"/>
      <c r="T542" s="122"/>
      <c r="U542" s="122"/>
      <c r="V542" s="122"/>
    </row>
    <row r="543" spans="1:22" s="126" customFormat="1">
      <c r="B543" s="152"/>
      <c r="C543" s="152"/>
      <c r="D543" s="124"/>
      <c r="E543" s="124"/>
      <c r="F543" s="124"/>
      <c r="G543" s="124"/>
      <c r="H543" s="124"/>
      <c r="I543" s="122"/>
      <c r="J543" s="122"/>
      <c r="K543" s="122"/>
      <c r="L543" s="122"/>
      <c r="M543" s="122"/>
      <c r="N543" s="122"/>
      <c r="O543" s="122"/>
      <c r="P543" s="122"/>
      <c r="Q543" s="122"/>
      <c r="R543" s="122"/>
      <c r="S543" s="122"/>
      <c r="T543" s="122"/>
      <c r="U543" s="122"/>
      <c r="V543" s="122"/>
    </row>
    <row r="544" spans="1:22" s="126" customFormat="1">
      <c r="A544" s="154" t="s">
        <v>293</v>
      </c>
      <c r="B544" s="153"/>
      <c r="C544" s="152"/>
      <c r="D544" s="124"/>
      <c r="E544" s="124"/>
      <c r="F544" s="124"/>
      <c r="G544" s="124"/>
      <c r="H544" s="124"/>
      <c r="I544" s="122"/>
      <c r="J544" s="122"/>
      <c r="K544" s="122"/>
      <c r="L544" s="122"/>
      <c r="M544" s="122"/>
      <c r="N544" s="122"/>
      <c r="O544" s="122"/>
      <c r="P544" s="122"/>
      <c r="Q544" s="122"/>
      <c r="R544" s="122"/>
      <c r="S544" s="122"/>
      <c r="T544" s="122"/>
      <c r="U544" s="122"/>
      <c r="V544" s="122"/>
    </row>
    <row r="545" spans="1:22" s="126" customFormat="1">
      <c r="B545" s="152"/>
      <c r="C545" s="152"/>
      <c r="D545" s="124"/>
      <c r="E545" s="124"/>
      <c r="F545" s="124"/>
      <c r="G545" s="124"/>
      <c r="H545" s="124"/>
      <c r="I545" s="122"/>
      <c r="J545" s="122"/>
      <c r="K545" s="122"/>
      <c r="L545" s="122"/>
      <c r="M545" s="122"/>
      <c r="N545" s="122"/>
      <c r="O545" s="122"/>
      <c r="P545" s="122"/>
      <c r="Q545" s="122"/>
      <c r="R545" s="122"/>
      <c r="S545" s="122"/>
      <c r="T545" s="122"/>
      <c r="U545" s="122"/>
      <c r="V545" s="122"/>
    </row>
    <row r="546" spans="1:22" s="126" customFormat="1">
      <c r="A546" s="126" t="s">
        <v>292</v>
      </c>
      <c r="B546" s="152">
        <f t="shared" ref="B546:O546" si="149">+B268</f>
        <v>32.93838879999997</v>
      </c>
      <c r="C546" s="152">
        <f t="shared" si="149"/>
        <v>10.568783800000224</v>
      </c>
      <c r="D546" s="124">
        <f t="shared" si="149"/>
        <v>30.352518174999886</v>
      </c>
      <c r="E546" s="124">
        <f t="shared" si="149"/>
        <v>76.034710609249942</v>
      </c>
      <c r="F546" s="124">
        <f t="shared" si="149"/>
        <v>101.93117952781267</v>
      </c>
      <c r="G546" s="124">
        <f t="shared" si="149"/>
        <v>164.27681565988678</v>
      </c>
      <c r="H546" s="124">
        <f t="shared" si="149"/>
        <v>200.22972887993228</v>
      </c>
      <c r="I546" s="124">
        <f t="shared" si="149"/>
        <v>488.19130723512808</v>
      </c>
      <c r="J546" s="124">
        <f t="shared" si="149"/>
        <v>808.52989877979689</v>
      </c>
      <c r="K546" s="124">
        <f t="shared" si="149"/>
        <v>1101.6730259165643</v>
      </c>
      <c r="L546" s="124">
        <f t="shared" si="149"/>
        <v>1618.7504607133515</v>
      </c>
      <c r="M546" s="124">
        <f>+M268</f>
        <v>2358.7453156267011</v>
      </c>
      <c r="N546" s="124" t="e">
        <f t="shared" si="149"/>
        <v>#REF!</v>
      </c>
      <c r="O546" s="124" t="e">
        <f t="shared" si="149"/>
        <v>#REF!</v>
      </c>
      <c r="P546" s="122"/>
      <c r="Q546" s="122"/>
      <c r="R546" s="122"/>
      <c r="S546" s="122"/>
      <c r="T546" s="122"/>
      <c r="U546" s="122"/>
      <c r="V546" s="122"/>
    </row>
    <row r="547" spans="1:22" s="126" customFormat="1">
      <c r="B547" s="152"/>
      <c r="C547" s="152"/>
      <c r="D547" s="124"/>
      <c r="E547" s="124"/>
      <c r="F547" s="124"/>
      <c r="G547" s="124"/>
      <c r="H547" s="124"/>
      <c r="I547" s="124"/>
      <c r="J547" s="124"/>
      <c r="K547" s="124"/>
      <c r="L547" s="124"/>
      <c r="M547" s="124"/>
      <c r="N547" s="124"/>
      <c r="O547" s="124"/>
      <c r="P547" s="122"/>
      <c r="Q547" s="122"/>
      <c r="R547" s="122"/>
      <c r="S547" s="122"/>
      <c r="T547" s="122"/>
      <c r="U547" s="122"/>
      <c r="V547" s="122"/>
    </row>
    <row r="548" spans="1:22" s="126" customFormat="1">
      <c r="A548" s="126" t="s">
        <v>291</v>
      </c>
      <c r="B548" s="152">
        <f t="shared" ref="B548:O548" si="150">+B164</f>
        <v>117.04661729999999</v>
      </c>
      <c r="C548" s="152">
        <f t="shared" si="150"/>
        <v>172.88353660000001</v>
      </c>
      <c r="D548" s="124" t="e">
        <f t="shared" si="150"/>
        <v>#REF!</v>
      </c>
      <c r="E548" s="124" t="e">
        <f t="shared" si="150"/>
        <v>#REF!</v>
      </c>
      <c r="F548" s="124" t="e">
        <f t="shared" si="150"/>
        <v>#REF!</v>
      </c>
      <c r="G548" s="124" t="e">
        <f t="shared" si="150"/>
        <v>#REF!</v>
      </c>
      <c r="H548" s="124" t="e">
        <f t="shared" si="150"/>
        <v>#REF!</v>
      </c>
      <c r="I548" s="124" t="e">
        <f t="shared" si="150"/>
        <v>#REF!</v>
      </c>
      <c r="J548" s="124" t="e">
        <f t="shared" si="150"/>
        <v>#REF!</v>
      </c>
      <c r="K548" s="124" t="e">
        <f t="shared" si="150"/>
        <v>#REF!</v>
      </c>
      <c r="L548" s="124" t="e">
        <f t="shared" si="150"/>
        <v>#REF!</v>
      </c>
      <c r="M548" s="124" t="e">
        <f>+M164</f>
        <v>#REF!</v>
      </c>
      <c r="N548" s="124">
        <f t="shared" si="150"/>
        <v>1355</v>
      </c>
      <c r="O548" s="124">
        <f t="shared" si="150"/>
        <v>1355</v>
      </c>
      <c r="P548" s="122"/>
      <c r="Q548" s="122"/>
      <c r="R548" s="122"/>
      <c r="S548" s="122"/>
      <c r="T548" s="122"/>
      <c r="U548" s="122"/>
      <c r="V548" s="122"/>
    </row>
    <row r="549" spans="1:22" s="126" customFormat="1">
      <c r="A549" s="126" t="s">
        <v>290</v>
      </c>
      <c r="B549" s="152"/>
      <c r="C549" s="152"/>
      <c r="D549" s="124"/>
      <c r="E549" s="124"/>
      <c r="F549" s="124"/>
      <c r="G549" s="124"/>
      <c r="H549" s="124"/>
      <c r="I549" s="124"/>
      <c r="J549" s="124"/>
      <c r="K549" s="124"/>
      <c r="L549" s="124"/>
      <c r="M549" s="124"/>
      <c r="N549" s="124"/>
      <c r="O549" s="124"/>
      <c r="P549" s="122"/>
      <c r="Q549" s="122"/>
      <c r="R549" s="122"/>
      <c r="S549" s="122"/>
      <c r="T549" s="122"/>
      <c r="U549" s="122"/>
      <c r="V549" s="122"/>
    </row>
    <row r="550" spans="1:22" s="126" customFormat="1">
      <c r="B550" s="152"/>
      <c r="C550" s="152"/>
      <c r="D550" s="124"/>
      <c r="E550" s="124"/>
      <c r="F550" s="124"/>
      <c r="G550" s="124"/>
      <c r="H550" s="124"/>
      <c r="I550" s="124"/>
      <c r="J550" s="124"/>
      <c r="K550" s="124"/>
      <c r="L550" s="124"/>
      <c r="M550" s="124"/>
      <c r="N550" s="124"/>
      <c r="O550" s="124"/>
      <c r="P550" s="122"/>
      <c r="Q550" s="122"/>
      <c r="R550" s="122"/>
      <c r="S550" s="122"/>
      <c r="T550" s="122"/>
      <c r="U550" s="122"/>
      <c r="V550" s="122"/>
    </row>
    <row r="551" spans="1:22" s="126" customFormat="1">
      <c r="A551" s="126" t="s">
        <v>289</v>
      </c>
      <c r="B551" s="152">
        <f t="shared" ref="B551:O551" si="151">+B546-B548</f>
        <v>-84.108228500000024</v>
      </c>
      <c r="C551" s="152">
        <f t="shared" si="151"/>
        <v>-162.31475279999978</v>
      </c>
      <c r="D551" s="124" t="e">
        <f t="shared" si="151"/>
        <v>#REF!</v>
      </c>
      <c r="E551" s="124" t="e">
        <f t="shared" si="151"/>
        <v>#REF!</v>
      </c>
      <c r="F551" s="124" t="e">
        <f t="shared" si="151"/>
        <v>#REF!</v>
      </c>
      <c r="G551" s="124" t="e">
        <f t="shared" si="151"/>
        <v>#REF!</v>
      </c>
      <c r="H551" s="124" t="e">
        <f t="shared" si="151"/>
        <v>#REF!</v>
      </c>
      <c r="I551" s="124" t="e">
        <f t="shared" si="151"/>
        <v>#REF!</v>
      </c>
      <c r="J551" s="124" t="e">
        <f t="shared" si="151"/>
        <v>#REF!</v>
      </c>
      <c r="K551" s="124" t="e">
        <f t="shared" si="151"/>
        <v>#REF!</v>
      </c>
      <c r="L551" s="124" t="e">
        <f t="shared" si="151"/>
        <v>#REF!</v>
      </c>
      <c r="M551" s="124" t="e">
        <f>+M546-M548</f>
        <v>#REF!</v>
      </c>
      <c r="N551" s="124" t="e">
        <f t="shared" si="151"/>
        <v>#REF!</v>
      </c>
      <c r="O551" s="124" t="e">
        <f t="shared" si="151"/>
        <v>#REF!</v>
      </c>
      <c r="P551" s="122"/>
      <c r="Q551" s="122"/>
      <c r="R551" s="122"/>
      <c r="S551" s="122"/>
      <c r="T551" s="122"/>
      <c r="U551" s="122"/>
      <c r="V551" s="122"/>
    </row>
    <row r="552" spans="1:22" s="126" customFormat="1">
      <c r="B552" s="152"/>
      <c r="C552" s="152"/>
      <c r="D552" s="124"/>
      <c r="E552" s="124"/>
      <c r="F552" s="124"/>
      <c r="G552" s="124"/>
      <c r="H552" s="124"/>
      <c r="I552" s="124"/>
      <c r="J552" s="124"/>
      <c r="K552" s="124"/>
      <c r="L552" s="124"/>
      <c r="M552" s="124"/>
      <c r="N552" s="124"/>
      <c r="O552" s="124"/>
      <c r="P552" s="122"/>
      <c r="Q552" s="122"/>
      <c r="R552" s="122"/>
      <c r="S552" s="122"/>
      <c r="T552" s="122"/>
      <c r="U552" s="122"/>
      <c r="V552" s="122"/>
    </row>
    <row r="553" spans="1:22" s="126" customFormat="1">
      <c r="A553" s="126" t="s">
        <v>288</v>
      </c>
      <c r="B553" s="152">
        <f t="shared" ref="B553:O553" si="152">(B546-B241)*0.25</f>
        <v>8.2345971999999925</v>
      </c>
      <c r="C553" s="152">
        <f t="shared" si="152"/>
        <v>2.642195950000056</v>
      </c>
      <c r="D553" s="124">
        <f t="shared" si="152"/>
        <v>7.5881295437499716</v>
      </c>
      <c r="E553" s="124">
        <f t="shared" si="152"/>
        <v>19.008677652312485</v>
      </c>
      <c r="F553" s="124">
        <f t="shared" si="152"/>
        <v>25.482794881953168</v>
      </c>
      <c r="G553" s="124">
        <f t="shared" si="152"/>
        <v>41.069203914971695</v>
      </c>
      <c r="H553" s="124">
        <f t="shared" si="152"/>
        <v>50.05743221998307</v>
      </c>
      <c r="I553" s="124">
        <f t="shared" si="152"/>
        <v>122.04782680878202</v>
      </c>
      <c r="J553" s="124">
        <f t="shared" si="152"/>
        <v>202.13247469494922</v>
      </c>
      <c r="K553" s="124">
        <f t="shared" si="152"/>
        <v>275.41825647914106</v>
      </c>
      <c r="L553" s="124">
        <f t="shared" si="152"/>
        <v>404.68761517833786</v>
      </c>
      <c r="M553" s="124">
        <f>(M546-M241)*0.25</f>
        <v>589.68632890667527</v>
      </c>
      <c r="N553" s="124" t="e">
        <f t="shared" si="152"/>
        <v>#REF!</v>
      </c>
      <c r="O553" s="124" t="e">
        <f t="shared" si="152"/>
        <v>#REF!</v>
      </c>
      <c r="P553" s="122"/>
      <c r="Q553" s="122"/>
      <c r="R553" s="122"/>
      <c r="S553" s="122"/>
      <c r="T553" s="122"/>
      <c r="U553" s="122"/>
      <c r="V553" s="122"/>
    </row>
    <row r="554" spans="1:22" s="126" customFormat="1">
      <c r="A554" s="126" t="s">
        <v>287</v>
      </c>
      <c r="B554" s="152"/>
      <c r="C554" s="152"/>
      <c r="D554" s="124"/>
      <c r="E554" s="124"/>
      <c r="F554" s="124"/>
      <c r="G554" s="124"/>
      <c r="H554" s="124"/>
      <c r="I554" s="124"/>
      <c r="J554" s="124"/>
      <c r="K554" s="124"/>
      <c r="L554" s="124"/>
      <c r="M554" s="124"/>
      <c r="N554" s="124"/>
      <c r="O554" s="124"/>
      <c r="P554" s="122"/>
      <c r="Q554" s="122"/>
      <c r="R554" s="122"/>
      <c r="S554" s="122"/>
      <c r="T554" s="122"/>
      <c r="U554" s="122"/>
      <c r="V554" s="122"/>
    </row>
    <row r="555" spans="1:22" s="126" customFormat="1">
      <c r="A555" s="126" t="s">
        <v>286</v>
      </c>
      <c r="B555" s="152"/>
      <c r="C555" s="152"/>
      <c r="D555" s="124"/>
      <c r="E555" s="124"/>
      <c r="F555" s="124"/>
      <c r="G555" s="124"/>
      <c r="H555" s="124"/>
      <c r="I555" s="124"/>
      <c r="J555" s="124"/>
      <c r="K555" s="124"/>
      <c r="L555" s="124"/>
      <c r="M555" s="124"/>
      <c r="N555" s="124"/>
      <c r="O555" s="124"/>
      <c r="P555" s="122"/>
      <c r="Q555" s="122"/>
      <c r="R555" s="122"/>
      <c r="S555" s="122"/>
      <c r="T555" s="122"/>
      <c r="U555" s="122"/>
      <c r="V555" s="122"/>
    </row>
    <row r="556" spans="1:22" s="126" customFormat="1">
      <c r="B556" s="152"/>
      <c r="C556" s="152"/>
      <c r="D556" s="124"/>
      <c r="E556" s="124"/>
      <c r="F556" s="124"/>
      <c r="G556" s="124"/>
      <c r="H556" s="124"/>
      <c r="I556" s="124"/>
      <c r="J556" s="124"/>
      <c r="K556" s="124"/>
      <c r="L556" s="124"/>
      <c r="M556" s="124"/>
      <c r="N556" s="124"/>
      <c r="O556" s="124"/>
      <c r="P556" s="122"/>
      <c r="Q556" s="122"/>
      <c r="R556" s="122"/>
      <c r="S556" s="122"/>
      <c r="T556" s="122"/>
      <c r="U556" s="122"/>
      <c r="V556" s="122"/>
    </row>
    <row r="557" spans="1:22" s="126" customFormat="1">
      <c r="A557" s="126" t="s">
        <v>285</v>
      </c>
      <c r="B557" s="152">
        <f t="shared" ref="B557:O557" si="153">+B308</f>
        <v>-84.108228500000024</v>
      </c>
      <c r="C557" s="152">
        <f t="shared" si="153"/>
        <v>-162.31475279999978</v>
      </c>
      <c r="D557" s="124" t="e">
        <f t="shared" si="153"/>
        <v>#REF!</v>
      </c>
      <c r="E557" s="124" t="e">
        <f t="shared" si="153"/>
        <v>#REF!</v>
      </c>
      <c r="F557" s="124" t="e">
        <f t="shared" si="153"/>
        <v>#REF!</v>
      </c>
      <c r="G557" s="124" t="e">
        <f t="shared" si="153"/>
        <v>#REF!</v>
      </c>
      <c r="H557" s="124" t="e">
        <f t="shared" si="153"/>
        <v>#REF!</v>
      </c>
      <c r="I557" s="124" t="e">
        <f t="shared" si="153"/>
        <v>#REF!</v>
      </c>
      <c r="J557" s="124" t="e">
        <f t="shared" si="153"/>
        <v>#REF!</v>
      </c>
      <c r="K557" s="124" t="e">
        <f t="shared" si="153"/>
        <v>#REF!</v>
      </c>
      <c r="L557" s="124" t="e">
        <f t="shared" si="153"/>
        <v>#REF!</v>
      </c>
      <c r="M557" s="124" t="e">
        <f>+M308</f>
        <v>#REF!</v>
      </c>
      <c r="N557" s="124" t="e">
        <f t="shared" si="153"/>
        <v>#REF!</v>
      </c>
      <c r="O557" s="124" t="e">
        <f t="shared" si="153"/>
        <v>#REF!</v>
      </c>
      <c r="P557" s="122"/>
      <c r="Q557" s="122"/>
      <c r="R557" s="122"/>
      <c r="S557" s="122"/>
      <c r="T557" s="122"/>
      <c r="U557" s="122"/>
      <c r="V557" s="122"/>
    </row>
    <row r="558" spans="1:22" s="126" customFormat="1">
      <c r="B558" s="152"/>
      <c r="C558" s="152"/>
      <c r="D558" s="124"/>
      <c r="E558" s="124"/>
      <c r="F558" s="124"/>
      <c r="G558" s="124"/>
      <c r="H558" s="124"/>
      <c r="I558" s="124"/>
      <c r="J558" s="124"/>
      <c r="K558" s="124"/>
      <c r="L558" s="124"/>
      <c r="M558" s="124"/>
      <c r="N558" s="124"/>
      <c r="O558" s="124"/>
      <c r="P558" s="122"/>
      <c r="Q558" s="122"/>
      <c r="R558" s="122"/>
      <c r="S558" s="122"/>
      <c r="T558" s="122"/>
      <c r="U558" s="122"/>
      <c r="V558" s="122"/>
    </row>
    <row r="559" spans="1:22" s="126" customFormat="1">
      <c r="A559" s="126" t="s">
        <v>284</v>
      </c>
      <c r="B559" s="152">
        <f t="shared" ref="B559:O559" si="154">+B551-B553</f>
        <v>-92.34282570000002</v>
      </c>
      <c r="C559" s="152">
        <f t="shared" si="154"/>
        <v>-164.95694874999984</v>
      </c>
      <c r="D559" s="124" t="e">
        <f t="shared" si="154"/>
        <v>#REF!</v>
      </c>
      <c r="E559" s="124" t="e">
        <f t="shared" si="154"/>
        <v>#REF!</v>
      </c>
      <c r="F559" s="124" t="e">
        <f t="shared" si="154"/>
        <v>#REF!</v>
      </c>
      <c r="G559" s="124" t="e">
        <f t="shared" si="154"/>
        <v>#REF!</v>
      </c>
      <c r="H559" s="124" t="e">
        <f t="shared" si="154"/>
        <v>#REF!</v>
      </c>
      <c r="I559" s="124" t="e">
        <f t="shared" si="154"/>
        <v>#REF!</v>
      </c>
      <c r="J559" s="124" t="e">
        <f t="shared" si="154"/>
        <v>#REF!</v>
      </c>
      <c r="K559" s="124" t="e">
        <f t="shared" si="154"/>
        <v>#REF!</v>
      </c>
      <c r="L559" s="124" t="e">
        <f t="shared" si="154"/>
        <v>#REF!</v>
      </c>
      <c r="M559" s="124" t="e">
        <f>+M551-M553</f>
        <v>#REF!</v>
      </c>
      <c r="N559" s="124" t="e">
        <f t="shared" si="154"/>
        <v>#REF!</v>
      </c>
      <c r="O559" s="124" t="e">
        <f t="shared" si="154"/>
        <v>#REF!</v>
      </c>
      <c r="P559" s="122"/>
      <c r="Q559" s="122"/>
      <c r="R559" s="122"/>
      <c r="S559" s="122"/>
      <c r="T559" s="122"/>
      <c r="U559" s="122"/>
      <c r="V559" s="122"/>
    </row>
    <row r="560" spans="1:22" s="126" customFormat="1">
      <c r="B560" s="152"/>
      <c r="C560" s="152"/>
      <c r="D560" s="124"/>
      <c r="E560" s="124"/>
      <c r="F560" s="124"/>
      <c r="G560" s="124"/>
      <c r="H560" s="124"/>
      <c r="I560" s="124"/>
      <c r="J560" s="124"/>
      <c r="K560" s="124"/>
      <c r="L560" s="124"/>
      <c r="M560" s="124"/>
      <c r="N560" s="124"/>
      <c r="O560" s="124"/>
      <c r="P560" s="122"/>
      <c r="Q560" s="122"/>
      <c r="R560" s="122"/>
      <c r="S560" s="122"/>
      <c r="T560" s="122"/>
      <c r="U560" s="122"/>
      <c r="V560" s="122"/>
    </row>
    <row r="561" spans="1:22" s="126" customFormat="1">
      <c r="A561" s="126" t="s">
        <v>283</v>
      </c>
      <c r="B561" s="152">
        <f t="shared" ref="B561:O561" si="155">+B551-B557</f>
        <v>0</v>
      </c>
      <c r="C561" s="152">
        <f t="shared" si="155"/>
        <v>0</v>
      </c>
      <c r="D561" s="124" t="e">
        <f t="shared" si="155"/>
        <v>#REF!</v>
      </c>
      <c r="E561" s="124" t="e">
        <f t="shared" si="155"/>
        <v>#REF!</v>
      </c>
      <c r="F561" s="124" t="e">
        <f t="shared" si="155"/>
        <v>#REF!</v>
      </c>
      <c r="G561" s="124" t="e">
        <f t="shared" si="155"/>
        <v>#REF!</v>
      </c>
      <c r="H561" s="124" t="e">
        <f t="shared" si="155"/>
        <v>#REF!</v>
      </c>
      <c r="I561" s="124" t="e">
        <f t="shared" si="155"/>
        <v>#REF!</v>
      </c>
      <c r="J561" s="124" t="e">
        <f t="shared" si="155"/>
        <v>#REF!</v>
      </c>
      <c r="K561" s="124" t="e">
        <f t="shared" si="155"/>
        <v>#REF!</v>
      </c>
      <c r="L561" s="124" t="e">
        <f t="shared" si="155"/>
        <v>#REF!</v>
      </c>
      <c r="M561" s="124" t="e">
        <f>+M551-M557</f>
        <v>#REF!</v>
      </c>
      <c r="N561" s="124" t="e">
        <f t="shared" si="155"/>
        <v>#REF!</v>
      </c>
      <c r="O561" s="124" t="e">
        <f t="shared" si="155"/>
        <v>#REF!</v>
      </c>
      <c r="P561" s="122"/>
      <c r="Q561" s="122"/>
      <c r="R561" s="122"/>
      <c r="S561" s="122"/>
      <c r="T561" s="122"/>
      <c r="U561" s="122"/>
      <c r="V561" s="122"/>
    </row>
    <row r="562" spans="1:22" s="126" customFormat="1">
      <c r="B562" s="152"/>
      <c r="C562" s="152"/>
      <c r="D562" s="124"/>
      <c r="E562" s="124"/>
      <c r="F562" s="124"/>
      <c r="G562" s="124"/>
      <c r="H562" s="124"/>
      <c r="I562" s="124"/>
      <c r="J562" s="124"/>
      <c r="K562" s="124"/>
      <c r="L562" s="124"/>
      <c r="M562" s="124"/>
      <c r="N562" s="124"/>
      <c r="O562" s="124"/>
      <c r="P562" s="122"/>
      <c r="Q562" s="122"/>
      <c r="R562" s="122"/>
      <c r="S562" s="122"/>
      <c r="T562" s="122"/>
      <c r="U562" s="122"/>
      <c r="V562" s="122"/>
    </row>
    <row r="563" spans="1:22" s="126" customFormat="1">
      <c r="A563" s="126" t="s">
        <v>282</v>
      </c>
      <c r="B563" s="144">
        <f t="shared" ref="B563:O563" si="156">MIN(B559:B561)</f>
        <v>-92.34282570000002</v>
      </c>
      <c r="C563" s="144">
        <f t="shared" si="156"/>
        <v>-164.95694874999984</v>
      </c>
      <c r="D563" s="144" t="e">
        <f t="shared" si="156"/>
        <v>#REF!</v>
      </c>
      <c r="E563" s="144" t="e">
        <f t="shared" si="156"/>
        <v>#REF!</v>
      </c>
      <c r="F563" s="144" t="e">
        <f t="shared" si="156"/>
        <v>#REF!</v>
      </c>
      <c r="G563" s="144" t="e">
        <f t="shared" si="156"/>
        <v>#REF!</v>
      </c>
      <c r="H563" s="144" t="e">
        <f t="shared" si="156"/>
        <v>#REF!</v>
      </c>
      <c r="I563" s="134" t="e">
        <f t="shared" si="156"/>
        <v>#REF!</v>
      </c>
      <c r="J563" s="134" t="e">
        <f t="shared" si="156"/>
        <v>#REF!</v>
      </c>
      <c r="K563" s="134" t="e">
        <f t="shared" si="156"/>
        <v>#REF!</v>
      </c>
      <c r="L563" s="134" t="e">
        <f t="shared" si="156"/>
        <v>#REF!</v>
      </c>
      <c r="M563" s="134" t="e">
        <f>MIN(M559:M561)</f>
        <v>#REF!</v>
      </c>
      <c r="N563" s="144" t="e">
        <f t="shared" si="156"/>
        <v>#REF!</v>
      </c>
      <c r="O563" s="144" t="e">
        <f t="shared" si="156"/>
        <v>#REF!</v>
      </c>
      <c r="P563" s="122"/>
      <c r="Q563" s="122"/>
      <c r="R563" s="122"/>
      <c r="S563" s="122"/>
      <c r="T563" s="122"/>
      <c r="U563" s="122"/>
      <c r="V563" s="122"/>
    </row>
    <row r="564" spans="1:22" s="126" customFormat="1">
      <c r="A564" s="126" t="s">
        <v>281</v>
      </c>
      <c r="C564" s="125"/>
      <c r="D564" s="123"/>
      <c r="E564" s="124"/>
      <c r="F564" s="123"/>
      <c r="G564" s="123"/>
      <c r="H564" s="123"/>
      <c r="I564" s="122"/>
      <c r="J564" s="122"/>
      <c r="K564" s="122"/>
      <c r="L564" s="122"/>
      <c r="M564" s="122"/>
      <c r="N564" s="122"/>
      <c r="O564" s="122"/>
      <c r="P564" s="122"/>
      <c r="Q564" s="122"/>
      <c r="R564" s="122"/>
      <c r="S564" s="122"/>
      <c r="T564" s="122"/>
      <c r="U564" s="122"/>
      <c r="V564" s="122"/>
    </row>
    <row r="565" spans="1:22">
      <c r="J565" s="133"/>
      <c r="L565" s="122"/>
      <c r="M565" s="122"/>
      <c r="P565" s="120"/>
      <c r="Q565" s="120"/>
      <c r="R565" s="120"/>
      <c r="S565" s="120"/>
      <c r="T565" s="120"/>
      <c r="U565" s="120"/>
      <c r="V565" s="120"/>
    </row>
    <row r="566" spans="1:22">
      <c r="C566" s="125" t="s">
        <v>280</v>
      </c>
      <c r="J566" s="122"/>
      <c r="L566" s="122"/>
      <c r="M566" s="122"/>
      <c r="P566" s="120"/>
      <c r="Q566" s="120"/>
      <c r="R566" s="120"/>
      <c r="S566" s="120"/>
      <c r="T566" s="120"/>
      <c r="U566" s="120"/>
      <c r="V566" s="120"/>
    </row>
    <row r="567" spans="1:22">
      <c r="L567" s="122"/>
      <c r="M567" s="122"/>
      <c r="P567" s="120"/>
      <c r="Q567" s="120"/>
      <c r="R567" s="120"/>
      <c r="S567" s="120"/>
      <c r="T567" s="120"/>
      <c r="U567" s="120"/>
      <c r="V567" s="120"/>
    </row>
    <row r="568" spans="1:22">
      <c r="L568" s="122"/>
      <c r="M568" s="122"/>
      <c r="P568" s="120"/>
      <c r="Q568" s="120"/>
      <c r="R568" s="120"/>
      <c r="S568" s="120"/>
      <c r="T568" s="120"/>
      <c r="U568" s="120"/>
      <c r="V568" s="120"/>
    </row>
    <row r="569" spans="1:22">
      <c r="C569" s="146" t="s">
        <v>279</v>
      </c>
      <c r="D569" s="121"/>
      <c r="E569" s="127"/>
      <c r="F569" s="121"/>
      <c r="G569" s="121"/>
      <c r="H569" s="121"/>
      <c r="L569" s="122"/>
      <c r="M569" s="122"/>
      <c r="P569" s="120"/>
      <c r="Q569" s="120"/>
      <c r="R569" s="120"/>
      <c r="S569" s="120"/>
      <c r="T569" s="120"/>
      <c r="U569" s="120"/>
      <c r="V569" s="120"/>
    </row>
    <row r="570" spans="1:22">
      <c r="B570" s="144" t="str">
        <f t="shared" ref="B570:G571" si="157">+B518</f>
        <v>31.03.12</v>
      </c>
      <c r="C570" s="144" t="str">
        <f t="shared" si="157"/>
        <v>31.03.13</v>
      </c>
      <c r="D570" s="134" t="str">
        <f t="shared" si="157"/>
        <v>31.03.14</v>
      </c>
      <c r="E570" s="134" t="str">
        <f t="shared" si="157"/>
        <v>31.03.15</v>
      </c>
      <c r="F570" s="134" t="str">
        <f t="shared" si="157"/>
        <v>31.03.16</v>
      </c>
      <c r="G570" s="134" t="str">
        <f t="shared" si="157"/>
        <v>31.03.17</v>
      </c>
      <c r="H570" s="134" t="s">
        <v>278</v>
      </c>
      <c r="I570" s="134" t="str">
        <f t="shared" ref="I570:O571" si="158">+I518</f>
        <v>31.03.19</v>
      </c>
      <c r="J570" s="134" t="str">
        <f t="shared" si="158"/>
        <v>31.03.20</v>
      </c>
      <c r="K570" s="134" t="str">
        <f t="shared" si="158"/>
        <v>31.03.21</v>
      </c>
      <c r="L570" s="134" t="str">
        <f t="shared" si="158"/>
        <v>31.03.22</v>
      </c>
      <c r="M570" s="134" t="str">
        <f>+M518</f>
        <v>31.03.23</v>
      </c>
      <c r="N570" s="134" t="str">
        <f t="shared" si="158"/>
        <v>31.03.20</v>
      </c>
      <c r="O570" s="134" t="str">
        <f t="shared" si="158"/>
        <v>31.03.21</v>
      </c>
      <c r="P570" s="120"/>
      <c r="Q570" s="120"/>
      <c r="R570" s="120"/>
      <c r="S570" s="120"/>
      <c r="T570" s="120"/>
      <c r="U570" s="120"/>
      <c r="V570" s="120"/>
    </row>
    <row r="571" spans="1:22">
      <c r="B571" s="144" t="str">
        <f t="shared" si="157"/>
        <v>AUDITED</v>
      </c>
      <c r="C571" s="144" t="str">
        <f t="shared" si="157"/>
        <v>AUDITED</v>
      </c>
      <c r="D571" s="134" t="str">
        <f t="shared" si="157"/>
        <v>Prov.</v>
      </c>
      <c r="E571" s="134" t="str">
        <f t="shared" si="157"/>
        <v>Proj.</v>
      </c>
      <c r="F571" s="134" t="str">
        <f t="shared" si="157"/>
        <v>Proj.</v>
      </c>
      <c r="G571" s="134" t="str">
        <f t="shared" si="157"/>
        <v>Proj.</v>
      </c>
      <c r="H571" s="134" t="s">
        <v>277</v>
      </c>
      <c r="I571" s="134" t="str">
        <f t="shared" si="158"/>
        <v>Proj.</v>
      </c>
      <c r="J571" s="134" t="str">
        <f t="shared" si="158"/>
        <v>Proj.</v>
      </c>
      <c r="K571" s="134" t="str">
        <f t="shared" si="158"/>
        <v>Proj.</v>
      </c>
      <c r="L571" s="134" t="str">
        <f t="shared" si="158"/>
        <v>Proj.</v>
      </c>
      <c r="M571" s="134" t="str">
        <f>+M519</f>
        <v>Proj.</v>
      </c>
      <c r="N571" s="134" t="str">
        <f t="shared" si="158"/>
        <v>Proj.</v>
      </c>
      <c r="O571" s="134" t="str">
        <f t="shared" si="158"/>
        <v>Proj.</v>
      </c>
      <c r="P571" s="120"/>
      <c r="Q571" s="120"/>
      <c r="R571" s="120"/>
      <c r="S571" s="120"/>
      <c r="T571" s="120"/>
      <c r="U571" s="120"/>
      <c r="V571" s="120"/>
    </row>
    <row r="572" spans="1:22">
      <c r="B572" s="145"/>
      <c r="C572" s="145"/>
      <c r="D572" s="129"/>
      <c r="E572" s="129"/>
      <c r="F572" s="129"/>
      <c r="G572" s="129"/>
      <c r="H572" s="129"/>
      <c r="P572" s="120"/>
      <c r="Q572" s="120"/>
      <c r="R572" s="120"/>
      <c r="S572" s="120"/>
      <c r="T572" s="120"/>
      <c r="U572" s="120"/>
      <c r="V572" s="120"/>
    </row>
    <row r="573" spans="1:22">
      <c r="A573" s="143" t="s">
        <v>2</v>
      </c>
      <c r="B573" s="126">
        <f t="shared" ref="B573:O573" si="159">SUM(B574:B576)</f>
        <v>303.89458000000002</v>
      </c>
      <c r="C573" s="126">
        <f t="shared" si="159"/>
        <v>324.85088000000002</v>
      </c>
      <c r="D573" s="122" t="e">
        <f t="shared" si="159"/>
        <v>#REF!</v>
      </c>
      <c r="E573" s="124" t="e">
        <f t="shared" si="159"/>
        <v>#REF!</v>
      </c>
      <c r="F573" s="122" t="e">
        <f t="shared" si="159"/>
        <v>#REF!</v>
      </c>
      <c r="G573" s="122" t="e">
        <f t="shared" si="159"/>
        <v>#REF!</v>
      </c>
      <c r="H573" s="122" t="e">
        <f t="shared" si="159"/>
        <v>#REF!</v>
      </c>
      <c r="I573" s="122" t="e">
        <f t="shared" si="159"/>
        <v>#REF!</v>
      </c>
      <c r="J573" s="122" t="e">
        <f t="shared" si="159"/>
        <v>#REF!</v>
      </c>
      <c r="K573" s="122" t="e">
        <f t="shared" si="159"/>
        <v>#REF!</v>
      </c>
      <c r="L573" s="122" t="e">
        <f t="shared" si="159"/>
        <v>#REF!</v>
      </c>
      <c r="M573" s="122" t="e">
        <f>SUM(M574:M576)</f>
        <v>#REF!</v>
      </c>
      <c r="N573" s="122">
        <f t="shared" si="159"/>
        <v>0</v>
      </c>
      <c r="O573" s="122">
        <f t="shared" si="159"/>
        <v>0</v>
      </c>
      <c r="P573" s="120"/>
      <c r="Q573" s="120"/>
      <c r="R573" s="120"/>
      <c r="S573" s="120"/>
      <c r="T573" s="120"/>
      <c r="U573" s="120"/>
      <c r="V573" s="120"/>
    </row>
    <row r="574" spans="1:22">
      <c r="A574" s="151" t="s">
        <v>275</v>
      </c>
      <c r="B574" s="126">
        <f t="shared" ref="B574:O574" si="160">+B12</f>
        <v>240.41159999999999</v>
      </c>
      <c r="C574" s="126">
        <f t="shared" si="160"/>
        <v>312.98557</v>
      </c>
      <c r="D574" s="122" t="e">
        <f t="shared" si="160"/>
        <v>#REF!</v>
      </c>
      <c r="E574" s="124" t="e">
        <f t="shared" si="160"/>
        <v>#REF!</v>
      </c>
      <c r="F574" s="122" t="e">
        <f t="shared" si="160"/>
        <v>#REF!</v>
      </c>
      <c r="G574" s="122" t="e">
        <f t="shared" si="160"/>
        <v>#REF!</v>
      </c>
      <c r="H574" s="122" t="e">
        <f t="shared" si="160"/>
        <v>#REF!</v>
      </c>
      <c r="I574" s="122" t="e">
        <f t="shared" si="160"/>
        <v>#REF!</v>
      </c>
      <c r="J574" s="122" t="e">
        <f t="shared" si="160"/>
        <v>#REF!</v>
      </c>
      <c r="K574" s="122" t="e">
        <f t="shared" si="160"/>
        <v>#REF!</v>
      </c>
      <c r="L574" s="122" t="e">
        <f t="shared" si="160"/>
        <v>#REF!</v>
      </c>
      <c r="M574" s="122" t="e">
        <f>+M12</f>
        <v>#REF!</v>
      </c>
      <c r="N574" s="122">
        <f t="shared" si="160"/>
        <v>0</v>
      </c>
      <c r="O574" s="122">
        <f t="shared" si="160"/>
        <v>0</v>
      </c>
      <c r="P574" s="120"/>
      <c r="Q574" s="120"/>
      <c r="R574" s="120"/>
      <c r="S574" s="120"/>
      <c r="T574" s="120"/>
      <c r="U574" s="120"/>
      <c r="V574" s="120"/>
    </row>
    <row r="575" spans="1:22">
      <c r="A575" s="151" t="s">
        <v>274</v>
      </c>
      <c r="B575" s="138">
        <f t="shared" ref="B575:O575" si="161">+B13</f>
        <v>0</v>
      </c>
      <c r="C575" s="138">
        <f t="shared" si="161"/>
        <v>0</v>
      </c>
      <c r="D575" s="136">
        <f t="shared" si="161"/>
        <v>0</v>
      </c>
      <c r="E575" s="133">
        <f t="shared" si="161"/>
        <v>0</v>
      </c>
      <c r="F575" s="136">
        <f t="shared" si="161"/>
        <v>0</v>
      </c>
      <c r="G575" s="136">
        <f t="shared" si="161"/>
        <v>0</v>
      </c>
      <c r="H575" s="136">
        <f t="shared" si="161"/>
        <v>0</v>
      </c>
      <c r="I575" s="136">
        <f t="shared" si="161"/>
        <v>0</v>
      </c>
      <c r="J575" s="136">
        <f t="shared" si="161"/>
        <v>0</v>
      </c>
      <c r="K575" s="136">
        <f t="shared" si="161"/>
        <v>0</v>
      </c>
      <c r="L575" s="136">
        <f t="shared" si="161"/>
        <v>0</v>
      </c>
      <c r="M575" s="136">
        <f>+M13</f>
        <v>0</v>
      </c>
      <c r="N575" s="136">
        <f t="shared" si="161"/>
        <v>0</v>
      </c>
      <c r="O575" s="136">
        <f t="shared" si="161"/>
        <v>0</v>
      </c>
      <c r="P575" s="120"/>
      <c r="Q575" s="120"/>
      <c r="R575" s="120"/>
      <c r="S575" s="120"/>
      <c r="T575" s="120"/>
      <c r="U575" s="120"/>
      <c r="V575" s="120"/>
    </row>
    <row r="576" spans="1:22">
      <c r="A576" s="151" t="s">
        <v>273</v>
      </c>
      <c r="B576" s="138">
        <f t="shared" ref="B576:O576" si="162">+B17</f>
        <v>63.482979999999998</v>
      </c>
      <c r="C576" s="138">
        <f t="shared" si="162"/>
        <v>11.865309999999999</v>
      </c>
      <c r="D576" s="136" t="e">
        <f t="shared" si="162"/>
        <v>#REF!</v>
      </c>
      <c r="E576" s="133" t="e">
        <f t="shared" si="162"/>
        <v>#REF!</v>
      </c>
      <c r="F576" s="136" t="e">
        <f t="shared" si="162"/>
        <v>#REF!</v>
      </c>
      <c r="G576" s="136" t="e">
        <f t="shared" si="162"/>
        <v>#REF!</v>
      </c>
      <c r="H576" s="136" t="e">
        <f t="shared" si="162"/>
        <v>#REF!</v>
      </c>
      <c r="I576" s="136" t="e">
        <f t="shared" si="162"/>
        <v>#REF!</v>
      </c>
      <c r="J576" s="136" t="e">
        <f t="shared" si="162"/>
        <v>#REF!</v>
      </c>
      <c r="K576" s="136" t="e">
        <f t="shared" si="162"/>
        <v>#REF!</v>
      </c>
      <c r="L576" s="136" t="e">
        <f t="shared" si="162"/>
        <v>#REF!</v>
      </c>
      <c r="M576" s="136" t="e">
        <f>+M17</f>
        <v>#REF!</v>
      </c>
      <c r="N576" s="136">
        <f t="shared" si="162"/>
        <v>0</v>
      </c>
      <c r="O576" s="136">
        <f t="shared" si="162"/>
        <v>0</v>
      </c>
      <c r="P576" s="120"/>
      <c r="Q576" s="120"/>
      <c r="R576" s="120"/>
      <c r="S576" s="120"/>
      <c r="T576" s="120"/>
      <c r="U576" s="120"/>
      <c r="V576" s="120"/>
    </row>
    <row r="577" spans="1:22">
      <c r="C577" s="126"/>
      <c r="D577" s="122"/>
      <c r="F577" s="122"/>
      <c r="G577" s="122"/>
      <c r="H577" s="122"/>
      <c r="J577" s="122"/>
      <c r="K577" s="122"/>
      <c r="L577" s="122"/>
      <c r="M577" s="122"/>
      <c r="N577" s="122"/>
      <c r="O577" s="122"/>
      <c r="P577" s="120"/>
      <c r="Q577" s="120"/>
      <c r="R577" s="120"/>
      <c r="S577" s="120"/>
      <c r="T577" s="120"/>
      <c r="U577" s="120"/>
      <c r="V577" s="120"/>
    </row>
    <row r="578" spans="1:22">
      <c r="A578" s="143" t="s">
        <v>276</v>
      </c>
      <c r="C578" s="126"/>
      <c r="D578" s="122"/>
      <c r="F578" s="122"/>
      <c r="G578" s="122"/>
      <c r="H578" s="122"/>
      <c r="J578" s="122"/>
      <c r="K578" s="122"/>
      <c r="L578" s="122"/>
      <c r="M578" s="122"/>
      <c r="N578" s="122"/>
      <c r="O578" s="122"/>
      <c r="P578" s="120"/>
      <c r="Q578" s="120"/>
      <c r="R578" s="120"/>
      <c r="S578" s="120"/>
      <c r="T578" s="120"/>
      <c r="U578" s="120"/>
      <c r="V578" s="120"/>
    </row>
    <row r="579" spans="1:22">
      <c r="A579" s="120" t="s">
        <v>2</v>
      </c>
      <c r="B579" s="126">
        <f t="shared" ref="B579:O579" si="163">SUM(B580:B582)</f>
        <v>50.649096666666665</v>
      </c>
      <c r="C579" s="126">
        <f t="shared" si="163"/>
        <v>27.070906666666666</v>
      </c>
      <c r="D579" s="122" t="e">
        <f t="shared" si="163"/>
        <v>#REF!</v>
      </c>
      <c r="E579" s="124" t="e">
        <f t="shared" si="163"/>
        <v>#REF!</v>
      </c>
      <c r="F579" s="122" t="e">
        <f t="shared" si="163"/>
        <v>#REF!</v>
      </c>
      <c r="G579" s="122" t="e">
        <f t="shared" si="163"/>
        <v>#REF!</v>
      </c>
      <c r="H579" s="122" t="e">
        <f t="shared" si="163"/>
        <v>#REF!</v>
      </c>
      <c r="I579" s="122" t="e">
        <f t="shared" si="163"/>
        <v>#REF!</v>
      </c>
      <c r="J579" s="122" t="e">
        <f t="shared" si="163"/>
        <v>#REF!</v>
      </c>
      <c r="K579" s="122" t="e">
        <f t="shared" si="163"/>
        <v>#REF!</v>
      </c>
      <c r="L579" s="122" t="e">
        <f t="shared" si="163"/>
        <v>#REF!</v>
      </c>
      <c r="M579" s="122" t="e">
        <f>SUM(M580:M582)</f>
        <v>#REF!</v>
      </c>
      <c r="N579" s="122">
        <f t="shared" si="163"/>
        <v>0</v>
      </c>
      <c r="O579" s="122">
        <f t="shared" si="163"/>
        <v>0</v>
      </c>
      <c r="P579" s="120"/>
      <c r="Q579" s="120"/>
      <c r="R579" s="120"/>
      <c r="S579" s="120"/>
      <c r="T579" s="120"/>
      <c r="U579" s="120"/>
      <c r="V579" s="120"/>
    </row>
    <row r="580" spans="1:22">
      <c r="A580" s="151" t="s">
        <v>275</v>
      </c>
      <c r="B580" s="126">
        <f>+B12/6</f>
        <v>40.068599999999996</v>
      </c>
      <c r="C580" s="126">
        <f t="shared" ref="C580:E581" si="164">+C12/12</f>
        <v>26.082130833333334</v>
      </c>
      <c r="D580" s="122" t="e">
        <f t="shared" si="164"/>
        <v>#REF!</v>
      </c>
      <c r="E580" s="124" t="e">
        <f t="shared" si="164"/>
        <v>#REF!</v>
      </c>
      <c r="F580" s="122" t="e">
        <f>+F12/9</f>
        <v>#REF!</v>
      </c>
      <c r="G580" s="122" t="e">
        <f t="shared" ref="G580:O580" si="165">+G12/12</f>
        <v>#REF!</v>
      </c>
      <c r="H580" s="122" t="e">
        <f t="shared" si="165"/>
        <v>#REF!</v>
      </c>
      <c r="I580" s="122" t="e">
        <f t="shared" si="165"/>
        <v>#REF!</v>
      </c>
      <c r="J580" s="122" t="e">
        <f t="shared" si="165"/>
        <v>#REF!</v>
      </c>
      <c r="K580" s="122" t="e">
        <f t="shared" si="165"/>
        <v>#REF!</v>
      </c>
      <c r="L580" s="122" t="e">
        <f t="shared" si="165"/>
        <v>#REF!</v>
      </c>
      <c r="M580" s="122" t="e">
        <f>+M12/12</f>
        <v>#REF!</v>
      </c>
      <c r="N580" s="122">
        <f t="shared" si="165"/>
        <v>0</v>
      </c>
      <c r="O580" s="122">
        <f t="shared" si="165"/>
        <v>0</v>
      </c>
      <c r="P580" s="120"/>
      <c r="Q580" s="120"/>
      <c r="R580" s="120"/>
      <c r="S580" s="120"/>
      <c r="T580" s="120"/>
      <c r="U580" s="120"/>
      <c r="V580" s="120"/>
    </row>
    <row r="581" spans="1:22">
      <c r="A581" s="151" t="s">
        <v>274</v>
      </c>
      <c r="B581" s="126">
        <f>+B13/6</f>
        <v>0</v>
      </c>
      <c r="C581" s="126">
        <f t="shared" si="164"/>
        <v>0</v>
      </c>
      <c r="D581" s="122">
        <f t="shared" si="164"/>
        <v>0</v>
      </c>
      <c r="E581" s="124">
        <f t="shared" si="164"/>
        <v>0</v>
      </c>
      <c r="F581" s="122">
        <f>+F13/9</f>
        <v>0</v>
      </c>
      <c r="G581" s="122">
        <f t="shared" ref="G581:O581" si="166">+G13/12</f>
        <v>0</v>
      </c>
      <c r="H581" s="122">
        <f t="shared" si="166"/>
        <v>0</v>
      </c>
      <c r="I581" s="122">
        <f t="shared" si="166"/>
        <v>0</v>
      </c>
      <c r="J581" s="122">
        <f t="shared" si="166"/>
        <v>0</v>
      </c>
      <c r="K581" s="122">
        <f t="shared" si="166"/>
        <v>0</v>
      </c>
      <c r="L581" s="122">
        <f t="shared" si="166"/>
        <v>0</v>
      </c>
      <c r="M581" s="122">
        <f>+M13/12</f>
        <v>0</v>
      </c>
      <c r="N581" s="122">
        <f t="shared" si="166"/>
        <v>0</v>
      </c>
      <c r="O581" s="122">
        <f t="shared" si="166"/>
        <v>0</v>
      </c>
      <c r="P581" s="120"/>
      <c r="Q581" s="120"/>
      <c r="R581" s="120"/>
      <c r="S581" s="120"/>
      <c r="T581" s="120"/>
      <c r="U581" s="120"/>
      <c r="V581" s="120"/>
    </row>
    <row r="582" spans="1:22">
      <c r="A582" s="151" t="s">
        <v>273</v>
      </c>
      <c r="B582" s="126">
        <f>+B17/6</f>
        <v>10.580496666666667</v>
      </c>
      <c r="C582" s="126">
        <f t="shared" ref="C582:O582" si="167">+C17/12</f>
        <v>0.9887758333333333</v>
      </c>
      <c r="D582" s="122" t="e">
        <f t="shared" si="167"/>
        <v>#REF!</v>
      </c>
      <c r="E582" s="124" t="e">
        <f t="shared" si="167"/>
        <v>#REF!</v>
      </c>
      <c r="F582" s="122" t="e">
        <f t="shared" si="167"/>
        <v>#REF!</v>
      </c>
      <c r="G582" s="122" t="e">
        <f t="shared" si="167"/>
        <v>#REF!</v>
      </c>
      <c r="H582" s="122" t="e">
        <f t="shared" si="167"/>
        <v>#REF!</v>
      </c>
      <c r="I582" s="122" t="e">
        <f t="shared" si="167"/>
        <v>#REF!</v>
      </c>
      <c r="J582" s="122" t="e">
        <f t="shared" si="167"/>
        <v>#REF!</v>
      </c>
      <c r="K582" s="122" t="e">
        <f t="shared" si="167"/>
        <v>#REF!</v>
      </c>
      <c r="L582" s="122" t="e">
        <f t="shared" si="167"/>
        <v>#REF!</v>
      </c>
      <c r="M582" s="122" t="e">
        <f>+M17/12</f>
        <v>#REF!</v>
      </c>
      <c r="N582" s="122">
        <f t="shared" si="167"/>
        <v>0</v>
      </c>
      <c r="O582" s="122">
        <f t="shared" si="167"/>
        <v>0</v>
      </c>
      <c r="P582" s="120"/>
      <c r="Q582" s="120"/>
      <c r="R582" s="120"/>
      <c r="S582" s="120"/>
      <c r="T582" s="120"/>
      <c r="U582" s="120"/>
      <c r="V582" s="120"/>
    </row>
    <row r="583" spans="1:22">
      <c r="A583" s="120" t="s">
        <v>245</v>
      </c>
      <c r="B583" s="126">
        <f>+B32/6</f>
        <v>12.073428333333332</v>
      </c>
      <c r="C583" s="126">
        <f>+C32/12</f>
        <v>7.4866850000000005</v>
      </c>
      <c r="D583" s="124">
        <f>+D32/12</f>
        <v>9.4359678229166661</v>
      </c>
      <c r="E583" s="124">
        <f>+E32/12</f>
        <v>11.817286986979168</v>
      </c>
      <c r="F583" s="122">
        <f>+F32/9</f>
        <v>19.64971336440972</v>
      </c>
      <c r="G583" s="122">
        <f t="shared" ref="G583:O583" si="168">+G32/12</f>
        <v>18.45140484548828</v>
      </c>
      <c r="H583" s="122">
        <f t="shared" si="168"/>
        <v>23.018524408167647</v>
      </c>
      <c r="I583" s="122">
        <f t="shared" si="168"/>
        <v>28.810147447546274</v>
      </c>
      <c r="J583" s="122">
        <f t="shared" si="168"/>
        <v>35.95522503737007</v>
      </c>
      <c r="K583" s="122">
        <f t="shared" si="168"/>
        <v>44.987848967173726</v>
      </c>
      <c r="L583" s="122">
        <f t="shared" si="168"/>
        <v>56.165201529997482</v>
      </c>
      <c r="M583" s="122">
        <f>+M32/12</f>
        <v>70.25665911501504</v>
      </c>
      <c r="N583" s="122" t="e">
        <f t="shared" si="168"/>
        <v>#REF!</v>
      </c>
      <c r="O583" s="122" t="e">
        <f t="shared" si="168"/>
        <v>#REF!</v>
      </c>
      <c r="P583" s="120"/>
      <c r="Q583" s="120"/>
      <c r="R583" s="120"/>
      <c r="S583" s="120"/>
      <c r="T583" s="120"/>
      <c r="U583" s="120"/>
      <c r="V583" s="120"/>
    </row>
    <row r="584" spans="1:22">
      <c r="A584" s="147" t="s">
        <v>272</v>
      </c>
      <c r="B584" s="126">
        <f>+(B37+B42)/6</f>
        <v>0.4107183333333333</v>
      </c>
      <c r="C584" s="126">
        <f>+(C37+C42)/12</f>
        <v>0.23743999999999998</v>
      </c>
      <c r="D584" s="122" t="e">
        <f>+(D37+D42)/12</f>
        <v>#REF!</v>
      </c>
      <c r="E584" s="124" t="e">
        <f>+(E37+E42)/12</f>
        <v>#REF!</v>
      </c>
      <c r="F584" s="122" t="e">
        <f>+(F37+F42)/9</f>
        <v>#REF!</v>
      </c>
      <c r="G584" s="122" t="e">
        <f t="shared" ref="G584:O584" si="169">+(G37+G42)/12</f>
        <v>#REF!</v>
      </c>
      <c r="H584" s="122" t="e">
        <f t="shared" si="169"/>
        <v>#REF!</v>
      </c>
      <c r="I584" s="122" t="e">
        <f t="shared" si="169"/>
        <v>#REF!</v>
      </c>
      <c r="J584" s="122" t="e">
        <f t="shared" si="169"/>
        <v>#REF!</v>
      </c>
      <c r="K584" s="122" t="e">
        <f t="shared" si="169"/>
        <v>#REF!</v>
      </c>
      <c r="L584" s="122" t="e">
        <f t="shared" si="169"/>
        <v>#REF!</v>
      </c>
      <c r="M584" s="122" t="e">
        <f>+(M37+M42)/12</f>
        <v>#REF!</v>
      </c>
      <c r="N584" s="122" t="e">
        <f t="shared" si="169"/>
        <v>#REF!</v>
      </c>
      <c r="O584" s="122">
        <f t="shared" si="169"/>
        <v>182.92833333333331</v>
      </c>
      <c r="P584" s="120"/>
      <c r="Q584" s="120"/>
      <c r="R584" s="120"/>
      <c r="S584" s="120"/>
      <c r="T584" s="120"/>
      <c r="U584" s="120"/>
      <c r="V584" s="120"/>
    </row>
    <row r="585" spans="1:22">
      <c r="A585" s="147" t="s">
        <v>271</v>
      </c>
      <c r="B585" s="126">
        <f>+B65/6</f>
        <v>29.250849049999999</v>
      </c>
      <c r="C585" s="126">
        <f>+C65/12</f>
        <v>16.04710833333333</v>
      </c>
      <c r="D585" s="122" t="e">
        <f>+D65/12</f>
        <v>#REF!</v>
      </c>
      <c r="E585" s="124" t="e">
        <f>+E65/12</f>
        <v>#REF!</v>
      </c>
      <c r="F585" s="122" t="e">
        <f>+F65/9</f>
        <v>#REF!</v>
      </c>
      <c r="G585" s="122" t="e">
        <f t="shared" ref="G585:O585" si="170">+G65/12</f>
        <v>#REF!</v>
      </c>
      <c r="H585" s="122" t="e">
        <f t="shared" si="170"/>
        <v>#REF!</v>
      </c>
      <c r="I585" s="122" t="e">
        <f t="shared" si="170"/>
        <v>#REF!</v>
      </c>
      <c r="J585" s="122" t="e">
        <f t="shared" si="170"/>
        <v>#REF!</v>
      </c>
      <c r="K585" s="122" t="e">
        <f t="shared" si="170"/>
        <v>#REF!</v>
      </c>
      <c r="L585" s="122" t="e">
        <f t="shared" si="170"/>
        <v>#REF!</v>
      </c>
      <c r="M585" s="122" t="e">
        <f>+M65/12</f>
        <v>#REF!</v>
      </c>
      <c r="N585" s="122" t="e">
        <f t="shared" si="170"/>
        <v>#REF!</v>
      </c>
      <c r="O585" s="122" t="e">
        <f t="shared" si="170"/>
        <v>#REF!</v>
      </c>
      <c r="P585" s="120"/>
      <c r="Q585" s="120"/>
      <c r="R585" s="120"/>
      <c r="S585" s="120"/>
      <c r="T585" s="120"/>
      <c r="U585" s="120"/>
      <c r="V585" s="120"/>
    </row>
    <row r="586" spans="1:22">
      <c r="A586" s="120" t="s">
        <v>270</v>
      </c>
      <c r="B586" s="126">
        <f>+B73/6</f>
        <v>29.250849049999999</v>
      </c>
      <c r="C586" s="126">
        <f>+C73/12</f>
        <v>16.04710833333333</v>
      </c>
      <c r="D586" s="122" t="e">
        <f>+D73/12</f>
        <v>#REF!</v>
      </c>
      <c r="E586" s="124" t="e">
        <f>+E73/12</f>
        <v>#REF!</v>
      </c>
      <c r="F586" s="122" t="e">
        <f>+F73/9</f>
        <v>#REF!</v>
      </c>
      <c r="G586" s="122" t="e">
        <f t="shared" ref="G586:O586" si="171">+G73/12</f>
        <v>#REF!</v>
      </c>
      <c r="H586" s="122" t="e">
        <f t="shared" si="171"/>
        <v>#REF!</v>
      </c>
      <c r="I586" s="122" t="e">
        <f t="shared" si="171"/>
        <v>#REF!</v>
      </c>
      <c r="J586" s="122" t="e">
        <f t="shared" si="171"/>
        <v>#REF!</v>
      </c>
      <c r="K586" s="122" t="e">
        <f t="shared" si="171"/>
        <v>#REF!</v>
      </c>
      <c r="L586" s="122" t="e">
        <f t="shared" si="171"/>
        <v>#REF!</v>
      </c>
      <c r="M586" s="122" t="e">
        <f>+M73/12</f>
        <v>#REF!</v>
      </c>
      <c r="N586" s="122" t="e">
        <f t="shared" si="171"/>
        <v>#REF!</v>
      </c>
      <c r="O586" s="122" t="e">
        <f t="shared" si="171"/>
        <v>#REF!</v>
      </c>
      <c r="P586" s="120"/>
      <c r="Q586" s="120"/>
      <c r="R586" s="120"/>
      <c r="S586" s="120"/>
      <c r="T586" s="120"/>
      <c r="U586" s="120"/>
      <c r="V586" s="120"/>
    </row>
    <row r="587" spans="1:22">
      <c r="C587" s="126"/>
      <c r="D587" s="122"/>
      <c r="F587" s="122"/>
      <c r="G587" s="122"/>
      <c r="H587" s="122"/>
      <c r="J587" s="122"/>
      <c r="K587" s="122"/>
      <c r="L587" s="122"/>
      <c r="M587" s="122"/>
      <c r="N587" s="122"/>
      <c r="O587" s="122"/>
      <c r="P587" s="120"/>
      <c r="Q587" s="120"/>
      <c r="R587" s="120"/>
      <c r="S587" s="120"/>
      <c r="T587" s="120"/>
      <c r="U587" s="120"/>
      <c r="V587" s="120"/>
    </row>
    <row r="588" spans="1:22">
      <c r="A588" s="143" t="s">
        <v>269</v>
      </c>
      <c r="C588" s="126"/>
      <c r="D588" s="122"/>
      <c r="F588" s="122"/>
      <c r="G588" s="122"/>
      <c r="H588" s="122"/>
      <c r="J588" s="122"/>
      <c r="K588" s="122"/>
      <c r="L588" s="122"/>
      <c r="M588" s="122"/>
      <c r="N588" s="122"/>
      <c r="O588" s="122"/>
      <c r="P588" s="120"/>
      <c r="Q588" s="120"/>
      <c r="R588" s="120"/>
      <c r="S588" s="120"/>
      <c r="T588" s="120"/>
      <c r="U588" s="120"/>
      <c r="V588" s="120"/>
    </row>
    <row r="589" spans="1:22">
      <c r="A589" s="120" t="s">
        <v>262</v>
      </c>
      <c r="B589" s="126">
        <f t="shared" ref="B589:O589" si="172">+B364</f>
        <v>0</v>
      </c>
      <c r="C589" s="126">
        <f t="shared" si="172"/>
        <v>0</v>
      </c>
      <c r="D589" s="122" t="e">
        <f t="shared" si="172"/>
        <v>#REF!</v>
      </c>
      <c r="E589" s="124" t="e">
        <f t="shared" si="172"/>
        <v>#REF!</v>
      </c>
      <c r="F589" s="122" t="e">
        <f t="shared" si="172"/>
        <v>#REF!</v>
      </c>
      <c r="G589" s="122" t="e">
        <f t="shared" si="172"/>
        <v>#REF!</v>
      </c>
      <c r="H589" s="122" t="e">
        <f t="shared" si="172"/>
        <v>#REF!</v>
      </c>
      <c r="I589" s="122" t="e">
        <f t="shared" si="172"/>
        <v>#REF!</v>
      </c>
      <c r="J589" s="122" t="e">
        <f t="shared" si="172"/>
        <v>#REF!</v>
      </c>
      <c r="K589" s="122" t="e">
        <f t="shared" si="172"/>
        <v>#REF!</v>
      </c>
      <c r="L589" s="122" t="e">
        <f t="shared" si="172"/>
        <v>#REF!</v>
      </c>
      <c r="M589" s="122" t="e">
        <f>+M364</f>
        <v>#REF!</v>
      </c>
      <c r="N589" s="122" t="e">
        <f t="shared" si="172"/>
        <v>#DIV/0!</v>
      </c>
      <c r="O589" s="122" t="e">
        <f t="shared" si="172"/>
        <v>#DIV/0!</v>
      </c>
      <c r="P589" s="120"/>
      <c r="Q589" s="120"/>
      <c r="R589" s="120"/>
      <c r="S589" s="120"/>
      <c r="T589" s="120"/>
      <c r="U589" s="120"/>
      <c r="V589" s="120"/>
    </row>
    <row r="590" spans="1:22">
      <c r="A590" s="120" t="s">
        <v>261</v>
      </c>
      <c r="B590" s="126">
        <f t="shared" ref="B590:O590" si="173">+B367</f>
        <v>0</v>
      </c>
      <c r="C590" s="126">
        <f t="shared" si="173"/>
        <v>0</v>
      </c>
      <c r="D590" s="122">
        <f t="shared" si="173"/>
        <v>0</v>
      </c>
      <c r="E590" s="124">
        <f t="shared" si="173"/>
        <v>0</v>
      </c>
      <c r="F590" s="122">
        <f t="shared" si="173"/>
        <v>0</v>
      </c>
      <c r="G590" s="122">
        <f t="shared" si="173"/>
        <v>0</v>
      </c>
      <c r="H590" s="122">
        <f t="shared" si="173"/>
        <v>0</v>
      </c>
      <c r="I590" s="122">
        <f t="shared" si="173"/>
        <v>0</v>
      </c>
      <c r="J590" s="122">
        <f t="shared" si="173"/>
        <v>0</v>
      </c>
      <c r="K590" s="122">
        <f t="shared" si="173"/>
        <v>0</v>
      </c>
      <c r="L590" s="122">
        <f t="shared" si="173"/>
        <v>0</v>
      </c>
      <c r="M590" s="122">
        <f>+M367</f>
        <v>0</v>
      </c>
      <c r="N590" s="122">
        <f t="shared" si="173"/>
        <v>0</v>
      </c>
      <c r="O590" s="122">
        <f t="shared" si="173"/>
        <v>0</v>
      </c>
      <c r="P590" s="120"/>
      <c r="Q590" s="120"/>
      <c r="R590" s="120"/>
      <c r="S590" s="120"/>
      <c r="T590" s="120"/>
      <c r="U590" s="120"/>
      <c r="V590" s="120"/>
    </row>
    <row r="591" spans="1:22">
      <c r="A591" s="120" t="s">
        <v>265</v>
      </c>
      <c r="B591" s="126">
        <f t="shared" ref="B591:O591" si="174">+B336</f>
        <v>0</v>
      </c>
      <c r="C591" s="126">
        <f t="shared" si="174"/>
        <v>0</v>
      </c>
      <c r="D591" s="122">
        <f t="shared" si="174"/>
        <v>0</v>
      </c>
      <c r="E591" s="124">
        <f t="shared" si="174"/>
        <v>0</v>
      </c>
      <c r="F591" s="122">
        <f t="shared" si="174"/>
        <v>0</v>
      </c>
      <c r="G591" s="122">
        <f t="shared" si="174"/>
        <v>0</v>
      </c>
      <c r="H591" s="122">
        <f t="shared" si="174"/>
        <v>0</v>
      </c>
      <c r="I591" s="122">
        <f t="shared" si="174"/>
        <v>0</v>
      </c>
      <c r="J591" s="122">
        <f t="shared" si="174"/>
        <v>0</v>
      </c>
      <c r="K591" s="122">
        <f t="shared" si="174"/>
        <v>0</v>
      </c>
      <c r="L591" s="122">
        <f t="shared" si="174"/>
        <v>0</v>
      </c>
      <c r="M591" s="122">
        <f>+M336</f>
        <v>0</v>
      </c>
      <c r="N591" s="122" t="e">
        <f t="shared" si="174"/>
        <v>#REF!</v>
      </c>
      <c r="O591" s="122" t="e">
        <f t="shared" si="174"/>
        <v>#REF!</v>
      </c>
      <c r="P591" s="120"/>
      <c r="Q591" s="120"/>
      <c r="R591" s="120"/>
      <c r="S591" s="120"/>
      <c r="T591" s="120"/>
      <c r="U591" s="120"/>
      <c r="V591" s="120"/>
    </row>
    <row r="592" spans="1:22">
      <c r="A592" s="147" t="s">
        <v>264</v>
      </c>
      <c r="B592" s="126">
        <f t="shared" ref="B592:O592" si="175">+B354</f>
        <v>0</v>
      </c>
      <c r="C592" s="126">
        <f t="shared" si="175"/>
        <v>0</v>
      </c>
      <c r="D592" s="122" t="e">
        <f t="shared" si="175"/>
        <v>#REF!</v>
      </c>
      <c r="E592" s="124" t="e">
        <f t="shared" si="175"/>
        <v>#REF!</v>
      </c>
      <c r="F592" s="122" t="e">
        <f t="shared" si="175"/>
        <v>#REF!</v>
      </c>
      <c r="G592" s="122" t="e">
        <f t="shared" si="175"/>
        <v>#REF!</v>
      </c>
      <c r="H592" s="122" t="e">
        <f t="shared" si="175"/>
        <v>#REF!</v>
      </c>
      <c r="I592" s="122" t="e">
        <f t="shared" si="175"/>
        <v>#REF!</v>
      </c>
      <c r="J592" s="122" t="e">
        <f t="shared" si="175"/>
        <v>#REF!</v>
      </c>
      <c r="K592" s="122" t="e">
        <f t="shared" si="175"/>
        <v>#REF!</v>
      </c>
      <c r="L592" s="122" t="e">
        <f t="shared" si="175"/>
        <v>#REF!</v>
      </c>
      <c r="M592" s="122" t="e">
        <f>+M354</f>
        <v>#REF!</v>
      </c>
      <c r="N592" s="122" t="e">
        <f t="shared" si="175"/>
        <v>#REF!</v>
      </c>
      <c r="O592" s="122" t="e">
        <f t="shared" si="175"/>
        <v>#REF!</v>
      </c>
      <c r="P592" s="120"/>
      <c r="Q592" s="120"/>
      <c r="R592" s="120"/>
      <c r="S592" s="120"/>
      <c r="T592" s="120"/>
      <c r="U592" s="120"/>
      <c r="V592" s="120"/>
    </row>
    <row r="593" spans="1:257">
      <c r="A593" s="120" t="s">
        <v>263</v>
      </c>
      <c r="B593" s="126">
        <f t="shared" ref="B593:O593" si="176">+B358</f>
        <v>0</v>
      </c>
      <c r="C593" s="126">
        <f t="shared" si="176"/>
        <v>0</v>
      </c>
      <c r="D593" s="122" t="e">
        <f t="shared" si="176"/>
        <v>#REF!</v>
      </c>
      <c r="E593" s="124" t="e">
        <f t="shared" si="176"/>
        <v>#REF!</v>
      </c>
      <c r="F593" s="122" t="e">
        <f t="shared" si="176"/>
        <v>#REF!</v>
      </c>
      <c r="G593" s="122" t="e">
        <f t="shared" si="176"/>
        <v>#REF!</v>
      </c>
      <c r="H593" s="122" t="e">
        <f t="shared" si="176"/>
        <v>#REF!</v>
      </c>
      <c r="I593" s="122" t="e">
        <f t="shared" si="176"/>
        <v>#REF!</v>
      </c>
      <c r="J593" s="122" t="e">
        <f t="shared" si="176"/>
        <v>#REF!</v>
      </c>
      <c r="K593" s="122" t="e">
        <f t="shared" si="176"/>
        <v>#REF!</v>
      </c>
      <c r="L593" s="122" t="e">
        <f t="shared" si="176"/>
        <v>#REF!</v>
      </c>
      <c r="M593" s="122" t="e">
        <f>+M358</f>
        <v>#REF!</v>
      </c>
      <c r="N593" s="122" t="e">
        <f t="shared" si="176"/>
        <v>#REF!</v>
      </c>
      <c r="O593" s="122" t="e">
        <f t="shared" si="176"/>
        <v>#REF!</v>
      </c>
      <c r="P593" s="120"/>
      <c r="Q593" s="120"/>
      <c r="R593" s="120"/>
      <c r="S593" s="120"/>
      <c r="T593" s="120"/>
      <c r="U593" s="120"/>
      <c r="V593" s="120"/>
    </row>
    <row r="594" spans="1:257">
      <c r="A594" s="120" t="s">
        <v>268</v>
      </c>
      <c r="B594" s="126">
        <f t="shared" ref="B594:O594" si="177">+B350</f>
        <v>0</v>
      </c>
      <c r="C594" s="126">
        <f t="shared" si="177"/>
        <v>0</v>
      </c>
      <c r="D594" s="122" t="e">
        <f t="shared" si="177"/>
        <v>#REF!</v>
      </c>
      <c r="E594" s="124" t="e">
        <f t="shared" si="177"/>
        <v>#REF!</v>
      </c>
      <c r="F594" s="122" t="e">
        <f t="shared" si="177"/>
        <v>#REF!</v>
      </c>
      <c r="G594" s="122" t="e">
        <f t="shared" si="177"/>
        <v>#REF!</v>
      </c>
      <c r="H594" s="122" t="e">
        <f t="shared" si="177"/>
        <v>#REF!</v>
      </c>
      <c r="I594" s="122" t="e">
        <f t="shared" si="177"/>
        <v>#REF!</v>
      </c>
      <c r="J594" s="122" t="e">
        <f t="shared" si="177"/>
        <v>#REF!</v>
      </c>
      <c r="K594" s="122" t="e">
        <f t="shared" si="177"/>
        <v>#REF!</v>
      </c>
      <c r="L594" s="122" t="e">
        <f t="shared" si="177"/>
        <v>#REF!</v>
      </c>
      <c r="M594" s="122" t="e">
        <f>+M350</f>
        <v>#REF!</v>
      </c>
      <c r="N594" s="122" t="e">
        <f t="shared" si="177"/>
        <v>#REF!</v>
      </c>
      <c r="O594" s="122">
        <f t="shared" si="177"/>
        <v>0</v>
      </c>
      <c r="P594" s="120"/>
      <c r="Q594" s="120"/>
      <c r="R594" s="120"/>
      <c r="S594" s="120"/>
      <c r="T594" s="120"/>
      <c r="U594" s="120"/>
      <c r="V594" s="120"/>
    </row>
    <row r="595" spans="1:257">
      <c r="A595" s="147" t="s">
        <v>260</v>
      </c>
      <c r="B595" s="126">
        <f t="shared" ref="B595:O595" si="178">+B370</f>
        <v>0.11057339830429275</v>
      </c>
      <c r="C595" s="126">
        <f t="shared" si="178"/>
        <v>0</v>
      </c>
      <c r="D595" s="122">
        <f t="shared" si="178"/>
        <v>0</v>
      </c>
      <c r="E595" s="124">
        <f t="shared" si="178"/>
        <v>0</v>
      </c>
      <c r="F595" s="122">
        <f t="shared" si="178"/>
        <v>0</v>
      </c>
      <c r="G595" s="122">
        <f t="shared" si="178"/>
        <v>0</v>
      </c>
      <c r="H595" s="122">
        <f t="shared" si="178"/>
        <v>0</v>
      </c>
      <c r="I595" s="122">
        <f t="shared" si="178"/>
        <v>0</v>
      </c>
      <c r="J595" s="122">
        <f t="shared" si="178"/>
        <v>0</v>
      </c>
      <c r="K595" s="122">
        <f t="shared" si="178"/>
        <v>0</v>
      </c>
      <c r="L595" s="122">
        <f t="shared" si="178"/>
        <v>0</v>
      </c>
      <c r="M595" s="122">
        <f>+M370</f>
        <v>0</v>
      </c>
      <c r="N595" s="122" t="e">
        <f t="shared" si="178"/>
        <v>#REF!</v>
      </c>
      <c r="O595" s="122" t="e">
        <f t="shared" si="178"/>
        <v>#REF!</v>
      </c>
      <c r="P595" s="120"/>
      <c r="Q595" s="120"/>
      <c r="R595" s="120"/>
      <c r="S595" s="120"/>
      <c r="T595" s="120"/>
      <c r="U595" s="120"/>
      <c r="V595" s="120"/>
    </row>
    <row r="596" spans="1:257">
      <c r="A596" s="120" t="s">
        <v>267</v>
      </c>
      <c r="B596" s="126">
        <f t="shared" ref="B596:O596" si="179">+B399</f>
        <v>2.5075191870009008</v>
      </c>
      <c r="C596" s="126">
        <f t="shared" si="179"/>
        <v>3.3586013431942128</v>
      </c>
      <c r="D596" s="122" t="e">
        <f t="shared" si="179"/>
        <v>#REF!</v>
      </c>
      <c r="E596" s="124" t="e">
        <f t="shared" si="179"/>
        <v>#REF!</v>
      </c>
      <c r="F596" s="122" t="e">
        <f t="shared" si="179"/>
        <v>#REF!</v>
      </c>
      <c r="G596" s="122" t="e">
        <f t="shared" si="179"/>
        <v>#REF!</v>
      </c>
      <c r="H596" s="122" t="e">
        <f t="shared" si="179"/>
        <v>#REF!</v>
      </c>
      <c r="I596" s="122" t="e">
        <f t="shared" si="179"/>
        <v>#REF!</v>
      </c>
      <c r="J596" s="122" t="e">
        <f t="shared" si="179"/>
        <v>#REF!</v>
      </c>
      <c r="K596" s="122" t="e">
        <f t="shared" si="179"/>
        <v>#REF!</v>
      </c>
      <c r="L596" s="122" t="e">
        <f t="shared" si="179"/>
        <v>#REF!</v>
      </c>
      <c r="M596" s="122" t="e">
        <f>+M399</f>
        <v>#REF!</v>
      </c>
      <c r="N596" s="122" t="e">
        <f t="shared" si="179"/>
        <v>#REF!</v>
      </c>
      <c r="O596" s="122" t="e">
        <f t="shared" si="179"/>
        <v>#REF!</v>
      </c>
      <c r="P596" s="120"/>
      <c r="Q596" s="120"/>
      <c r="R596" s="120"/>
      <c r="S596" s="120"/>
      <c r="T596" s="120"/>
      <c r="U596" s="120"/>
      <c r="V596" s="120"/>
    </row>
    <row r="597" spans="1:257">
      <c r="C597" s="126"/>
      <c r="D597" s="122"/>
      <c r="F597" s="122"/>
      <c r="G597" s="122"/>
      <c r="H597" s="122"/>
      <c r="J597" s="122"/>
      <c r="K597" s="122"/>
      <c r="L597" s="122"/>
      <c r="M597" s="122"/>
      <c r="N597" s="122"/>
      <c r="O597" s="122"/>
    </row>
    <row r="598" spans="1:257">
      <c r="A598" s="143" t="s">
        <v>266</v>
      </c>
      <c r="C598" s="126"/>
      <c r="D598" s="122"/>
      <c r="F598" s="122"/>
      <c r="G598" s="122"/>
      <c r="H598" s="122"/>
      <c r="J598" s="122"/>
      <c r="K598" s="122"/>
      <c r="L598" s="122"/>
      <c r="M598" s="122"/>
      <c r="N598" s="122"/>
      <c r="O598" s="122"/>
    </row>
    <row r="599" spans="1:257">
      <c r="A599" s="120" t="s">
        <v>265</v>
      </c>
      <c r="B599" s="126">
        <f t="shared" ref="B599:O599" si="180">+B583*B591</f>
        <v>0</v>
      </c>
      <c r="C599" s="126">
        <f t="shared" si="180"/>
        <v>0</v>
      </c>
      <c r="D599" s="122">
        <f t="shared" si="180"/>
        <v>0</v>
      </c>
      <c r="E599" s="124">
        <f t="shared" si="180"/>
        <v>0</v>
      </c>
      <c r="F599" s="122">
        <f t="shared" si="180"/>
        <v>0</v>
      </c>
      <c r="G599" s="122">
        <f t="shared" si="180"/>
        <v>0</v>
      </c>
      <c r="H599" s="122">
        <f t="shared" si="180"/>
        <v>0</v>
      </c>
      <c r="I599" s="122">
        <f t="shared" si="180"/>
        <v>0</v>
      </c>
      <c r="J599" s="122">
        <f t="shared" si="180"/>
        <v>0</v>
      </c>
      <c r="K599" s="122">
        <f t="shared" si="180"/>
        <v>0</v>
      </c>
      <c r="L599" s="122">
        <f t="shared" si="180"/>
        <v>0</v>
      </c>
      <c r="M599" s="122">
        <f>+M583*M591</f>
        <v>0</v>
      </c>
      <c r="N599" s="122" t="e">
        <f t="shared" si="180"/>
        <v>#REF!</v>
      </c>
      <c r="O599" s="122" t="e">
        <f t="shared" si="180"/>
        <v>#REF!</v>
      </c>
    </row>
    <row r="600" spans="1:257">
      <c r="A600" s="147" t="s">
        <v>264</v>
      </c>
      <c r="B600" s="126">
        <f t="shared" ref="B600:O600" si="181">+B585*B592</f>
        <v>0</v>
      </c>
      <c r="C600" s="126">
        <f t="shared" si="181"/>
        <v>0</v>
      </c>
      <c r="D600" s="122" t="e">
        <f t="shared" si="181"/>
        <v>#REF!</v>
      </c>
      <c r="E600" s="124" t="e">
        <f t="shared" si="181"/>
        <v>#REF!</v>
      </c>
      <c r="F600" s="122" t="e">
        <f t="shared" si="181"/>
        <v>#REF!</v>
      </c>
      <c r="G600" s="122" t="e">
        <f t="shared" si="181"/>
        <v>#REF!</v>
      </c>
      <c r="H600" s="122" t="e">
        <f t="shared" si="181"/>
        <v>#REF!</v>
      </c>
      <c r="I600" s="122" t="e">
        <f t="shared" si="181"/>
        <v>#REF!</v>
      </c>
      <c r="J600" s="122" t="e">
        <f t="shared" si="181"/>
        <v>#REF!</v>
      </c>
      <c r="K600" s="122" t="e">
        <f t="shared" si="181"/>
        <v>#REF!</v>
      </c>
      <c r="L600" s="122" t="e">
        <f t="shared" si="181"/>
        <v>#REF!</v>
      </c>
      <c r="M600" s="122" t="e">
        <f>+M585*M592</f>
        <v>#REF!</v>
      </c>
      <c r="N600" s="122" t="e">
        <f t="shared" si="181"/>
        <v>#REF!</v>
      </c>
      <c r="O600" s="122" t="e">
        <f t="shared" si="181"/>
        <v>#REF!</v>
      </c>
    </row>
    <row r="601" spans="1:257">
      <c r="A601" s="120" t="s">
        <v>263</v>
      </c>
      <c r="B601" s="126">
        <f t="shared" ref="B601:O601" si="182">+B586*B593</f>
        <v>0</v>
      </c>
      <c r="C601" s="126">
        <f t="shared" si="182"/>
        <v>0</v>
      </c>
      <c r="D601" s="122" t="e">
        <f t="shared" si="182"/>
        <v>#REF!</v>
      </c>
      <c r="E601" s="124" t="e">
        <f t="shared" si="182"/>
        <v>#REF!</v>
      </c>
      <c r="F601" s="122" t="e">
        <f t="shared" si="182"/>
        <v>#REF!</v>
      </c>
      <c r="G601" s="122" t="e">
        <f t="shared" si="182"/>
        <v>#REF!</v>
      </c>
      <c r="H601" s="122" t="e">
        <f t="shared" si="182"/>
        <v>#REF!</v>
      </c>
      <c r="I601" s="122" t="e">
        <f t="shared" si="182"/>
        <v>#REF!</v>
      </c>
      <c r="J601" s="122" t="e">
        <f t="shared" si="182"/>
        <v>#REF!</v>
      </c>
      <c r="K601" s="122" t="e">
        <f t="shared" si="182"/>
        <v>#REF!</v>
      </c>
      <c r="L601" s="122" t="e">
        <f t="shared" si="182"/>
        <v>#REF!</v>
      </c>
      <c r="M601" s="122" t="e">
        <f>+M586*M593</f>
        <v>#REF!</v>
      </c>
      <c r="N601" s="122" t="e">
        <f t="shared" si="182"/>
        <v>#REF!</v>
      </c>
      <c r="O601" s="122" t="e">
        <f t="shared" si="182"/>
        <v>#REF!</v>
      </c>
    </row>
    <row r="602" spans="1:257">
      <c r="A602" s="120" t="s">
        <v>262</v>
      </c>
      <c r="B602" s="126">
        <f t="shared" ref="B602:O602" si="183">+B579*B589</f>
        <v>0</v>
      </c>
      <c r="C602" s="126">
        <f t="shared" si="183"/>
        <v>0</v>
      </c>
      <c r="D602" s="122" t="e">
        <f t="shared" si="183"/>
        <v>#REF!</v>
      </c>
      <c r="E602" s="124" t="e">
        <f t="shared" si="183"/>
        <v>#REF!</v>
      </c>
      <c r="F602" s="122" t="e">
        <f t="shared" si="183"/>
        <v>#REF!</v>
      </c>
      <c r="G602" s="122" t="e">
        <f t="shared" si="183"/>
        <v>#REF!</v>
      </c>
      <c r="H602" s="122" t="e">
        <f t="shared" si="183"/>
        <v>#REF!</v>
      </c>
      <c r="I602" s="122" t="e">
        <f t="shared" si="183"/>
        <v>#REF!</v>
      </c>
      <c r="J602" s="122" t="e">
        <f t="shared" si="183"/>
        <v>#REF!</v>
      </c>
      <c r="K602" s="122" t="e">
        <f t="shared" si="183"/>
        <v>#REF!</v>
      </c>
      <c r="L602" s="122" t="e">
        <f t="shared" si="183"/>
        <v>#REF!</v>
      </c>
      <c r="M602" s="122" t="e">
        <f>+M579*M589</f>
        <v>#REF!</v>
      </c>
      <c r="N602" s="122" t="e">
        <f t="shared" si="183"/>
        <v>#DIV/0!</v>
      </c>
      <c r="O602" s="122" t="e">
        <f t="shared" si="183"/>
        <v>#DIV/0!</v>
      </c>
    </row>
    <row r="603" spans="1:257">
      <c r="A603" s="120" t="s">
        <v>261</v>
      </c>
      <c r="B603" s="126">
        <f t="shared" ref="B603:O603" si="184">+B581*B590</f>
        <v>0</v>
      </c>
      <c r="C603" s="126">
        <f t="shared" si="184"/>
        <v>0</v>
      </c>
      <c r="D603" s="122">
        <f t="shared" si="184"/>
        <v>0</v>
      </c>
      <c r="E603" s="124">
        <f t="shared" si="184"/>
        <v>0</v>
      </c>
      <c r="F603" s="122">
        <f t="shared" si="184"/>
        <v>0</v>
      </c>
      <c r="G603" s="122">
        <f t="shared" si="184"/>
        <v>0</v>
      </c>
      <c r="H603" s="122">
        <f t="shared" si="184"/>
        <v>0</v>
      </c>
      <c r="I603" s="122">
        <f t="shared" si="184"/>
        <v>0</v>
      </c>
      <c r="J603" s="122">
        <f t="shared" si="184"/>
        <v>0</v>
      </c>
      <c r="K603" s="122">
        <f t="shared" si="184"/>
        <v>0</v>
      </c>
      <c r="L603" s="122">
        <f t="shared" si="184"/>
        <v>0</v>
      </c>
      <c r="M603" s="122">
        <f>+M581*M590</f>
        <v>0</v>
      </c>
      <c r="N603" s="122">
        <f t="shared" si="184"/>
        <v>0</v>
      </c>
      <c r="O603" s="122">
        <f t="shared" si="184"/>
        <v>0</v>
      </c>
    </row>
    <row r="604" spans="1:257">
      <c r="A604" s="120" t="s">
        <v>231</v>
      </c>
      <c r="B604" s="126">
        <f t="shared" ref="B604:O604" si="185">+B584*B594</f>
        <v>0</v>
      </c>
      <c r="C604" s="126">
        <f t="shared" si="185"/>
        <v>0</v>
      </c>
      <c r="D604" s="122" t="e">
        <f t="shared" si="185"/>
        <v>#REF!</v>
      </c>
      <c r="E604" s="124" t="e">
        <f t="shared" si="185"/>
        <v>#REF!</v>
      </c>
      <c r="F604" s="122" t="e">
        <f t="shared" si="185"/>
        <v>#REF!</v>
      </c>
      <c r="G604" s="122" t="e">
        <f t="shared" si="185"/>
        <v>#REF!</v>
      </c>
      <c r="H604" s="122" t="e">
        <f t="shared" si="185"/>
        <v>#REF!</v>
      </c>
      <c r="I604" s="122" t="e">
        <f t="shared" si="185"/>
        <v>#REF!</v>
      </c>
      <c r="J604" s="122" t="e">
        <f t="shared" si="185"/>
        <v>#REF!</v>
      </c>
      <c r="K604" s="122" t="e">
        <f t="shared" si="185"/>
        <v>#REF!</v>
      </c>
      <c r="L604" s="122" t="e">
        <f t="shared" si="185"/>
        <v>#REF!</v>
      </c>
      <c r="M604" s="122" t="e">
        <f>+M584*M594</f>
        <v>#REF!</v>
      </c>
      <c r="N604" s="122" t="e">
        <f t="shared" si="185"/>
        <v>#REF!</v>
      </c>
      <c r="O604" s="122">
        <f t="shared" si="185"/>
        <v>0</v>
      </c>
    </row>
    <row r="605" spans="1:257">
      <c r="A605" s="147" t="s">
        <v>260</v>
      </c>
      <c r="B605" s="126">
        <f t="shared" ref="B605:O605" si="186">+B583*B595</f>
        <v>1.335</v>
      </c>
      <c r="C605" s="126">
        <f t="shared" si="186"/>
        <v>0</v>
      </c>
      <c r="D605" s="124">
        <f t="shared" si="186"/>
        <v>0</v>
      </c>
      <c r="E605" s="124">
        <f t="shared" si="186"/>
        <v>0</v>
      </c>
      <c r="F605" s="122">
        <f t="shared" si="186"/>
        <v>0</v>
      </c>
      <c r="G605" s="122">
        <f t="shared" si="186"/>
        <v>0</v>
      </c>
      <c r="H605" s="122">
        <f t="shared" si="186"/>
        <v>0</v>
      </c>
      <c r="I605" s="122">
        <f t="shared" si="186"/>
        <v>0</v>
      </c>
      <c r="J605" s="122">
        <f t="shared" si="186"/>
        <v>0</v>
      </c>
      <c r="K605" s="122">
        <f t="shared" si="186"/>
        <v>0</v>
      </c>
      <c r="L605" s="122">
        <f t="shared" si="186"/>
        <v>0</v>
      </c>
      <c r="M605" s="122">
        <f>+M583*M595</f>
        <v>0</v>
      </c>
      <c r="N605" s="122" t="e">
        <f t="shared" si="186"/>
        <v>#REF!</v>
      </c>
      <c r="O605" s="122" t="e">
        <f t="shared" si="186"/>
        <v>#REF!</v>
      </c>
    </row>
    <row r="606" spans="1:257" s="148" customFormat="1">
      <c r="A606" s="150" t="s">
        <v>259</v>
      </c>
      <c r="B606" s="124"/>
      <c r="C606" s="124"/>
      <c r="D606" s="124"/>
      <c r="E606" s="124"/>
      <c r="F606" s="124"/>
      <c r="G606" s="124"/>
      <c r="H606" s="124"/>
      <c r="I606" s="124"/>
      <c r="J606" s="124"/>
      <c r="K606" s="124"/>
      <c r="L606" s="124"/>
      <c r="M606" s="124"/>
      <c r="N606" s="124"/>
      <c r="O606" s="124"/>
      <c r="P606" s="149"/>
      <c r="Q606" s="149"/>
      <c r="R606" s="149"/>
      <c r="S606" s="149"/>
      <c r="T606" s="149"/>
      <c r="U606" s="149"/>
      <c r="V606" s="149"/>
      <c r="W606" s="149"/>
      <c r="X606" s="149"/>
      <c r="Y606" s="149"/>
      <c r="Z606" s="149"/>
      <c r="AA606" s="149"/>
      <c r="AB606" s="149"/>
      <c r="AC606" s="149"/>
      <c r="AD606" s="149"/>
      <c r="AE606" s="149"/>
      <c r="AF606" s="149"/>
      <c r="AG606" s="149"/>
      <c r="AH606" s="149"/>
      <c r="AI606" s="149"/>
      <c r="AJ606" s="149"/>
      <c r="AK606" s="149"/>
      <c r="AL606" s="149"/>
      <c r="AM606" s="149"/>
      <c r="AN606" s="149"/>
      <c r="AO606" s="149"/>
      <c r="AP606" s="149"/>
      <c r="AQ606" s="149"/>
      <c r="AR606" s="149"/>
      <c r="AS606" s="149"/>
      <c r="AT606" s="149"/>
      <c r="AU606" s="149"/>
      <c r="AV606" s="149"/>
      <c r="AW606" s="149"/>
      <c r="AX606" s="149"/>
      <c r="AY606" s="149"/>
      <c r="AZ606" s="149"/>
      <c r="BA606" s="149"/>
      <c r="BB606" s="149"/>
      <c r="BC606" s="149"/>
      <c r="BD606" s="149"/>
      <c r="BE606" s="149"/>
      <c r="BF606" s="149"/>
      <c r="BG606" s="149"/>
      <c r="BH606" s="149"/>
      <c r="BI606" s="149"/>
      <c r="BJ606" s="149"/>
      <c r="BK606" s="149"/>
      <c r="BL606" s="149"/>
      <c r="BM606" s="149"/>
      <c r="BN606" s="149"/>
      <c r="BO606" s="149"/>
      <c r="BP606" s="149"/>
      <c r="BQ606" s="149"/>
      <c r="BR606" s="149"/>
      <c r="BS606" s="149"/>
      <c r="BT606" s="149"/>
      <c r="BU606" s="149"/>
      <c r="BV606" s="149"/>
      <c r="BW606" s="149"/>
      <c r="BX606" s="149"/>
      <c r="BY606" s="149"/>
      <c r="BZ606" s="149"/>
      <c r="CA606" s="149"/>
      <c r="CB606" s="149"/>
      <c r="CC606" s="149"/>
      <c r="CD606" s="149"/>
      <c r="CE606" s="149"/>
      <c r="CF606" s="149"/>
      <c r="CG606" s="149"/>
      <c r="CH606" s="149"/>
      <c r="CI606" s="149"/>
      <c r="CJ606" s="149"/>
      <c r="CK606" s="149"/>
      <c r="CL606" s="149"/>
      <c r="CM606" s="149"/>
      <c r="CN606" s="149"/>
      <c r="CO606" s="149"/>
      <c r="CP606" s="149"/>
      <c r="CQ606" s="149"/>
      <c r="CR606" s="149"/>
      <c r="CS606" s="149"/>
      <c r="CT606" s="149"/>
      <c r="CU606" s="149"/>
      <c r="CV606" s="149"/>
      <c r="CW606" s="149"/>
      <c r="CX606" s="149"/>
      <c r="CY606" s="149"/>
      <c r="CZ606" s="149"/>
      <c r="DA606" s="149"/>
      <c r="DB606" s="149"/>
      <c r="DC606" s="149"/>
      <c r="DD606" s="149"/>
      <c r="DE606" s="149"/>
      <c r="DF606" s="149"/>
      <c r="DG606" s="149"/>
      <c r="DH606" s="149"/>
      <c r="DI606" s="149"/>
      <c r="DJ606" s="149"/>
      <c r="DK606" s="149"/>
      <c r="DL606" s="149"/>
      <c r="DM606" s="149"/>
      <c r="DN606" s="149"/>
      <c r="DO606" s="149"/>
      <c r="DP606" s="149"/>
      <c r="DQ606" s="149"/>
      <c r="DR606" s="149"/>
      <c r="DS606" s="149"/>
      <c r="DT606" s="149"/>
      <c r="DU606" s="149"/>
      <c r="DV606" s="149"/>
      <c r="DW606" s="149"/>
      <c r="DX606" s="149"/>
      <c r="DY606" s="149"/>
      <c r="DZ606" s="149"/>
      <c r="EA606" s="149"/>
      <c r="EB606" s="149"/>
      <c r="EC606" s="149"/>
      <c r="ED606" s="149"/>
      <c r="EE606" s="149"/>
      <c r="EF606" s="149"/>
      <c r="EG606" s="149"/>
      <c r="EH606" s="149"/>
      <c r="EI606" s="149"/>
      <c r="EJ606" s="149"/>
      <c r="EK606" s="149"/>
      <c r="EL606" s="149"/>
      <c r="EM606" s="149"/>
      <c r="EN606" s="149"/>
      <c r="EO606" s="149"/>
      <c r="EP606" s="149"/>
      <c r="EQ606" s="149"/>
      <c r="ER606" s="149"/>
      <c r="ES606" s="149"/>
      <c r="ET606" s="149"/>
      <c r="EU606" s="149"/>
      <c r="EV606" s="149"/>
      <c r="EW606" s="149"/>
      <c r="EX606" s="149"/>
      <c r="EY606" s="149"/>
      <c r="EZ606" s="149"/>
      <c r="FA606" s="149"/>
      <c r="FB606" s="149"/>
      <c r="FC606" s="149"/>
      <c r="FD606" s="149"/>
      <c r="FE606" s="149"/>
      <c r="FF606" s="149"/>
      <c r="FG606" s="149"/>
      <c r="FH606" s="149"/>
      <c r="FI606" s="149"/>
      <c r="FJ606" s="149"/>
      <c r="FK606" s="149"/>
      <c r="FL606" s="149"/>
      <c r="FM606" s="149"/>
      <c r="FN606" s="149"/>
      <c r="FO606" s="149"/>
      <c r="FP606" s="149"/>
      <c r="FQ606" s="149"/>
      <c r="FR606" s="149"/>
      <c r="FS606" s="149"/>
      <c r="FT606" s="149"/>
      <c r="FU606" s="149"/>
      <c r="FV606" s="149"/>
      <c r="FW606" s="149"/>
      <c r="FX606" s="149"/>
      <c r="FY606" s="149"/>
      <c r="FZ606" s="149"/>
      <c r="GA606" s="149"/>
      <c r="GB606" s="149"/>
      <c r="GC606" s="149"/>
      <c r="GD606" s="149"/>
      <c r="GE606" s="149"/>
      <c r="GF606" s="149"/>
      <c r="GG606" s="149"/>
      <c r="GH606" s="149"/>
      <c r="GI606" s="149"/>
      <c r="GJ606" s="149"/>
      <c r="GK606" s="149"/>
      <c r="GL606" s="149"/>
      <c r="GM606" s="149"/>
      <c r="GN606" s="149"/>
      <c r="GO606" s="149"/>
      <c r="GP606" s="149"/>
      <c r="GQ606" s="149"/>
      <c r="GR606" s="149"/>
      <c r="GS606" s="149"/>
      <c r="GT606" s="149"/>
      <c r="GU606" s="149"/>
      <c r="GV606" s="149"/>
      <c r="GW606" s="149"/>
      <c r="GX606" s="149"/>
      <c r="GY606" s="149"/>
      <c r="GZ606" s="149"/>
      <c r="HA606" s="149"/>
      <c r="HB606" s="149"/>
      <c r="HC606" s="149"/>
      <c r="HD606" s="149"/>
      <c r="HE606" s="149"/>
      <c r="HF606" s="149"/>
      <c r="HG606" s="149"/>
      <c r="HH606" s="149"/>
      <c r="HI606" s="149"/>
      <c r="HJ606" s="149"/>
      <c r="HK606" s="149"/>
      <c r="HL606" s="149"/>
      <c r="HM606" s="149"/>
      <c r="HN606" s="149"/>
      <c r="HO606" s="149"/>
      <c r="HP606" s="149"/>
      <c r="HQ606" s="149"/>
      <c r="HR606" s="149"/>
      <c r="HS606" s="149"/>
      <c r="HT606" s="149"/>
      <c r="HU606" s="149"/>
      <c r="HV606" s="149"/>
      <c r="HW606" s="149"/>
      <c r="HX606" s="149"/>
      <c r="HY606" s="149"/>
      <c r="HZ606" s="149"/>
      <c r="IA606" s="149"/>
      <c r="IB606" s="149"/>
      <c r="IC606" s="149"/>
      <c r="ID606" s="149"/>
      <c r="IE606" s="149"/>
      <c r="IF606" s="149"/>
      <c r="IG606" s="149"/>
      <c r="IH606" s="149"/>
      <c r="II606" s="149"/>
      <c r="IJ606" s="149"/>
      <c r="IK606" s="149"/>
      <c r="IL606" s="149"/>
      <c r="IM606" s="149"/>
      <c r="IN606" s="149"/>
      <c r="IO606" s="149"/>
      <c r="IP606" s="149"/>
      <c r="IQ606" s="149"/>
      <c r="IR606" s="149"/>
      <c r="IS606" s="149"/>
      <c r="IT606" s="149"/>
      <c r="IU606" s="149"/>
      <c r="IV606" s="149"/>
      <c r="IW606" s="149"/>
    </row>
    <row r="607" spans="1:257">
      <c r="B607" s="135">
        <f t="shared" ref="B607:O607" si="187">SUM(B599:B606)</f>
        <v>1.335</v>
      </c>
      <c r="C607" s="135">
        <f t="shared" si="187"/>
        <v>0</v>
      </c>
      <c r="D607" s="130" t="e">
        <f t="shared" si="187"/>
        <v>#REF!</v>
      </c>
      <c r="E607" s="134" t="e">
        <f t="shared" si="187"/>
        <v>#REF!</v>
      </c>
      <c r="F607" s="130" t="e">
        <f t="shared" si="187"/>
        <v>#REF!</v>
      </c>
      <c r="G607" s="130" t="e">
        <f t="shared" si="187"/>
        <v>#REF!</v>
      </c>
      <c r="H607" s="130" t="e">
        <f t="shared" si="187"/>
        <v>#REF!</v>
      </c>
      <c r="I607" s="130" t="e">
        <f t="shared" si="187"/>
        <v>#REF!</v>
      </c>
      <c r="J607" s="130" t="e">
        <f t="shared" si="187"/>
        <v>#REF!</v>
      </c>
      <c r="K607" s="130" t="e">
        <f t="shared" si="187"/>
        <v>#REF!</v>
      </c>
      <c r="L607" s="130" t="e">
        <f t="shared" si="187"/>
        <v>#REF!</v>
      </c>
      <c r="M607" s="130" t="e">
        <f>SUM(M599:M606)</f>
        <v>#REF!</v>
      </c>
      <c r="N607" s="130" t="e">
        <f t="shared" si="187"/>
        <v>#REF!</v>
      </c>
      <c r="O607" s="130" t="e">
        <f t="shared" si="187"/>
        <v>#REF!</v>
      </c>
    </row>
    <row r="608" spans="1:257">
      <c r="A608" s="143" t="s">
        <v>258</v>
      </c>
      <c r="C608" s="126"/>
      <c r="D608" s="122"/>
      <c r="F608" s="122"/>
      <c r="G608" s="122"/>
      <c r="H608" s="122"/>
      <c r="J608" s="122"/>
      <c r="K608" s="122"/>
      <c r="L608" s="122"/>
      <c r="M608" s="122"/>
      <c r="N608" s="122"/>
      <c r="O608" s="122"/>
    </row>
    <row r="609" spans="1:22">
      <c r="A609" s="120" t="s">
        <v>235</v>
      </c>
      <c r="B609" s="126">
        <f t="shared" ref="B609:O609" si="188">+B232+B236</f>
        <v>28.317378799999968</v>
      </c>
      <c r="C609" s="126">
        <f t="shared" si="188"/>
        <v>5.0320638000002242</v>
      </c>
      <c r="D609" s="122">
        <f t="shared" si="188"/>
        <v>24.352518174999886</v>
      </c>
      <c r="E609" s="124">
        <f t="shared" si="188"/>
        <v>66.034710609249942</v>
      </c>
      <c r="F609" s="122">
        <f t="shared" si="188"/>
        <v>87.931179527812674</v>
      </c>
      <c r="G609" s="122">
        <f t="shared" si="188"/>
        <v>99.276815659886779</v>
      </c>
      <c r="H609" s="122">
        <f t="shared" si="188"/>
        <v>100.22972887993228</v>
      </c>
      <c r="I609" s="122">
        <f t="shared" si="188"/>
        <v>363.19130723512808</v>
      </c>
      <c r="J609" s="122">
        <f t="shared" si="188"/>
        <v>633.52989877979689</v>
      </c>
      <c r="K609" s="122">
        <f t="shared" si="188"/>
        <v>876.67302591656426</v>
      </c>
      <c r="L609" s="122">
        <f t="shared" si="188"/>
        <v>1343.7504607133515</v>
      </c>
      <c r="M609" s="122">
        <f>+M232+M236</f>
        <v>2033.7453156267011</v>
      </c>
      <c r="N609" s="122">
        <f t="shared" si="188"/>
        <v>20</v>
      </c>
      <c r="O609" s="122">
        <f t="shared" si="188"/>
        <v>20</v>
      </c>
    </row>
    <row r="610" spans="1:22">
      <c r="A610" s="120" t="s">
        <v>257</v>
      </c>
      <c r="B610" s="126">
        <f t="shared" ref="B610:O610" si="189">+B264</f>
        <v>0</v>
      </c>
      <c r="C610" s="126">
        <f t="shared" si="189"/>
        <v>0</v>
      </c>
      <c r="D610" s="122">
        <f t="shared" si="189"/>
        <v>0</v>
      </c>
      <c r="E610" s="124">
        <f t="shared" si="189"/>
        <v>0</v>
      </c>
      <c r="F610" s="122">
        <f t="shared" si="189"/>
        <v>0</v>
      </c>
      <c r="G610" s="122">
        <f t="shared" si="189"/>
        <v>0</v>
      </c>
      <c r="H610" s="122">
        <f t="shared" si="189"/>
        <v>0</v>
      </c>
      <c r="I610" s="122">
        <f t="shared" si="189"/>
        <v>0</v>
      </c>
      <c r="J610" s="122">
        <f t="shared" si="189"/>
        <v>0</v>
      </c>
      <c r="K610" s="122">
        <f t="shared" si="189"/>
        <v>0</v>
      </c>
      <c r="L610" s="122">
        <f t="shared" si="189"/>
        <v>0</v>
      </c>
      <c r="M610" s="122">
        <f>+M264</f>
        <v>0</v>
      </c>
      <c r="N610" s="122">
        <f t="shared" si="189"/>
        <v>0</v>
      </c>
      <c r="O610" s="122">
        <f t="shared" si="189"/>
        <v>0</v>
      </c>
    </row>
    <row r="611" spans="1:22">
      <c r="A611" s="120" t="s">
        <v>256</v>
      </c>
      <c r="B611" s="126">
        <f t="shared" ref="B611:O611" si="190">+B266+B235-B606</f>
        <v>3.9535100000000001</v>
      </c>
      <c r="C611" s="126">
        <f t="shared" si="190"/>
        <v>5.5367199999999999</v>
      </c>
      <c r="D611" s="122">
        <f t="shared" si="190"/>
        <v>6</v>
      </c>
      <c r="E611" s="124">
        <f t="shared" si="190"/>
        <v>10</v>
      </c>
      <c r="F611" s="122">
        <f t="shared" si="190"/>
        <v>14</v>
      </c>
      <c r="G611" s="122">
        <f t="shared" si="190"/>
        <v>65</v>
      </c>
      <c r="H611" s="122">
        <f t="shared" si="190"/>
        <v>100</v>
      </c>
      <c r="I611" s="122">
        <f t="shared" si="190"/>
        <v>125</v>
      </c>
      <c r="J611" s="122">
        <f t="shared" si="190"/>
        <v>175</v>
      </c>
      <c r="K611" s="122">
        <f t="shared" si="190"/>
        <v>225</v>
      </c>
      <c r="L611" s="122">
        <f t="shared" si="190"/>
        <v>275</v>
      </c>
      <c r="M611" s="122">
        <f>+M266+M235-M606</f>
        <v>325</v>
      </c>
      <c r="N611" s="122">
        <f t="shared" si="190"/>
        <v>50</v>
      </c>
      <c r="O611" s="122">
        <f t="shared" si="190"/>
        <v>50</v>
      </c>
    </row>
    <row r="612" spans="1:22">
      <c r="B612" s="135">
        <f t="shared" ref="B612:O612" si="191">SUM(B609:B611)</f>
        <v>32.270888799999966</v>
      </c>
      <c r="C612" s="135">
        <f t="shared" si="191"/>
        <v>10.568783800000224</v>
      </c>
      <c r="D612" s="130">
        <f t="shared" si="191"/>
        <v>30.352518174999886</v>
      </c>
      <c r="E612" s="134">
        <f t="shared" si="191"/>
        <v>76.034710609249942</v>
      </c>
      <c r="F612" s="130">
        <f t="shared" si="191"/>
        <v>101.93117952781267</v>
      </c>
      <c r="G612" s="130">
        <f t="shared" si="191"/>
        <v>164.27681565988678</v>
      </c>
      <c r="H612" s="130">
        <f t="shared" si="191"/>
        <v>200.22972887993228</v>
      </c>
      <c r="I612" s="130">
        <f t="shared" si="191"/>
        <v>488.19130723512808</v>
      </c>
      <c r="J612" s="130">
        <f t="shared" si="191"/>
        <v>808.52989877979689</v>
      </c>
      <c r="K612" s="130">
        <f t="shared" si="191"/>
        <v>1101.6730259165643</v>
      </c>
      <c r="L612" s="130">
        <f t="shared" si="191"/>
        <v>1618.7504607133515</v>
      </c>
      <c r="M612" s="130">
        <f>SUM(M609:M611)</f>
        <v>2358.7453156267011</v>
      </c>
      <c r="N612" s="130">
        <f t="shared" si="191"/>
        <v>70</v>
      </c>
      <c r="O612" s="130">
        <f t="shared" si="191"/>
        <v>70</v>
      </c>
    </row>
    <row r="613" spans="1:22">
      <c r="A613" s="143" t="s">
        <v>234</v>
      </c>
      <c r="B613" s="135">
        <f t="shared" ref="B613:O613" si="192">+B607+B612</f>
        <v>33.605888799999967</v>
      </c>
      <c r="C613" s="135">
        <f t="shared" si="192"/>
        <v>10.568783800000224</v>
      </c>
      <c r="D613" s="130" t="e">
        <f t="shared" si="192"/>
        <v>#REF!</v>
      </c>
      <c r="E613" s="134" t="e">
        <f t="shared" si="192"/>
        <v>#REF!</v>
      </c>
      <c r="F613" s="130" t="e">
        <f t="shared" si="192"/>
        <v>#REF!</v>
      </c>
      <c r="G613" s="130" t="e">
        <f t="shared" si="192"/>
        <v>#REF!</v>
      </c>
      <c r="H613" s="130" t="e">
        <f t="shared" si="192"/>
        <v>#REF!</v>
      </c>
      <c r="I613" s="130" t="e">
        <f t="shared" si="192"/>
        <v>#REF!</v>
      </c>
      <c r="J613" s="130" t="e">
        <f t="shared" si="192"/>
        <v>#REF!</v>
      </c>
      <c r="K613" s="130" t="e">
        <f t="shared" si="192"/>
        <v>#REF!</v>
      </c>
      <c r="L613" s="130" t="e">
        <f t="shared" si="192"/>
        <v>#REF!</v>
      </c>
      <c r="M613" s="130" t="e">
        <f>+M607+M612</f>
        <v>#REF!</v>
      </c>
      <c r="N613" s="130" t="e">
        <f t="shared" si="192"/>
        <v>#REF!</v>
      </c>
      <c r="O613" s="130" t="e">
        <f t="shared" si="192"/>
        <v>#REF!</v>
      </c>
      <c r="P613" s="120"/>
      <c r="Q613" s="120"/>
      <c r="R613" s="120"/>
      <c r="S613" s="120"/>
      <c r="T613" s="120"/>
      <c r="U613" s="120"/>
      <c r="V613" s="120"/>
    </row>
    <row r="614" spans="1:22">
      <c r="B614" s="126">
        <f t="shared" ref="B614:O614" si="193">+B268-B613</f>
        <v>-0.66749999999999687</v>
      </c>
      <c r="C614" s="126">
        <f t="shared" si="193"/>
        <v>0</v>
      </c>
      <c r="D614" s="122" t="e">
        <f t="shared" si="193"/>
        <v>#REF!</v>
      </c>
      <c r="E614" s="124" t="e">
        <f t="shared" si="193"/>
        <v>#REF!</v>
      </c>
      <c r="F614" s="122" t="e">
        <f t="shared" si="193"/>
        <v>#REF!</v>
      </c>
      <c r="G614" s="122" t="e">
        <f t="shared" si="193"/>
        <v>#REF!</v>
      </c>
      <c r="H614" s="122" t="e">
        <f t="shared" si="193"/>
        <v>#REF!</v>
      </c>
      <c r="I614" s="122" t="e">
        <f t="shared" si="193"/>
        <v>#REF!</v>
      </c>
      <c r="J614" s="122" t="e">
        <f t="shared" si="193"/>
        <v>#REF!</v>
      </c>
      <c r="K614" s="122" t="e">
        <f t="shared" si="193"/>
        <v>#REF!</v>
      </c>
      <c r="L614" s="122" t="e">
        <f t="shared" si="193"/>
        <v>#REF!</v>
      </c>
      <c r="M614" s="122" t="e">
        <f>+M268-M613</f>
        <v>#REF!</v>
      </c>
      <c r="N614" s="122" t="e">
        <f t="shared" si="193"/>
        <v>#REF!</v>
      </c>
      <c r="O614" s="122" t="e">
        <f t="shared" si="193"/>
        <v>#REF!</v>
      </c>
      <c r="P614" s="120"/>
      <c r="Q614" s="120"/>
      <c r="R614" s="120"/>
      <c r="S614" s="120"/>
      <c r="T614" s="120"/>
      <c r="U614" s="120"/>
      <c r="V614" s="120"/>
    </row>
    <row r="615" spans="1:22">
      <c r="A615" s="143" t="s">
        <v>15</v>
      </c>
      <c r="C615" s="126"/>
      <c r="D615" s="122"/>
      <c r="F615" s="122"/>
      <c r="G615" s="122"/>
      <c r="H615" s="122"/>
      <c r="J615" s="122"/>
      <c r="K615" s="122"/>
      <c r="L615" s="122"/>
      <c r="M615" s="122"/>
      <c r="N615" s="122"/>
      <c r="O615" s="122"/>
      <c r="P615" s="120"/>
      <c r="Q615" s="120"/>
      <c r="R615" s="120"/>
      <c r="S615" s="120"/>
      <c r="T615" s="120"/>
      <c r="U615" s="120"/>
      <c r="V615" s="120"/>
    </row>
    <row r="616" spans="1:22">
      <c r="A616" s="120" t="s">
        <v>14</v>
      </c>
      <c r="B616" s="126">
        <f t="shared" ref="B616:O616" si="194">(+B583+B584)*B596</f>
        <v>31.304237300000004</v>
      </c>
      <c r="C616" s="126">
        <f t="shared" si="194"/>
        <v>25.9422566</v>
      </c>
      <c r="D616" s="122" t="e">
        <f t="shared" si="194"/>
        <v>#REF!</v>
      </c>
      <c r="E616" s="124" t="e">
        <f t="shared" si="194"/>
        <v>#REF!</v>
      </c>
      <c r="F616" s="122" t="e">
        <f t="shared" si="194"/>
        <v>#REF!</v>
      </c>
      <c r="G616" s="122" t="e">
        <f t="shared" si="194"/>
        <v>#REF!</v>
      </c>
      <c r="H616" s="122" t="e">
        <f t="shared" si="194"/>
        <v>#REF!</v>
      </c>
      <c r="I616" s="122" t="e">
        <f t="shared" si="194"/>
        <v>#REF!</v>
      </c>
      <c r="J616" s="122" t="e">
        <f t="shared" si="194"/>
        <v>#REF!</v>
      </c>
      <c r="K616" s="122" t="e">
        <f t="shared" si="194"/>
        <v>#REF!</v>
      </c>
      <c r="L616" s="122" t="e">
        <f t="shared" si="194"/>
        <v>#REF!</v>
      </c>
      <c r="M616" s="122" t="e">
        <f>(+M583+M584)*M596</f>
        <v>#REF!</v>
      </c>
      <c r="N616" s="122" t="e">
        <f t="shared" si="194"/>
        <v>#REF!</v>
      </c>
      <c r="O616" s="122" t="e">
        <f t="shared" si="194"/>
        <v>#REF!</v>
      </c>
      <c r="P616" s="120"/>
      <c r="Q616" s="120"/>
      <c r="R616" s="120"/>
      <c r="S616" s="120"/>
      <c r="T616" s="120"/>
      <c r="U616" s="120"/>
      <c r="V616" s="120"/>
    </row>
    <row r="617" spans="1:22">
      <c r="A617" s="147" t="s">
        <v>255</v>
      </c>
      <c r="B617" s="126">
        <f>+B147</f>
        <v>0</v>
      </c>
      <c r="C617" s="126">
        <f>+C147</f>
        <v>0</v>
      </c>
      <c r="D617" s="122">
        <f>+D147</f>
        <v>0</v>
      </c>
      <c r="E617" s="124">
        <f t="shared" ref="E617:O617" si="195">+E162</f>
        <v>0</v>
      </c>
      <c r="F617" s="122">
        <f t="shared" si="195"/>
        <v>0</v>
      </c>
      <c r="G617" s="122">
        <f t="shared" si="195"/>
        <v>0</v>
      </c>
      <c r="H617" s="122">
        <f t="shared" si="195"/>
        <v>0</v>
      </c>
      <c r="I617" s="122">
        <f t="shared" si="195"/>
        <v>0</v>
      </c>
      <c r="J617" s="122">
        <f t="shared" si="195"/>
        <v>0</v>
      </c>
      <c r="K617" s="122">
        <f t="shared" si="195"/>
        <v>0</v>
      </c>
      <c r="L617" s="122">
        <f t="shared" si="195"/>
        <v>0</v>
      </c>
      <c r="M617" s="122">
        <f>+M162</f>
        <v>0</v>
      </c>
      <c r="N617" s="122">
        <f t="shared" si="195"/>
        <v>0</v>
      </c>
      <c r="O617" s="122">
        <f t="shared" si="195"/>
        <v>0</v>
      </c>
      <c r="P617" s="120"/>
      <c r="Q617" s="120"/>
      <c r="R617" s="120"/>
      <c r="S617" s="120"/>
      <c r="T617" s="120"/>
      <c r="U617" s="120"/>
      <c r="V617" s="120"/>
    </row>
    <row r="618" spans="1:22">
      <c r="A618" s="147" t="s">
        <v>254</v>
      </c>
      <c r="B618" s="126">
        <f t="shared" ref="B618:O618" si="196">+B151</f>
        <v>0</v>
      </c>
      <c r="C618" s="126">
        <f t="shared" si="196"/>
        <v>0</v>
      </c>
      <c r="D618" s="122">
        <f t="shared" si="196"/>
        <v>0</v>
      </c>
      <c r="E618" s="124">
        <f t="shared" si="196"/>
        <v>0</v>
      </c>
      <c r="F618" s="122">
        <f t="shared" si="196"/>
        <v>0</v>
      </c>
      <c r="G618" s="122">
        <f t="shared" si="196"/>
        <v>0</v>
      </c>
      <c r="H618" s="122">
        <f t="shared" si="196"/>
        <v>0</v>
      </c>
      <c r="I618" s="122">
        <f t="shared" si="196"/>
        <v>0</v>
      </c>
      <c r="J618" s="122">
        <f t="shared" si="196"/>
        <v>0</v>
      </c>
      <c r="K618" s="122">
        <f t="shared" si="196"/>
        <v>0</v>
      </c>
      <c r="L618" s="122">
        <f t="shared" si="196"/>
        <v>0</v>
      </c>
      <c r="M618" s="122">
        <f>+M151</f>
        <v>0</v>
      </c>
      <c r="N618" s="122">
        <f t="shared" si="196"/>
        <v>10</v>
      </c>
      <c r="O618" s="122">
        <f t="shared" si="196"/>
        <v>10</v>
      </c>
      <c r="P618" s="120"/>
      <c r="Q618" s="120"/>
      <c r="R618" s="120"/>
      <c r="S618" s="120"/>
      <c r="T618" s="120"/>
      <c r="U618" s="120"/>
      <c r="V618" s="120"/>
    </row>
    <row r="619" spans="1:22">
      <c r="A619" s="147" t="s">
        <v>253</v>
      </c>
      <c r="B619" s="126">
        <f t="shared" ref="B619:O619" si="197">+B401+B414-B617</f>
        <v>85.742379999999997</v>
      </c>
      <c r="C619" s="126">
        <f t="shared" si="197"/>
        <v>81.024519999999995</v>
      </c>
      <c r="D619" s="122" t="e">
        <f t="shared" si="197"/>
        <v>#REF!</v>
      </c>
      <c r="E619" s="124" t="e">
        <f t="shared" si="197"/>
        <v>#REF!</v>
      </c>
      <c r="F619" s="122" t="e">
        <f t="shared" si="197"/>
        <v>#REF!</v>
      </c>
      <c r="G619" s="122" t="e">
        <f t="shared" si="197"/>
        <v>#REF!</v>
      </c>
      <c r="H619" s="122" t="e">
        <f t="shared" si="197"/>
        <v>#REF!</v>
      </c>
      <c r="I619" s="122" t="e">
        <f t="shared" si="197"/>
        <v>#REF!</v>
      </c>
      <c r="J619" s="122" t="e">
        <f t="shared" si="197"/>
        <v>#REF!</v>
      </c>
      <c r="K619" s="122" t="e">
        <f t="shared" si="197"/>
        <v>#REF!</v>
      </c>
      <c r="L619" s="122" t="e">
        <f t="shared" si="197"/>
        <v>#REF!</v>
      </c>
      <c r="M619" s="122" t="e">
        <f>+M401+M414-M617</f>
        <v>#REF!</v>
      </c>
      <c r="N619" s="122">
        <f t="shared" si="197"/>
        <v>100</v>
      </c>
      <c r="O619" s="122">
        <f t="shared" si="197"/>
        <v>100</v>
      </c>
      <c r="P619" s="120"/>
      <c r="Q619" s="120"/>
      <c r="R619" s="120"/>
      <c r="S619" s="120"/>
      <c r="T619" s="120"/>
      <c r="U619" s="120"/>
      <c r="V619" s="120"/>
    </row>
    <row r="620" spans="1:22">
      <c r="A620" s="143" t="s">
        <v>252</v>
      </c>
      <c r="B620" s="135">
        <f t="shared" ref="B620:O620" si="198">SUM(B616:B619)</f>
        <v>117.04661730000001</v>
      </c>
      <c r="C620" s="135">
        <f t="shared" si="198"/>
        <v>106.9667766</v>
      </c>
      <c r="D620" s="130" t="e">
        <f t="shared" si="198"/>
        <v>#REF!</v>
      </c>
      <c r="E620" s="134" t="e">
        <f t="shared" si="198"/>
        <v>#REF!</v>
      </c>
      <c r="F620" s="130" t="e">
        <f t="shared" si="198"/>
        <v>#REF!</v>
      </c>
      <c r="G620" s="130" t="e">
        <f t="shared" si="198"/>
        <v>#REF!</v>
      </c>
      <c r="H620" s="130" t="e">
        <f t="shared" si="198"/>
        <v>#REF!</v>
      </c>
      <c r="I620" s="130" t="e">
        <f t="shared" si="198"/>
        <v>#REF!</v>
      </c>
      <c r="J620" s="130" t="e">
        <f t="shared" si="198"/>
        <v>#REF!</v>
      </c>
      <c r="K620" s="130" t="e">
        <f t="shared" si="198"/>
        <v>#REF!</v>
      </c>
      <c r="L620" s="130" t="e">
        <f t="shared" si="198"/>
        <v>#REF!</v>
      </c>
      <c r="M620" s="130" t="e">
        <f>SUM(M616:M619)</f>
        <v>#REF!</v>
      </c>
      <c r="N620" s="130" t="e">
        <f t="shared" si="198"/>
        <v>#REF!</v>
      </c>
      <c r="O620" s="130" t="e">
        <f t="shared" si="198"/>
        <v>#REF!</v>
      </c>
      <c r="P620" s="120"/>
      <c r="Q620" s="120"/>
      <c r="R620" s="120"/>
      <c r="S620" s="120"/>
      <c r="T620" s="120"/>
      <c r="U620" s="120"/>
      <c r="V620" s="120"/>
    </row>
    <row r="621" spans="1:22">
      <c r="C621" s="126"/>
      <c r="D621" s="122"/>
      <c r="F621" s="122"/>
      <c r="G621" s="122"/>
      <c r="H621" s="122"/>
      <c r="J621" s="122"/>
      <c r="K621" s="122"/>
      <c r="L621" s="122"/>
      <c r="M621" s="122"/>
      <c r="N621" s="122"/>
      <c r="O621" s="122"/>
      <c r="P621" s="120"/>
      <c r="Q621" s="120"/>
      <c r="R621" s="120"/>
      <c r="S621" s="120"/>
      <c r="T621" s="120"/>
      <c r="U621" s="120"/>
      <c r="V621" s="120"/>
    </row>
    <row r="622" spans="1:22">
      <c r="A622" s="143" t="s">
        <v>251</v>
      </c>
      <c r="B622" s="135">
        <f t="shared" ref="B622:O622" si="199">+B613-B620</f>
        <v>-83.440728500000034</v>
      </c>
      <c r="C622" s="135">
        <f t="shared" si="199"/>
        <v>-96.397992799999784</v>
      </c>
      <c r="D622" s="130" t="e">
        <f t="shared" si="199"/>
        <v>#REF!</v>
      </c>
      <c r="E622" s="134" t="e">
        <f t="shared" si="199"/>
        <v>#REF!</v>
      </c>
      <c r="F622" s="130" t="e">
        <f t="shared" si="199"/>
        <v>#REF!</v>
      </c>
      <c r="G622" s="130" t="e">
        <f t="shared" si="199"/>
        <v>#REF!</v>
      </c>
      <c r="H622" s="130" t="e">
        <f t="shared" si="199"/>
        <v>#REF!</v>
      </c>
      <c r="I622" s="130" t="e">
        <f t="shared" si="199"/>
        <v>#REF!</v>
      </c>
      <c r="J622" s="130" t="e">
        <f t="shared" si="199"/>
        <v>#REF!</v>
      </c>
      <c r="K622" s="130" t="e">
        <f t="shared" si="199"/>
        <v>#REF!</v>
      </c>
      <c r="L622" s="130" t="e">
        <f t="shared" si="199"/>
        <v>#REF!</v>
      </c>
      <c r="M622" s="130" t="e">
        <f>+M613-M620</f>
        <v>#REF!</v>
      </c>
      <c r="N622" s="130" t="e">
        <f t="shared" si="199"/>
        <v>#REF!</v>
      </c>
      <c r="O622" s="130" t="e">
        <f t="shared" si="199"/>
        <v>#REF!</v>
      </c>
      <c r="P622" s="120"/>
      <c r="Q622" s="120"/>
      <c r="R622" s="120"/>
      <c r="S622" s="120"/>
      <c r="T622" s="120"/>
      <c r="U622" s="120"/>
      <c r="V622" s="120"/>
    </row>
    <row r="623" spans="1:22">
      <c r="C623" s="126"/>
      <c r="D623" s="122"/>
      <c r="F623" s="122"/>
      <c r="G623" s="122"/>
      <c r="H623" s="122"/>
      <c r="J623" s="122"/>
      <c r="K623" s="122"/>
      <c r="L623" s="122"/>
      <c r="M623" s="122"/>
      <c r="N623" s="122"/>
      <c r="O623" s="122"/>
      <c r="P623" s="120"/>
      <c r="Q623" s="120"/>
      <c r="R623" s="120"/>
      <c r="S623" s="120"/>
      <c r="T623" s="120"/>
      <c r="U623" s="120"/>
      <c r="V623" s="120"/>
    </row>
    <row r="624" spans="1:22">
      <c r="A624" s="143" t="s">
        <v>250</v>
      </c>
      <c r="B624" s="126">
        <f t="shared" ref="B624:O624" si="200">(+B613-B603)/4</f>
        <v>8.4014721999999917</v>
      </c>
      <c r="C624" s="126">
        <f t="shared" si="200"/>
        <v>2.642195950000056</v>
      </c>
      <c r="D624" s="122" t="e">
        <f t="shared" si="200"/>
        <v>#REF!</v>
      </c>
      <c r="E624" s="124" t="e">
        <f t="shared" si="200"/>
        <v>#REF!</v>
      </c>
      <c r="F624" s="122" t="e">
        <f t="shared" si="200"/>
        <v>#REF!</v>
      </c>
      <c r="G624" s="122" t="e">
        <f t="shared" si="200"/>
        <v>#REF!</v>
      </c>
      <c r="H624" s="122" t="e">
        <f t="shared" si="200"/>
        <v>#REF!</v>
      </c>
      <c r="I624" s="122" t="e">
        <f t="shared" si="200"/>
        <v>#REF!</v>
      </c>
      <c r="J624" s="122" t="e">
        <f t="shared" si="200"/>
        <v>#REF!</v>
      </c>
      <c r="K624" s="122" t="e">
        <f t="shared" si="200"/>
        <v>#REF!</v>
      </c>
      <c r="L624" s="122" t="e">
        <f t="shared" si="200"/>
        <v>#REF!</v>
      </c>
      <c r="M624" s="122" t="e">
        <f>(+M613-M603)/4</f>
        <v>#REF!</v>
      </c>
      <c r="N624" s="122" t="e">
        <f t="shared" si="200"/>
        <v>#REF!</v>
      </c>
      <c r="O624" s="122" t="e">
        <f t="shared" si="200"/>
        <v>#REF!</v>
      </c>
      <c r="P624" s="120"/>
      <c r="Q624" s="120"/>
      <c r="R624" s="120"/>
      <c r="S624" s="120"/>
      <c r="T624" s="120"/>
      <c r="U624" s="120"/>
      <c r="V624" s="120"/>
    </row>
    <row r="625" spans="1:22">
      <c r="A625" s="143" t="s">
        <v>249</v>
      </c>
      <c r="B625" s="126">
        <f t="shared" ref="B625:O625" si="201">+B308</f>
        <v>-84.108228500000024</v>
      </c>
      <c r="C625" s="126">
        <f t="shared" si="201"/>
        <v>-162.31475279999978</v>
      </c>
      <c r="D625" s="122" t="e">
        <f t="shared" si="201"/>
        <v>#REF!</v>
      </c>
      <c r="E625" s="124" t="e">
        <f t="shared" si="201"/>
        <v>#REF!</v>
      </c>
      <c r="F625" s="122" t="e">
        <f t="shared" si="201"/>
        <v>#REF!</v>
      </c>
      <c r="G625" s="122" t="e">
        <f t="shared" si="201"/>
        <v>#REF!</v>
      </c>
      <c r="H625" s="122" t="e">
        <f t="shared" si="201"/>
        <v>#REF!</v>
      </c>
      <c r="I625" s="122" t="e">
        <f t="shared" si="201"/>
        <v>#REF!</v>
      </c>
      <c r="J625" s="122" t="e">
        <f t="shared" si="201"/>
        <v>#REF!</v>
      </c>
      <c r="K625" s="122" t="e">
        <f t="shared" si="201"/>
        <v>#REF!</v>
      </c>
      <c r="L625" s="122" t="e">
        <f t="shared" si="201"/>
        <v>#REF!</v>
      </c>
      <c r="M625" s="122" t="e">
        <f>+M308</f>
        <v>#REF!</v>
      </c>
      <c r="N625" s="122" t="e">
        <f t="shared" si="201"/>
        <v>#REF!</v>
      </c>
      <c r="O625" s="122" t="e">
        <f t="shared" si="201"/>
        <v>#REF!</v>
      </c>
      <c r="P625" s="120"/>
      <c r="Q625" s="120"/>
      <c r="R625" s="120"/>
      <c r="S625" s="120"/>
      <c r="T625" s="120"/>
      <c r="U625" s="120"/>
      <c r="V625" s="120"/>
    </row>
    <row r="626" spans="1:22">
      <c r="C626" s="126"/>
      <c r="D626" s="122"/>
      <c r="F626" s="122"/>
      <c r="G626" s="122"/>
      <c r="H626" s="122"/>
      <c r="J626" s="122"/>
      <c r="K626" s="122"/>
      <c r="L626" s="122"/>
      <c r="M626" s="122"/>
      <c r="N626" s="122"/>
      <c r="O626" s="122"/>
      <c r="P626" s="120"/>
      <c r="Q626" s="120"/>
      <c r="R626" s="120"/>
      <c r="S626" s="120"/>
      <c r="T626" s="120"/>
      <c r="U626" s="120"/>
      <c r="V626" s="120"/>
    </row>
    <row r="627" spans="1:22">
      <c r="A627" s="143" t="s">
        <v>248</v>
      </c>
      <c r="B627" s="126">
        <f t="shared" ref="B627:O627" si="202">+B622-B624</f>
        <v>-91.842200700000021</v>
      </c>
      <c r="C627" s="126">
        <f t="shared" si="202"/>
        <v>-99.040188749999842</v>
      </c>
      <c r="D627" s="122" t="e">
        <f t="shared" si="202"/>
        <v>#REF!</v>
      </c>
      <c r="E627" s="124" t="e">
        <f t="shared" si="202"/>
        <v>#REF!</v>
      </c>
      <c r="F627" s="122" t="e">
        <f t="shared" si="202"/>
        <v>#REF!</v>
      </c>
      <c r="G627" s="122" t="e">
        <f t="shared" si="202"/>
        <v>#REF!</v>
      </c>
      <c r="H627" s="122" t="e">
        <f t="shared" si="202"/>
        <v>#REF!</v>
      </c>
      <c r="I627" s="122" t="e">
        <f t="shared" si="202"/>
        <v>#REF!</v>
      </c>
      <c r="J627" s="122" t="e">
        <f t="shared" si="202"/>
        <v>#REF!</v>
      </c>
      <c r="K627" s="122" t="e">
        <f t="shared" si="202"/>
        <v>#REF!</v>
      </c>
      <c r="L627" s="122" t="e">
        <f t="shared" si="202"/>
        <v>#REF!</v>
      </c>
      <c r="M627" s="122" t="e">
        <f>+M622-M624</f>
        <v>#REF!</v>
      </c>
      <c r="N627" s="122" t="e">
        <f t="shared" si="202"/>
        <v>#REF!</v>
      </c>
      <c r="O627" s="122" t="e">
        <f t="shared" si="202"/>
        <v>#REF!</v>
      </c>
      <c r="P627" s="120"/>
      <c r="Q627" s="120"/>
      <c r="R627" s="120"/>
      <c r="S627" s="120"/>
      <c r="T627" s="120"/>
      <c r="U627" s="120"/>
      <c r="V627" s="120"/>
    </row>
    <row r="628" spans="1:22">
      <c r="A628" s="143" t="s">
        <v>247</v>
      </c>
      <c r="B628" s="126">
        <f t="shared" ref="B628:O628" si="203">+B622-B625</f>
        <v>0.66749999999998977</v>
      </c>
      <c r="C628" s="126">
        <f t="shared" si="203"/>
        <v>65.916759999999996</v>
      </c>
      <c r="D628" s="122" t="e">
        <f t="shared" si="203"/>
        <v>#REF!</v>
      </c>
      <c r="E628" s="124" t="e">
        <f t="shared" si="203"/>
        <v>#REF!</v>
      </c>
      <c r="F628" s="122" t="e">
        <f t="shared" si="203"/>
        <v>#REF!</v>
      </c>
      <c r="G628" s="122" t="e">
        <f t="shared" si="203"/>
        <v>#REF!</v>
      </c>
      <c r="H628" s="122" t="e">
        <f t="shared" si="203"/>
        <v>#REF!</v>
      </c>
      <c r="I628" s="122" t="e">
        <f t="shared" si="203"/>
        <v>#REF!</v>
      </c>
      <c r="J628" s="122" t="e">
        <f t="shared" si="203"/>
        <v>#REF!</v>
      </c>
      <c r="K628" s="122" t="e">
        <f t="shared" si="203"/>
        <v>#REF!</v>
      </c>
      <c r="L628" s="122" t="e">
        <f t="shared" si="203"/>
        <v>#REF!</v>
      </c>
      <c r="M628" s="122" t="e">
        <f>+M622-M625</f>
        <v>#REF!</v>
      </c>
      <c r="N628" s="122" t="e">
        <f t="shared" si="203"/>
        <v>#REF!</v>
      </c>
      <c r="O628" s="122" t="e">
        <f t="shared" si="203"/>
        <v>#REF!</v>
      </c>
      <c r="P628" s="120"/>
      <c r="Q628" s="120"/>
      <c r="R628" s="120"/>
      <c r="S628" s="120"/>
      <c r="T628" s="120"/>
      <c r="U628" s="120"/>
      <c r="V628" s="120"/>
    </row>
    <row r="629" spans="1:22">
      <c r="C629" s="126"/>
      <c r="D629" s="122"/>
      <c r="F629" s="122"/>
      <c r="G629" s="122"/>
      <c r="H629" s="122"/>
      <c r="J629" s="122"/>
      <c r="K629" s="122"/>
      <c r="L629" s="122"/>
      <c r="M629" s="122"/>
      <c r="N629" s="122"/>
      <c r="O629" s="122"/>
      <c r="P629" s="120"/>
      <c r="Q629" s="120"/>
      <c r="R629" s="120"/>
      <c r="S629" s="120"/>
      <c r="T629" s="120"/>
      <c r="U629" s="120"/>
      <c r="V629" s="120"/>
    </row>
    <row r="630" spans="1:22">
      <c r="A630" s="143" t="s">
        <v>246</v>
      </c>
      <c r="B630" s="126">
        <f t="shared" ref="B630:O630" si="204">+MIN(B627:B628)</f>
        <v>-91.842200700000021</v>
      </c>
      <c r="C630" s="126">
        <f t="shared" si="204"/>
        <v>-99.040188749999842</v>
      </c>
      <c r="D630" s="122" t="e">
        <f t="shared" si="204"/>
        <v>#REF!</v>
      </c>
      <c r="E630" s="124" t="e">
        <f t="shared" si="204"/>
        <v>#REF!</v>
      </c>
      <c r="F630" s="122" t="e">
        <f t="shared" si="204"/>
        <v>#REF!</v>
      </c>
      <c r="G630" s="122" t="e">
        <f t="shared" si="204"/>
        <v>#REF!</v>
      </c>
      <c r="H630" s="122" t="e">
        <f t="shared" si="204"/>
        <v>#REF!</v>
      </c>
      <c r="I630" s="122" t="e">
        <f t="shared" si="204"/>
        <v>#REF!</v>
      </c>
      <c r="J630" s="122" t="e">
        <f t="shared" si="204"/>
        <v>#REF!</v>
      </c>
      <c r="K630" s="122" t="e">
        <f t="shared" si="204"/>
        <v>#REF!</v>
      </c>
      <c r="L630" s="122" t="e">
        <f t="shared" si="204"/>
        <v>#REF!</v>
      </c>
      <c r="M630" s="122" t="e">
        <f>+MIN(M627:M628)</f>
        <v>#REF!</v>
      </c>
      <c r="N630" s="122" t="e">
        <f t="shared" si="204"/>
        <v>#REF!</v>
      </c>
      <c r="O630" s="122" t="e">
        <f t="shared" si="204"/>
        <v>#REF!</v>
      </c>
      <c r="P630" s="120"/>
      <c r="Q630" s="120"/>
      <c r="R630" s="120"/>
      <c r="S630" s="120"/>
      <c r="T630" s="120"/>
      <c r="U630" s="120"/>
      <c r="V630" s="120"/>
    </row>
    <row r="631" spans="1:22">
      <c r="C631" s="126"/>
      <c r="D631" s="122"/>
      <c r="F631" s="122"/>
      <c r="G631" s="122"/>
      <c r="H631" s="122"/>
      <c r="J631" s="122"/>
      <c r="K631" s="122"/>
      <c r="L631" s="122"/>
      <c r="M631" s="122"/>
      <c r="N631" s="122"/>
      <c r="O631" s="122"/>
      <c r="P631" s="120"/>
      <c r="Q631" s="120"/>
      <c r="R631" s="120"/>
      <c r="S631" s="120"/>
      <c r="T631" s="120"/>
      <c r="U631" s="120"/>
      <c r="V631" s="120"/>
    </row>
    <row r="632" spans="1:22">
      <c r="B632" s="126">
        <f t="shared" ref="B632:O632" si="205">+B138</f>
        <v>0</v>
      </c>
      <c r="C632" s="126">
        <f t="shared" si="205"/>
        <v>0</v>
      </c>
      <c r="D632" s="126">
        <f t="shared" si="205"/>
        <v>0</v>
      </c>
      <c r="E632" s="126">
        <f t="shared" si="205"/>
        <v>0</v>
      </c>
      <c r="F632" s="126">
        <f t="shared" si="205"/>
        <v>0</v>
      </c>
      <c r="G632" s="126">
        <f t="shared" si="205"/>
        <v>0</v>
      </c>
      <c r="H632" s="126">
        <f t="shared" si="205"/>
        <v>0</v>
      </c>
      <c r="I632" s="122">
        <f t="shared" si="205"/>
        <v>0</v>
      </c>
      <c r="J632" s="122">
        <f t="shared" si="205"/>
        <v>0</v>
      </c>
      <c r="K632" s="122">
        <f t="shared" si="205"/>
        <v>0</v>
      </c>
      <c r="L632" s="122">
        <f t="shared" si="205"/>
        <v>0</v>
      </c>
      <c r="M632" s="122">
        <f>+M138</f>
        <v>0</v>
      </c>
      <c r="N632" s="126" t="e">
        <f t="shared" si="205"/>
        <v>#REF!</v>
      </c>
      <c r="O632" s="126">
        <f t="shared" si="205"/>
        <v>1000</v>
      </c>
      <c r="P632" s="120"/>
      <c r="Q632" s="120"/>
      <c r="R632" s="120"/>
      <c r="S632" s="120"/>
      <c r="T632" s="120"/>
      <c r="U632" s="120"/>
      <c r="V632" s="120"/>
    </row>
    <row r="633" spans="1:22">
      <c r="C633" s="126"/>
      <c r="D633" s="122"/>
      <c r="F633" s="122"/>
      <c r="G633" s="121"/>
      <c r="H633" s="121"/>
      <c r="P633" s="120"/>
      <c r="Q633" s="120"/>
      <c r="R633" s="120"/>
      <c r="S633" s="120"/>
      <c r="T633" s="120"/>
      <c r="U633" s="120"/>
      <c r="V633" s="120"/>
    </row>
    <row r="634" spans="1:22">
      <c r="B634" s="120"/>
      <c r="C634" s="120"/>
      <c r="D634" s="121"/>
      <c r="E634" s="127"/>
      <c r="F634" s="121"/>
      <c r="G634" s="121"/>
      <c r="H634" s="121"/>
      <c r="P634" s="120"/>
      <c r="Q634" s="120"/>
      <c r="R634" s="120"/>
      <c r="S634" s="120"/>
      <c r="T634" s="120"/>
      <c r="U634" s="120"/>
      <c r="V634" s="120"/>
    </row>
    <row r="635" spans="1:22">
      <c r="B635" s="120"/>
      <c r="C635" s="120"/>
      <c r="D635" s="121"/>
      <c r="E635" s="127"/>
      <c r="F635" s="121"/>
      <c r="G635" s="121"/>
      <c r="H635" s="121"/>
      <c r="P635" s="120"/>
      <c r="Q635" s="120"/>
      <c r="R635" s="120"/>
      <c r="S635" s="120"/>
      <c r="T635" s="120"/>
      <c r="U635" s="120"/>
      <c r="V635" s="120"/>
    </row>
    <row r="636" spans="1:22">
      <c r="B636" s="120"/>
      <c r="C636" s="120"/>
      <c r="D636" s="121"/>
      <c r="E636" s="127"/>
      <c r="F636" s="121"/>
      <c r="G636" s="121"/>
      <c r="H636" s="121"/>
      <c r="P636" s="120"/>
      <c r="Q636" s="120"/>
      <c r="R636" s="120"/>
      <c r="S636" s="120"/>
      <c r="T636" s="120"/>
      <c r="U636" s="120"/>
      <c r="V636" s="120"/>
    </row>
    <row r="637" spans="1:22">
      <c r="B637" s="120"/>
      <c r="C637" s="120"/>
      <c r="D637" s="121"/>
      <c r="E637" s="127"/>
      <c r="F637" s="121"/>
      <c r="G637" s="121"/>
      <c r="H637" s="121"/>
      <c r="P637" s="120"/>
      <c r="Q637" s="120"/>
      <c r="R637" s="120"/>
      <c r="S637" s="120"/>
      <c r="T637" s="120"/>
      <c r="U637" s="120"/>
      <c r="V637" s="120"/>
    </row>
    <row r="638" spans="1:22">
      <c r="C638" s="120"/>
      <c r="D638" s="122"/>
      <c r="F638" s="122"/>
      <c r="G638" s="121"/>
      <c r="H638" s="121"/>
      <c r="J638" s="122"/>
      <c r="P638" s="120"/>
      <c r="Q638" s="120"/>
      <c r="R638" s="120"/>
      <c r="S638" s="120"/>
      <c r="T638" s="120"/>
      <c r="U638" s="120"/>
      <c r="V638" s="120"/>
    </row>
    <row r="639" spans="1:22">
      <c r="C639" s="120"/>
      <c r="D639" s="122"/>
      <c r="F639" s="122"/>
      <c r="G639" s="121"/>
      <c r="H639" s="121"/>
      <c r="J639" s="122"/>
      <c r="P639" s="120"/>
      <c r="Q639" s="120"/>
      <c r="R639" s="120"/>
      <c r="S639" s="120"/>
      <c r="T639" s="120"/>
      <c r="U639" s="120"/>
      <c r="V639" s="120"/>
    </row>
    <row r="640" spans="1:22">
      <c r="C640" s="146"/>
      <c r="D640" s="122"/>
      <c r="F640" s="122"/>
      <c r="G640" s="121"/>
      <c r="H640" s="121"/>
      <c r="J640" s="122"/>
      <c r="P640" s="120"/>
      <c r="Q640" s="120"/>
      <c r="R640" s="120"/>
      <c r="S640" s="120"/>
      <c r="T640" s="120"/>
      <c r="U640" s="120"/>
      <c r="V640" s="120"/>
    </row>
    <row r="641" spans="2:22">
      <c r="C641" s="145"/>
      <c r="D641" s="122"/>
      <c r="F641" s="122"/>
      <c r="G641" s="121"/>
      <c r="H641" s="121"/>
      <c r="J641" s="122"/>
      <c r="P641" s="120"/>
      <c r="Q641" s="120"/>
      <c r="R641" s="120"/>
      <c r="S641" s="120"/>
      <c r="T641" s="120"/>
      <c r="U641" s="120"/>
      <c r="V641" s="120"/>
    </row>
    <row r="642" spans="2:22">
      <c r="B642" s="144"/>
      <c r="C642" s="145"/>
      <c r="D642" s="122"/>
      <c r="F642" s="122"/>
      <c r="G642" s="121"/>
      <c r="H642" s="121"/>
      <c r="J642" s="122"/>
      <c r="P642" s="120"/>
      <c r="Q642" s="120"/>
      <c r="R642" s="120"/>
      <c r="S642" s="120"/>
      <c r="T642" s="120"/>
      <c r="U642" s="120"/>
      <c r="V642" s="120"/>
    </row>
    <row r="643" spans="2:22">
      <c r="B643" s="120"/>
      <c r="C643" s="120"/>
      <c r="D643" s="127"/>
      <c r="E643" s="129"/>
      <c r="F643" s="127"/>
      <c r="G643" s="121"/>
      <c r="H643" s="121"/>
      <c r="I643" s="134"/>
      <c r="J643" s="134"/>
      <c r="K643" s="134"/>
      <c r="L643" s="134"/>
      <c r="M643" s="134"/>
      <c r="N643" s="134"/>
      <c r="O643" s="134"/>
      <c r="P643" s="120"/>
      <c r="Q643" s="120"/>
      <c r="R643" s="120"/>
      <c r="S643" s="120"/>
      <c r="T643" s="120"/>
      <c r="U643" s="120"/>
      <c r="V643" s="120"/>
    </row>
    <row r="644" spans="2:22">
      <c r="C644" s="126"/>
      <c r="D644" s="122"/>
      <c r="F644" s="122"/>
      <c r="I644" s="134"/>
      <c r="J644" s="134"/>
      <c r="K644" s="134"/>
      <c r="L644" s="134"/>
      <c r="M644" s="134"/>
      <c r="N644" s="134"/>
      <c r="O644" s="134"/>
      <c r="P644" s="120"/>
      <c r="Q644" s="120"/>
      <c r="R644" s="120"/>
      <c r="S644" s="120"/>
      <c r="T644" s="120"/>
      <c r="U644" s="120"/>
      <c r="V644" s="120"/>
    </row>
    <row r="645" spans="2:22">
      <c r="B645" s="120"/>
      <c r="C645" s="126"/>
      <c r="D645" s="122"/>
      <c r="F645" s="121"/>
      <c r="H645" s="122"/>
      <c r="J645" s="122"/>
      <c r="K645" s="122"/>
      <c r="L645" s="122"/>
      <c r="M645" s="122"/>
      <c r="N645" s="122"/>
      <c r="O645" s="122"/>
      <c r="P645" s="122"/>
      <c r="R645" s="120"/>
      <c r="S645" s="120"/>
      <c r="T645" s="120"/>
      <c r="U645" s="120"/>
      <c r="V645" s="120"/>
    </row>
    <row r="646" spans="2:22">
      <c r="B646" s="120"/>
      <c r="C646" s="126"/>
      <c r="D646" s="122"/>
      <c r="F646" s="121"/>
      <c r="J646" s="122"/>
      <c r="K646" s="122"/>
      <c r="L646" s="122"/>
      <c r="M646" s="122"/>
      <c r="N646" s="122"/>
      <c r="O646" s="122"/>
      <c r="P646" s="122"/>
      <c r="R646" s="120"/>
      <c r="S646" s="120"/>
      <c r="T646" s="120"/>
      <c r="U646" s="120"/>
      <c r="V646" s="120"/>
    </row>
    <row r="647" spans="2:22">
      <c r="B647" s="120"/>
      <c r="C647" s="126"/>
      <c r="D647" s="122"/>
      <c r="F647" s="121"/>
      <c r="J647" s="122"/>
      <c r="K647" s="122"/>
      <c r="L647" s="122"/>
      <c r="M647" s="122"/>
      <c r="N647" s="122"/>
      <c r="O647" s="122"/>
      <c r="P647" s="122"/>
      <c r="R647" s="120"/>
      <c r="S647" s="120"/>
      <c r="T647" s="120"/>
      <c r="U647" s="120"/>
      <c r="V647" s="120"/>
    </row>
    <row r="648" spans="2:22">
      <c r="B648" s="120"/>
      <c r="C648" s="126"/>
      <c r="D648" s="122"/>
      <c r="E648" s="134"/>
      <c r="F648" s="121"/>
      <c r="G648" s="140"/>
      <c r="H648" s="140"/>
      <c r="I648" s="130"/>
      <c r="J648" s="130"/>
      <c r="K648" s="130"/>
      <c r="L648" s="130"/>
      <c r="M648" s="130"/>
      <c r="N648" s="130"/>
      <c r="O648" s="130"/>
      <c r="P648" s="130"/>
      <c r="Q648" s="122"/>
      <c r="R648" s="120"/>
      <c r="S648" s="120"/>
      <c r="T648" s="120"/>
      <c r="U648" s="120"/>
      <c r="V648" s="120"/>
    </row>
    <row r="649" spans="2:22">
      <c r="B649" s="120"/>
      <c r="C649" s="126"/>
      <c r="D649" s="122"/>
      <c r="F649" s="121"/>
      <c r="J649" s="122"/>
      <c r="K649" s="122"/>
      <c r="L649" s="122"/>
      <c r="M649" s="122"/>
      <c r="N649" s="122"/>
      <c r="O649" s="122"/>
      <c r="P649" s="122"/>
      <c r="R649" s="120"/>
      <c r="S649" s="120"/>
      <c r="T649" s="120"/>
      <c r="U649" s="120"/>
      <c r="V649" s="120"/>
    </row>
    <row r="650" spans="2:22">
      <c r="B650" s="120"/>
      <c r="C650" s="126"/>
      <c r="D650" s="122"/>
      <c r="F650" s="121"/>
      <c r="J650" s="122"/>
      <c r="K650" s="122"/>
      <c r="L650" s="122"/>
      <c r="M650" s="122"/>
      <c r="N650" s="122"/>
      <c r="O650" s="122"/>
      <c r="P650" s="122"/>
      <c r="R650" s="120"/>
      <c r="S650" s="120"/>
      <c r="T650" s="120"/>
      <c r="U650" s="120"/>
      <c r="V650" s="120"/>
    </row>
    <row r="651" spans="2:22">
      <c r="B651" s="120"/>
      <c r="C651" s="126"/>
      <c r="D651" s="122"/>
      <c r="E651" s="134"/>
      <c r="F651" s="121"/>
      <c r="G651" s="140"/>
      <c r="H651" s="140"/>
      <c r="I651" s="130"/>
      <c r="J651" s="130"/>
      <c r="K651" s="130"/>
      <c r="L651" s="130"/>
      <c r="M651" s="130"/>
      <c r="N651" s="130"/>
      <c r="O651" s="130"/>
      <c r="P651" s="130"/>
      <c r="Q651" s="122"/>
      <c r="R651" s="120"/>
      <c r="S651" s="120"/>
      <c r="T651" s="120"/>
      <c r="U651" s="120"/>
      <c r="V651" s="120"/>
    </row>
    <row r="652" spans="2:22">
      <c r="B652" s="120"/>
      <c r="C652" s="126"/>
      <c r="D652" s="122"/>
      <c r="F652" s="121"/>
      <c r="J652" s="122"/>
      <c r="K652" s="122"/>
      <c r="L652" s="122"/>
      <c r="M652" s="122"/>
      <c r="N652" s="122"/>
      <c r="O652" s="122"/>
      <c r="P652" s="122"/>
      <c r="Q652" s="122"/>
      <c r="R652" s="120"/>
      <c r="S652" s="120"/>
      <c r="T652" s="120"/>
      <c r="U652" s="120"/>
      <c r="V652" s="120"/>
    </row>
    <row r="653" spans="2:22">
      <c r="B653" s="120"/>
      <c r="C653" s="126"/>
      <c r="D653" s="122"/>
      <c r="F653" s="122"/>
      <c r="R653" s="120"/>
      <c r="S653" s="120"/>
      <c r="T653" s="120"/>
      <c r="U653" s="120"/>
      <c r="V653" s="120"/>
    </row>
    <row r="654" spans="2:22">
      <c r="B654" s="120"/>
      <c r="C654" s="126"/>
      <c r="D654" s="122"/>
      <c r="F654" s="122"/>
      <c r="R654" s="120"/>
      <c r="S654" s="120"/>
      <c r="T654" s="120"/>
      <c r="U654" s="120"/>
      <c r="V654" s="120"/>
    </row>
    <row r="655" spans="2:22">
      <c r="B655" s="120"/>
      <c r="C655" s="126"/>
      <c r="D655" s="122"/>
      <c r="E655" s="129"/>
      <c r="F655" s="121"/>
      <c r="G655" s="120"/>
      <c r="H655" s="120"/>
      <c r="I655" s="134"/>
      <c r="J655" s="134"/>
      <c r="K655" s="134"/>
      <c r="L655" s="134"/>
      <c r="M655" s="134"/>
      <c r="N655" s="144"/>
      <c r="O655" s="144"/>
      <c r="R655" s="120"/>
      <c r="S655" s="120"/>
      <c r="T655" s="120"/>
      <c r="U655" s="120"/>
      <c r="V655" s="120"/>
    </row>
    <row r="656" spans="2:22">
      <c r="B656" s="120"/>
      <c r="C656" s="126"/>
      <c r="D656" s="122"/>
      <c r="E656" s="127"/>
      <c r="F656" s="121"/>
      <c r="G656" s="120"/>
      <c r="H656" s="120"/>
      <c r="I656" s="134"/>
      <c r="J656" s="134"/>
      <c r="K656" s="134"/>
      <c r="L656" s="134"/>
      <c r="M656" s="134"/>
      <c r="N656" s="144"/>
      <c r="O656" s="144"/>
      <c r="R656" s="120"/>
      <c r="S656" s="120"/>
      <c r="T656" s="120"/>
      <c r="U656" s="120"/>
      <c r="V656" s="120"/>
    </row>
    <row r="657" spans="2:22">
      <c r="B657" s="120"/>
      <c r="C657" s="126"/>
      <c r="D657" s="122"/>
      <c r="E657" s="134"/>
      <c r="F657" s="130"/>
      <c r="G657" s="140"/>
      <c r="H657" s="140"/>
      <c r="I657" s="130"/>
      <c r="J657" s="130"/>
      <c r="K657" s="130"/>
      <c r="L657" s="130"/>
      <c r="M657" s="130"/>
      <c r="N657" s="130"/>
      <c r="O657" s="130"/>
      <c r="R657" s="120"/>
      <c r="S657" s="120"/>
      <c r="T657" s="120"/>
      <c r="U657" s="120"/>
      <c r="V657" s="120"/>
    </row>
    <row r="658" spans="2:22">
      <c r="B658" s="120"/>
      <c r="C658" s="126"/>
      <c r="D658" s="122"/>
      <c r="E658" s="133"/>
      <c r="F658" s="122"/>
      <c r="J658" s="122"/>
      <c r="K658" s="122"/>
      <c r="L658" s="122"/>
      <c r="M658" s="122"/>
      <c r="N658" s="122"/>
      <c r="O658" s="122"/>
      <c r="R658" s="120"/>
      <c r="S658" s="120"/>
      <c r="T658" s="120"/>
      <c r="U658" s="120"/>
      <c r="V658" s="120"/>
    </row>
    <row r="659" spans="2:22">
      <c r="B659" s="120"/>
      <c r="C659" s="126"/>
      <c r="D659" s="122"/>
      <c r="E659" s="133"/>
      <c r="F659" s="122"/>
      <c r="J659" s="122"/>
      <c r="K659" s="122"/>
      <c r="L659" s="122"/>
      <c r="M659" s="122"/>
      <c r="N659" s="122"/>
      <c r="O659" s="122"/>
      <c r="R659" s="120"/>
      <c r="S659" s="120"/>
      <c r="T659" s="120"/>
      <c r="U659" s="120"/>
      <c r="V659" s="120"/>
    </row>
    <row r="660" spans="2:22">
      <c r="B660" s="120"/>
      <c r="C660" s="126"/>
      <c r="D660" s="122"/>
      <c r="E660" s="133"/>
      <c r="F660" s="122"/>
      <c r="J660" s="122"/>
      <c r="K660" s="122"/>
      <c r="L660" s="122"/>
      <c r="M660" s="122"/>
      <c r="N660" s="122"/>
      <c r="O660" s="122"/>
      <c r="R660" s="120"/>
      <c r="S660" s="120"/>
      <c r="T660" s="120"/>
      <c r="U660" s="120"/>
      <c r="V660" s="120"/>
    </row>
    <row r="661" spans="2:22">
      <c r="B661" s="120"/>
      <c r="C661" s="126"/>
      <c r="D661" s="122"/>
      <c r="E661" s="133"/>
      <c r="F661" s="122"/>
      <c r="J661" s="122"/>
      <c r="K661" s="122"/>
      <c r="L661" s="122"/>
      <c r="M661" s="122"/>
      <c r="N661" s="122"/>
      <c r="O661" s="122"/>
      <c r="P661" s="120"/>
      <c r="Q661" s="120"/>
      <c r="R661" s="120"/>
      <c r="S661" s="120"/>
      <c r="T661" s="120"/>
      <c r="U661" s="120"/>
      <c r="V661" s="120"/>
    </row>
    <row r="662" spans="2:22">
      <c r="B662" s="120"/>
      <c r="C662" s="126"/>
      <c r="D662" s="122"/>
      <c r="E662" s="133"/>
      <c r="F662" s="122"/>
      <c r="J662" s="122"/>
      <c r="K662" s="122"/>
      <c r="L662" s="122"/>
      <c r="M662" s="122"/>
      <c r="N662" s="122"/>
      <c r="O662" s="122"/>
      <c r="P662" s="120"/>
      <c r="Q662" s="120"/>
      <c r="R662" s="120"/>
      <c r="S662" s="120"/>
      <c r="T662" s="120"/>
      <c r="U662" s="120"/>
      <c r="V662" s="120"/>
    </row>
    <row r="663" spans="2:22">
      <c r="B663" s="120"/>
      <c r="C663" s="126"/>
      <c r="D663" s="122"/>
      <c r="E663" s="132"/>
      <c r="F663" s="121"/>
      <c r="G663" s="120"/>
      <c r="H663" s="120"/>
      <c r="J663" s="122"/>
      <c r="K663" s="122"/>
      <c r="L663" s="122"/>
      <c r="M663" s="122"/>
      <c r="N663" s="126"/>
      <c r="O663" s="126"/>
      <c r="P663" s="120"/>
      <c r="Q663" s="120"/>
      <c r="R663" s="120"/>
      <c r="S663" s="120"/>
      <c r="T663" s="120"/>
      <c r="U663" s="120"/>
      <c r="V663" s="120"/>
    </row>
    <row r="664" spans="2:22">
      <c r="B664" s="120"/>
      <c r="C664" s="126"/>
      <c r="D664" s="122"/>
      <c r="E664" s="132"/>
      <c r="F664" s="121"/>
      <c r="G664" s="120"/>
      <c r="H664" s="120"/>
      <c r="J664" s="122"/>
      <c r="K664" s="122"/>
      <c r="L664" s="122"/>
      <c r="M664" s="122"/>
      <c r="N664" s="126"/>
      <c r="O664" s="126"/>
      <c r="P664" s="120"/>
      <c r="Q664" s="120"/>
      <c r="R664" s="120"/>
      <c r="S664" s="120"/>
      <c r="T664" s="120"/>
      <c r="U664" s="120"/>
      <c r="V664" s="120"/>
    </row>
    <row r="665" spans="2:22">
      <c r="B665" s="120"/>
      <c r="C665" s="126"/>
      <c r="D665" s="122"/>
      <c r="E665" s="132"/>
      <c r="F665" s="122"/>
      <c r="J665" s="122"/>
      <c r="K665" s="122"/>
      <c r="L665" s="122"/>
      <c r="M665" s="122"/>
      <c r="N665" s="122"/>
      <c r="O665" s="122"/>
      <c r="P665" s="120"/>
      <c r="Q665" s="120"/>
      <c r="R665" s="120"/>
      <c r="S665" s="120"/>
      <c r="T665" s="120"/>
      <c r="U665" s="120"/>
      <c r="V665" s="120"/>
    </row>
    <row r="666" spans="2:22">
      <c r="B666" s="120"/>
      <c r="C666" s="126"/>
      <c r="D666" s="122"/>
      <c r="E666" s="133"/>
      <c r="F666" s="122"/>
      <c r="J666" s="122"/>
      <c r="K666" s="122"/>
      <c r="L666" s="122"/>
      <c r="M666" s="122"/>
      <c r="N666" s="122"/>
      <c r="O666" s="122"/>
      <c r="P666" s="120"/>
      <c r="Q666" s="120"/>
      <c r="R666" s="120"/>
      <c r="S666" s="120"/>
      <c r="T666" s="120"/>
      <c r="U666" s="120"/>
      <c r="V666" s="120"/>
    </row>
    <row r="667" spans="2:22">
      <c r="B667" s="120"/>
      <c r="C667" s="126"/>
      <c r="D667" s="122"/>
      <c r="E667" s="129"/>
      <c r="F667" s="131"/>
      <c r="G667" s="143"/>
      <c r="H667" s="143"/>
      <c r="I667" s="130"/>
      <c r="J667" s="130"/>
      <c r="K667" s="130"/>
      <c r="L667" s="130"/>
      <c r="M667" s="130"/>
      <c r="N667" s="135"/>
      <c r="O667" s="135"/>
      <c r="P667" s="120"/>
      <c r="Q667" s="120"/>
      <c r="R667" s="120"/>
      <c r="S667" s="120"/>
      <c r="T667" s="120"/>
      <c r="U667" s="120"/>
      <c r="V667" s="120"/>
    </row>
    <row r="668" spans="2:22">
      <c r="B668" s="120"/>
      <c r="C668" s="126"/>
      <c r="D668" s="122"/>
      <c r="F668" s="122"/>
      <c r="G668" s="141"/>
      <c r="H668" s="141"/>
      <c r="J668" s="122"/>
      <c r="P668" s="120"/>
      <c r="Q668" s="120"/>
      <c r="R668" s="120"/>
      <c r="S668" s="120"/>
      <c r="T668" s="120"/>
      <c r="U668" s="120"/>
      <c r="V668" s="120"/>
    </row>
    <row r="669" spans="2:22">
      <c r="B669" s="120"/>
      <c r="C669" s="126"/>
      <c r="D669" s="122"/>
      <c r="E669" s="129"/>
      <c r="F669" s="130"/>
      <c r="G669" s="142"/>
      <c r="H669" s="142"/>
      <c r="I669" s="130"/>
      <c r="J669" s="130"/>
      <c r="K669" s="130"/>
      <c r="L669" s="130"/>
      <c r="M669" s="130"/>
      <c r="N669" s="130"/>
      <c r="O669" s="130"/>
      <c r="P669" s="120"/>
      <c r="Q669" s="120"/>
      <c r="R669" s="120"/>
      <c r="S669" s="120"/>
      <c r="T669" s="120"/>
      <c r="U669" s="120"/>
      <c r="V669" s="120"/>
    </row>
    <row r="670" spans="2:22">
      <c r="B670" s="120"/>
      <c r="C670" s="126"/>
      <c r="D670" s="122"/>
      <c r="E670" s="127"/>
      <c r="F670" s="121"/>
      <c r="G670" s="120"/>
      <c r="H670" s="120"/>
      <c r="I670" s="121"/>
      <c r="N670" s="120"/>
      <c r="O670" s="120"/>
      <c r="P670" s="120"/>
      <c r="Q670" s="120"/>
      <c r="R670" s="120"/>
      <c r="S670" s="120"/>
      <c r="T670" s="120"/>
      <c r="U670" s="120"/>
      <c r="V670" s="120"/>
    </row>
    <row r="671" spans="2:22">
      <c r="B671" s="120"/>
      <c r="C671" s="126"/>
      <c r="D671" s="122"/>
      <c r="E671" s="133"/>
      <c r="F671" s="122"/>
      <c r="G671" s="141"/>
      <c r="H671" s="141"/>
      <c r="I671" s="136"/>
      <c r="J671" s="136"/>
      <c r="K671" s="136"/>
      <c r="L671" s="136"/>
      <c r="M671" s="136"/>
      <c r="N671" s="136"/>
      <c r="O671" s="136"/>
      <c r="P671" s="120"/>
      <c r="Q671" s="120"/>
      <c r="R671" s="120"/>
      <c r="S671" s="120"/>
      <c r="T671" s="120"/>
      <c r="U671" s="120"/>
      <c r="V671" s="120"/>
    </row>
    <row r="672" spans="2:22">
      <c r="B672" s="120"/>
      <c r="C672" s="126"/>
      <c r="D672" s="122"/>
      <c r="E672" s="133"/>
      <c r="F672" s="122"/>
      <c r="J672" s="122"/>
      <c r="K672" s="122"/>
      <c r="L672" s="122"/>
      <c r="M672" s="122"/>
      <c r="N672" s="122"/>
      <c r="O672" s="122"/>
      <c r="P672" s="120"/>
      <c r="Q672" s="120"/>
      <c r="R672" s="120"/>
      <c r="S672" s="120"/>
      <c r="T672" s="120"/>
      <c r="U672" s="120"/>
      <c r="V672" s="120"/>
    </row>
    <row r="673" spans="2:22">
      <c r="B673" s="120"/>
      <c r="C673" s="126"/>
      <c r="D673" s="122"/>
      <c r="E673" s="133"/>
      <c r="F673" s="122"/>
      <c r="J673" s="122"/>
      <c r="K673" s="122"/>
      <c r="L673" s="122"/>
      <c r="M673" s="122"/>
      <c r="N673" s="122"/>
      <c r="O673" s="122"/>
      <c r="P673" s="120"/>
      <c r="Q673" s="120"/>
      <c r="R673" s="120"/>
      <c r="S673" s="120"/>
      <c r="T673" s="120"/>
      <c r="U673" s="120"/>
      <c r="V673" s="120"/>
    </row>
    <row r="674" spans="2:22">
      <c r="B674" s="120"/>
      <c r="C674" s="126"/>
      <c r="D674" s="122"/>
      <c r="E674" s="133"/>
      <c r="F674" s="122"/>
      <c r="J674" s="122"/>
      <c r="K674" s="122"/>
      <c r="L674" s="122"/>
      <c r="M674" s="122"/>
      <c r="N674" s="122"/>
      <c r="O674" s="122"/>
      <c r="P674" s="120"/>
      <c r="Q674" s="120"/>
      <c r="R674" s="120"/>
      <c r="S674" s="120"/>
      <c r="T674" s="120"/>
      <c r="U674" s="120"/>
      <c r="V674" s="120"/>
    </row>
    <row r="675" spans="2:22">
      <c r="B675" s="120"/>
      <c r="C675" s="126"/>
      <c r="D675" s="122"/>
      <c r="E675" s="134"/>
      <c r="F675" s="130"/>
      <c r="G675" s="140"/>
      <c r="H675" s="140"/>
      <c r="I675" s="130"/>
      <c r="J675" s="130"/>
      <c r="K675" s="130"/>
      <c r="L675" s="130"/>
      <c r="M675" s="130"/>
      <c r="N675" s="130"/>
      <c r="O675" s="130"/>
      <c r="P675" s="120"/>
      <c r="Q675" s="120"/>
      <c r="R675" s="120"/>
      <c r="S675" s="120"/>
      <c r="T675" s="120"/>
      <c r="U675" s="120"/>
      <c r="V675" s="120"/>
    </row>
    <row r="676" spans="2:22">
      <c r="B676" s="120"/>
      <c r="C676" s="126"/>
      <c r="D676" s="122"/>
      <c r="F676" s="122"/>
      <c r="P676" s="120"/>
      <c r="Q676" s="120"/>
      <c r="R676" s="120"/>
      <c r="S676" s="120"/>
      <c r="T676" s="120"/>
      <c r="U676" s="120"/>
      <c r="V676" s="120"/>
    </row>
    <row r="677" spans="2:22" s="126" customFormat="1">
      <c r="D677" s="122"/>
      <c r="E677" s="133"/>
      <c r="F677" s="122"/>
      <c r="G677" s="123"/>
      <c r="H677" s="123"/>
      <c r="I677" s="122"/>
      <c r="J677" s="122"/>
      <c r="K677" s="122"/>
      <c r="L677" s="122"/>
      <c r="M677" s="122"/>
      <c r="N677" s="122"/>
      <c r="O677" s="122"/>
      <c r="P677" s="122"/>
      <c r="Q677" s="122"/>
      <c r="R677" s="122"/>
      <c r="S677" s="122"/>
      <c r="T677" s="122"/>
      <c r="U677" s="122"/>
      <c r="V677" s="122"/>
    </row>
    <row r="678" spans="2:22" s="126" customFormat="1">
      <c r="D678" s="122"/>
      <c r="E678" s="124"/>
      <c r="F678" s="122"/>
      <c r="G678" s="123"/>
      <c r="H678" s="123"/>
      <c r="I678" s="122"/>
      <c r="J678" s="122"/>
      <c r="K678" s="122"/>
      <c r="L678" s="122"/>
      <c r="M678" s="122"/>
      <c r="N678" s="122"/>
      <c r="O678" s="122"/>
      <c r="P678" s="122"/>
      <c r="Q678" s="122"/>
      <c r="R678" s="122"/>
      <c r="S678" s="122"/>
      <c r="T678" s="122"/>
      <c r="U678" s="122"/>
      <c r="V678" s="122"/>
    </row>
    <row r="679" spans="2:22" s="126" customFormat="1">
      <c r="D679" s="122"/>
      <c r="E679" s="133"/>
      <c r="F679" s="122"/>
      <c r="G679" s="123"/>
      <c r="H679" s="123"/>
      <c r="I679" s="122"/>
      <c r="J679" s="122"/>
      <c r="K679" s="122"/>
      <c r="L679" s="122"/>
      <c r="M679" s="122"/>
      <c r="N679" s="122"/>
      <c r="O679" s="122"/>
      <c r="P679" s="122"/>
      <c r="Q679" s="122"/>
      <c r="R679" s="122"/>
      <c r="S679" s="122"/>
      <c r="T679" s="122"/>
      <c r="U679" s="122"/>
      <c r="V679" s="122"/>
    </row>
    <row r="680" spans="2:22" s="126" customFormat="1">
      <c r="D680" s="122"/>
      <c r="E680" s="124"/>
      <c r="F680" s="122"/>
      <c r="G680" s="123"/>
      <c r="H680" s="123"/>
      <c r="I680" s="122"/>
      <c r="J680" s="122"/>
      <c r="K680" s="122"/>
      <c r="L680" s="122"/>
      <c r="M680" s="122"/>
      <c r="N680" s="122"/>
      <c r="O680" s="122"/>
      <c r="P680" s="122"/>
      <c r="Q680" s="122"/>
      <c r="R680" s="122"/>
      <c r="S680" s="122"/>
      <c r="T680" s="122"/>
      <c r="U680" s="122"/>
      <c r="V680" s="122"/>
    </row>
    <row r="681" spans="2:22" s="126" customFormat="1">
      <c r="D681" s="122"/>
      <c r="E681" s="124"/>
      <c r="F681" s="122"/>
      <c r="G681" s="123"/>
      <c r="H681" s="123"/>
      <c r="I681" s="122"/>
      <c r="J681" s="122"/>
      <c r="K681" s="122"/>
      <c r="L681" s="122"/>
      <c r="M681" s="122"/>
      <c r="N681" s="122"/>
      <c r="O681" s="122"/>
      <c r="P681" s="122"/>
      <c r="Q681" s="122"/>
      <c r="R681" s="122"/>
      <c r="S681" s="122"/>
      <c r="T681" s="122"/>
      <c r="U681" s="122"/>
      <c r="V681" s="122"/>
    </row>
    <row r="682" spans="2:22" s="126" customFormat="1">
      <c r="D682" s="122"/>
      <c r="E682" s="133"/>
      <c r="F682" s="122"/>
      <c r="I682" s="128"/>
      <c r="J682" s="128"/>
      <c r="K682" s="128"/>
      <c r="L682" s="128"/>
      <c r="M682" s="128"/>
      <c r="N682" s="139"/>
      <c r="O682" s="139"/>
      <c r="P682" s="122"/>
      <c r="Q682" s="122"/>
      <c r="R682" s="122"/>
      <c r="S682" s="122"/>
      <c r="T682" s="122"/>
      <c r="U682" s="122"/>
      <c r="V682" s="122"/>
    </row>
    <row r="683" spans="2:22" s="126" customFormat="1">
      <c r="D683" s="122"/>
      <c r="E683" s="124"/>
      <c r="F683" s="122"/>
      <c r="I683" s="122"/>
      <c r="J683" s="122"/>
      <c r="K683" s="122"/>
      <c r="L683" s="122"/>
      <c r="M683" s="122"/>
      <c r="P683" s="122"/>
      <c r="Q683" s="122"/>
      <c r="R683" s="122"/>
      <c r="S683" s="122"/>
      <c r="T683" s="122"/>
      <c r="U683" s="122"/>
      <c r="V683" s="122"/>
    </row>
    <row r="684" spans="2:22" s="126" customFormat="1">
      <c r="D684" s="122"/>
      <c r="E684" s="133"/>
      <c r="F684" s="122"/>
      <c r="G684" s="123"/>
      <c r="H684" s="123"/>
      <c r="I684" s="122"/>
      <c r="J684" s="122"/>
      <c r="K684" s="122"/>
      <c r="L684" s="122"/>
      <c r="M684" s="122"/>
      <c r="N684" s="122"/>
      <c r="O684" s="122"/>
      <c r="P684" s="122"/>
      <c r="Q684" s="122"/>
      <c r="R684" s="122"/>
      <c r="S684" s="122"/>
      <c r="T684" s="122"/>
      <c r="U684" s="122"/>
      <c r="V684" s="122"/>
    </row>
    <row r="685" spans="2:22" s="126" customFormat="1">
      <c r="D685" s="122"/>
      <c r="E685" s="133"/>
      <c r="F685" s="122"/>
      <c r="G685" s="123"/>
      <c r="H685" s="123"/>
      <c r="I685" s="122"/>
      <c r="J685" s="122"/>
      <c r="K685" s="122"/>
      <c r="L685" s="122"/>
      <c r="M685" s="122"/>
      <c r="N685" s="122"/>
      <c r="O685" s="122"/>
      <c r="P685" s="122"/>
      <c r="Q685" s="122"/>
      <c r="R685" s="122"/>
      <c r="S685" s="122"/>
      <c r="T685" s="122"/>
      <c r="U685" s="122"/>
      <c r="V685" s="122"/>
    </row>
    <row r="686" spans="2:22" s="126" customFormat="1">
      <c r="D686" s="122"/>
      <c r="E686" s="124"/>
      <c r="F686" s="122"/>
      <c r="G686" s="123"/>
      <c r="H686" s="123"/>
      <c r="I686" s="122"/>
      <c r="J686" s="122"/>
      <c r="K686" s="122"/>
      <c r="L686" s="122"/>
      <c r="M686" s="122"/>
      <c r="N686" s="122"/>
      <c r="O686" s="122"/>
      <c r="P686" s="122"/>
      <c r="Q686" s="122"/>
      <c r="R686" s="122"/>
      <c r="S686" s="122"/>
      <c r="T686" s="122"/>
      <c r="U686" s="122"/>
      <c r="V686" s="122"/>
    </row>
    <row r="687" spans="2:22" s="126" customFormat="1">
      <c r="D687" s="122"/>
      <c r="E687" s="124"/>
      <c r="F687" s="122"/>
      <c r="G687" s="123"/>
      <c r="H687" s="123"/>
      <c r="I687" s="122"/>
      <c r="J687" s="122"/>
      <c r="K687" s="122"/>
      <c r="L687" s="122"/>
      <c r="M687" s="122"/>
      <c r="N687" s="122"/>
      <c r="O687" s="122"/>
      <c r="P687" s="122"/>
      <c r="Q687" s="122"/>
      <c r="R687" s="122"/>
      <c r="S687" s="122"/>
      <c r="T687" s="122"/>
      <c r="U687" s="122"/>
      <c r="V687" s="122"/>
    </row>
    <row r="688" spans="2:22" s="126" customFormat="1">
      <c r="D688" s="122"/>
      <c r="E688" s="124"/>
      <c r="F688" s="122"/>
      <c r="G688" s="123"/>
      <c r="H688" s="123"/>
      <c r="I688" s="122"/>
      <c r="J688" s="122"/>
      <c r="K688" s="122"/>
      <c r="L688" s="122"/>
      <c r="M688" s="122"/>
      <c r="N688" s="122"/>
      <c r="O688" s="122"/>
      <c r="P688" s="122"/>
      <c r="Q688" s="122"/>
      <c r="R688" s="122"/>
      <c r="S688" s="122"/>
      <c r="T688" s="122"/>
      <c r="U688" s="122"/>
      <c r="V688" s="122"/>
    </row>
    <row r="689" spans="2:22" s="126" customFormat="1">
      <c r="D689" s="122"/>
      <c r="E689" s="134"/>
      <c r="F689" s="122"/>
      <c r="G689" s="123"/>
      <c r="H689" s="123"/>
      <c r="I689" s="134"/>
      <c r="J689" s="134"/>
      <c r="K689" s="134"/>
      <c r="L689" s="134"/>
      <c r="M689" s="134"/>
      <c r="N689" s="134"/>
      <c r="O689" s="134"/>
      <c r="P689" s="122"/>
      <c r="Q689" s="122"/>
      <c r="R689" s="122"/>
      <c r="S689" s="122"/>
      <c r="T689" s="122"/>
      <c r="U689" s="122"/>
      <c r="V689" s="122"/>
    </row>
    <row r="690" spans="2:22" s="126" customFormat="1">
      <c r="D690" s="122"/>
      <c r="E690" s="124"/>
      <c r="F690" s="122"/>
      <c r="G690" s="123"/>
      <c r="H690" s="123"/>
      <c r="I690" s="134"/>
      <c r="J690" s="134"/>
      <c r="K690" s="134"/>
      <c r="L690" s="134"/>
      <c r="M690" s="134"/>
      <c r="N690" s="134"/>
      <c r="O690" s="134"/>
      <c r="P690" s="122"/>
      <c r="Q690" s="122"/>
      <c r="R690" s="122"/>
      <c r="S690" s="122"/>
      <c r="T690" s="122"/>
      <c r="U690" s="122"/>
      <c r="V690" s="122"/>
    </row>
    <row r="691" spans="2:22" s="126" customFormat="1">
      <c r="D691" s="122"/>
      <c r="E691" s="133"/>
      <c r="F691" s="122"/>
      <c r="G691" s="123"/>
      <c r="H691" s="123"/>
      <c r="I691" s="136"/>
      <c r="J691" s="136"/>
      <c r="K691" s="136"/>
      <c r="L691" s="136"/>
      <c r="M691" s="136"/>
      <c r="N691" s="136"/>
      <c r="O691" s="136"/>
      <c r="P691" s="122"/>
      <c r="Q691" s="122"/>
      <c r="R691" s="122"/>
      <c r="S691" s="122"/>
      <c r="T691" s="122"/>
      <c r="U691" s="122"/>
      <c r="V691" s="122"/>
    </row>
    <row r="692" spans="2:22" s="126" customFormat="1">
      <c r="B692" s="120"/>
      <c r="C692" s="120"/>
      <c r="D692" s="121"/>
      <c r="E692" s="132"/>
      <c r="F692" s="121"/>
      <c r="G692" s="121"/>
      <c r="H692" s="121"/>
      <c r="I692" s="136"/>
      <c r="J692" s="136"/>
      <c r="K692" s="136"/>
      <c r="L692" s="136"/>
      <c r="M692" s="136"/>
      <c r="N692" s="136"/>
      <c r="O692" s="136"/>
      <c r="P692" s="122"/>
      <c r="Q692" s="122"/>
      <c r="R692" s="122"/>
      <c r="S692" s="122"/>
      <c r="T692" s="122"/>
      <c r="U692" s="122"/>
      <c r="V692" s="122"/>
    </row>
    <row r="693" spans="2:22" s="126" customFormat="1">
      <c r="B693" s="120"/>
      <c r="C693" s="120"/>
      <c r="D693" s="121"/>
      <c r="E693" s="132"/>
      <c r="F693" s="121"/>
      <c r="G693" s="121"/>
      <c r="H693" s="121"/>
      <c r="I693" s="136"/>
      <c r="J693" s="122"/>
      <c r="K693" s="122"/>
      <c r="L693" s="122"/>
      <c r="M693" s="122"/>
      <c r="N693" s="122"/>
      <c r="O693" s="122"/>
      <c r="P693" s="122"/>
      <c r="Q693" s="122"/>
      <c r="R693" s="122"/>
      <c r="S693" s="122"/>
      <c r="T693" s="122"/>
      <c r="U693" s="122"/>
      <c r="V693" s="122"/>
    </row>
    <row r="694" spans="2:22" s="126" customFormat="1">
      <c r="B694" s="120"/>
      <c r="C694" s="120"/>
      <c r="D694" s="121"/>
      <c r="E694" s="132"/>
      <c r="F694" s="121"/>
      <c r="G694" s="121"/>
      <c r="H694" s="121"/>
      <c r="I694" s="136"/>
      <c r="J694" s="122"/>
      <c r="K694" s="122"/>
      <c r="L694" s="122"/>
      <c r="M694" s="122"/>
      <c r="N694" s="122"/>
      <c r="O694" s="122"/>
      <c r="P694" s="122"/>
      <c r="Q694" s="122"/>
      <c r="R694" s="122"/>
      <c r="S694" s="122"/>
      <c r="T694" s="122"/>
      <c r="U694" s="122"/>
      <c r="V694" s="122"/>
    </row>
    <row r="695" spans="2:22" s="126" customFormat="1">
      <c r="B695" s="120"/>
      <c r="C695" s="120"/>
      <c r="D695" s="121"/>
      <c r="E695" s="132"/>
      <c r="F695" s="121"/>
      <c r="G695" s="121"/>
      <c r="H695" s="121"/>
      <c r="I695" s="136"/>
      <c r="J695" s="122"/>
      <c r="K695" s="122"/>
      <c r="L695" s="122"/>
      <c r="M695" s="122"/>
      <c r="N695" s="122"/>
      <c r="O695" s="122"/>
      <c r="P695" s="122"/>
      <c r="Q695" s="122"/>
      <c r="R695" s="122"/>
      <c r="S695" s="122"/>
      <c r="T695" s="122"/>
      <c r="U695" s="122"/>
      <c r="V695" s="122"/>
    </row>
    <row r="696" spans="2:22" s="126" customFormat="1">
      <c r="B696" s="120"/>
      <c r="C696" s="120"/>
      <c r="D696" s="121"/>
      <c r="E696" s="132"/>
      <c r="F696" s="121"/>
      <c r="G696" s="121"/>
      <c r="H696" s="121"/>
      <c r="I696" s="122"/>
      <c r="J696" s="122"/>
      <c r="K696" s="122"/>
      <c r="L696" s="122"/>
      <c r="M696" s="122"/>
      <c r="N696" s="122"/>
      <c r="O696" s="122"/>
      <c r="P696" s="122"/>
      <c r="Q696" s="122"/>
      <c r="R696" s="122"/>
      <c r="S696" s="122"/>
      <c r="T696" s="122"/>
      <c r="U696" s="122"/>
      <c r="V696" s="122"/>
    </row>
    <row r="697" spans="2:22" s="126" customFormat="1">
      <c r="B697" s="120"/>
      <c r="C697" s="120"/>
      <c r="D697" s="121"/>
      <c r="E697" s="132"/>
      <c r="F697" s="121"/>
      <c r="G697" s="121"/>
      <c r="H697" s="121"/>
      <c r="I697" s="136"/>
      <c r="J697" s="122"/>
      <c r="K697" s="122"/>
      <c r="L697" s="122"/>
      <c r="M697" s="122"/>
      <c r="P697" s="122"/>
      <c r="Q697" s="122"/>
      <c r="R697" s="122"/>
      <c r="S697" s="122"/>
      <c r="T697" s="122"/>
      <c r="U697" s="122"/>
      <c r="V697" s="122"/>
    </row>
    <row r="698" spans="2:22" s="126" customFormat="1">
      <c r="B698" s="120"/>
      <c r="C698" s="120"/>
      <c r="D698" s="121"/>
      <c r="E698" s="127"/>
      <c r="F698" s="121"/>
      <c r="G698" s="121"/>
      <c r="H698" s="121"/>
      <c r="I698" s="136"/>
      <c r="J698" s="122"/>
      <c r="K698" s="122"/>
      <c r="L698" s="122"/>
      <c r="M698" s="122"/>
      <c r="N698" s="122"/>
      <c r="O698" s="122"/>
      <c r="P698" s="122"/>
      <c r="Q698" s="122"/>
      <c r="R698" s="122"/>
      <c r="S698" s="122"/>
      <c r="T698" s="122"/>
      <c r="U698" s="122"/>
      <c r="V698" s="122"/>
    </row>
    <row r="699" spans="2:22" s="126" customFormat="1">
      <c r="B699" s="120"/>
      <c r="C699" s="120"/>
      <c r="D699" s="121"/>
      <c r="E699" s="127"/>
      <c r="F699" s="121"/>
      <c r="G699" s="121"/>
      <c r="H699" s="121"/>
      <c r="I699" s="130"/>
      <c r="J699" s="122"/>
      <c r="K699" s="122"/>
      <c r="L699" s="122"/>
      <c r="M699" s="122"/>
      <c r="N699" s="122"/>
      <c r="O699" s="122"/>
      <c r="P699" s="122"/>
      <c r="Q699" s="122"/>
      <c r="R699" s="122"/>
      <c r="S699" s="122"/>
      <c r="T699" s="122"/>
      <c r="U699" s="122"/>
      <c r="V699" s="122"/>
    </row>
    <row r="700" spans="2:22" s="126" customFormat="1">
      <c r="B700" s="120"/>
      <c r="C700" s="120"/>
      <c r="D700" s="121"/>
      <c r="E700" s="129"/>
      <c r="F700" s="131"/>
      <c r="G700" s="131"/>
      <c r="H700" s="131"/>
      <c r="I700" s="130"/>
      <c r="J700" s="130"/>
      <c r="K700" s="130"/>
      <c r="L700" s="130"/>
      <c r="M700" s="130"/>
      <c r="N700" s="130"/>
      <c r="O700" s="130"/>
      <c r="P700" s="122"/>
      <c r="Q700" s="122"/>
      <c r="R700" s="122"/>
      <c r="S700" s="122"/>
      <c r="T700" s="122"/>
      <c r="U700" s="122"/>
      <c r="V700" s="122"/>
    </row>
    <row r="701" spans="2:22" s="126" customFormat="1">
      <c r="B701" s="120"/>
      <c r="C701" s="120"/>
      <c r="D701" s="121"/>
      <c r="E701" s="127"/>
      <c r="F701" s="121"/>
      <c r="G701" s="121"/>
      <c r="H701" s="121"/>
      <c r="I701" s="122"/>
      <c r="J701" s="122"/>
      <c r="K701" s="122"/>
      <c r="L701" s="122"/>
      <c r="M701" s="122"/>
      <c r="N701" s="122"/>
      <c r="O701" s="122"/>
      <c r="P701" s="122"/>
      <c r="Q701" s="122"/>
      <c r="R701" s="122"/>
      <c r="S701" s="122"/>
      <c r="T701" s="122"/>
      <c r="U701" s="122"/>
      <c r="V701" s="122"/>
    </row>
    <row r="702" spans="2:22" s="126" customFormat="1">
      <c r="B702" s="120"/>
      <c r="C702" s="120"/>
      <c r="D702" s="121"/>
      <c r="E702" s="133"/>
      <c r="F702" s="122"/>
      <c r="I702" s="122"/>
      <c r="J702" s="122"/>
      <c r="K702" s="122"/>
      <c r="L702" s="122"/>
      <c r="M702" s="122"/>
      <c r="P702" s="122"/>
      <c r="Q702" s="122"/>
      <c r="R702" s="122"/>
      <c r="S702" s="122"/>
      <c r="T702" s="122"/>
      <c r="U702" s="122"/>
      <c r="V702" s="122"/>
    </row>
    <row r="703" spans="2:22" s="126" customFormat="1">
      <c r="B703" s="120"/>
      <c r="C703" s="120"/>
      <c r="D703" s="121"/>
      <c r="E703" s="132"/>
      <c r="F703" s="121"/>
      <c r="G703" s="121"/>
      <c r="H703" s="121"/>
      <c r="I703" s="122"/>
      <c r="J703" s="122"/>
      <c r="K703" s="122"/>
      <c r="L703" s="122"/>
      <c r="M703" s="122"/>
      <c r="N703" s="122"/>
      <c r="O703" s="122"/>
      <c r="P703" s="122"/>
      <c r="Q703" s="122"/>
      <c r="R703" s="122"/>
      <c r="S703" s="122"/>
      <c r="T703" s="122"/>
      <c r="U703" s="122"/>
      <c r="V703" s="122"/>
    </row>
    <row r="704" spans="2:22" s="126" customFormat="1">
      <c r="B704" s="120"/>
      <c r="C704" s="120"/>
      <c r="D704" s="121"/>
      <c r="E704" s="132"/>
      <c r="F704" s="121"/>
      <c r="G704" s="121"/>
      <c r="H704" s="121"/>
      <c r="I704" s="122"/>
      <c r="J704" s="122"/>
      <c r="K704" s="122"/>
      <c r="L704" s="122"/>
      <c r="M704" s="122"/>
      <c r="N704" s="122"/>
      <c r="O704" s="122"/>
      <c r="P704" s="122"/>
      <c r="Q704" s="122"/>
      <c r="R704" s="122"/>
      <c r="S704" s="122"/>
      <c r="T704" s="122"/>
      <c r="U704" s="122"/>
      <c r="V704" s="122"/>
    </row>
    <row r="705" spans="2:22" s="126" customFormat="1">
      <c r="B705" s="120"/>
      <c r="C705" s="120"/>
      <c r="D705" s="121"/>
      <c r="E705" s="132"/>
      <c r="F705" s="121"/>
      <c r="G705" s="121"/>
      <c r="H705" s="121"/>
      <c r="I705" s="122"/>
      <c r="J705" s="122"/>
      <c r="K705" s="122"/>
      <c r="L705" s="122"/>
      <c r="M705" s="122"/>
      <c r="N705" s="122"/>
      <c r="O705" s="122"/>
      <c r="P705" s="122"/>
      <c r="Q705" s="122"/>
      <c r="R705" s="122"/>
      <c r="S705" s="122"/>
      <c r="T705" s="122"/>
      <c r="U705" s="122"/>
      <c r="V705" s="122"/>
    </row>
    <row r="706" spans="2:22" s="126" customFormat="1">
      <c r="B706" s="120"/>
      <c r="C706" s="120"/>
      <c r="D706" s="121"/>
      <c r="E706" s="132"/>
      <c r="F706" s="121"/>
      <c r="G706" s="121"/>
      <c r="H706" s="121"/>
      <c r="I706" s="136"/>
      <c r="J706" s="136"/>
      <c r="K706" s="136"/>
      <c r="L706" s="136"/>
      <c r="M706" s="136"/>
      <c r="N706" s="136"/>
      <c r="O706" s="136"/>
      <c r="P706" s="122"/>
      <c r="Q706" s="122"/>
      <c r="R706" s="122"/>
      <c r="S706" s="122"/>
      <c r="T706" s="122"/>
      <c r="U706" s="122"/>
      <c r="V706" s="122"/>
    </row>
    <row r="707" spans="2:22" s="126" customFormat="1">
      <c r="B707" s="120"/>
      <c r="C707" s="120"/>
      <c r="D707" s="121"/>
      <c r="E707" s="127"/>
      <c r="F707" s="121"/>
      <c r="G707" s="121"/>
      <c r="H707" s="121"/>
      <c r="I707" s="136"/>
      <c r="J707" s="136"/>
      <c r="K707" s="136"/>
      <c r="L707" s="136"/>
      <c r="M707" s="136"/>
      <c r="N707" s="136"/>
      <c r="O707" s="136"/>
      <c r="P707" s="122"/>
      <c r="Q707" s="122"/>
      <c r="R707" s="122"/>
      <c r="S707" s="122"/>
      <c r="T707" s="122"/>
      <c r="U707" s="122"/>
      <c r="V707" s="122"/>
    </row>
    <row r="708" spans="2:22" s="126" customFormat="1">
      <c r="B708" s="120"/>
      <c r="C708" s="120"/>
      <c r="D708" s="121"/>
      <c r="E708" s="127"/>
      <c r="F708" s="121"/>
      <c r="G708" s="121"/>
      <c r="H708" s="121"/>
      <c r="I708" s="122"/>
      <c r="J708" s="122"/>
      <c r="K708" s="122"/>
      <c r="L708" s="122"/>
      <c r="M708" s="122"/>
      <c r="N708" s="122"/>
      <c r="O708" s="122"/>
      <c r="P708" s="122"/>
      <c r="Q708" s="122"/>
      <c r="R708" s="122"/>
      <c r="S708" s="122"/>
      <c r="T708" s="122"/>
      <c r="U708" s="122"/>
      <c r="V708" s="122"/>
    </row>
    <row r="709" spans="2:22" s="126" customFormat="1">
      <c r="B709" s="120"/>
      <c r="C709" s="120"/>
      <c r="D709" s="121"/>
      <c r="E709" s="127"/>
      <c r="F709" s="121"/>
      <c r="G709" s="121"/>
      <c r="H709" s="121"/>
      <c r="I709" s="122"/>
      <c r="J709" s="122"/>
      <c r="K709" s="122"/>
      <c r="L709" s="122"/>
      <c r="M709" s="122"/>
      <c r="N709" s="122"/>
      <c r="O709" s="122"/>
      <c r="P709" s="122"/>
      <c r="Q709" s="122"/>
      <c r="R709" s="122"/>
      <c r="S709" s="122"/>
      <c r="T709" s="122"/>
      <c r="U709" s="122"/>
      <c r="V709" s="122"/>
    </row>
    <row r="710" spans="2:22" s="126" customFormat="1">
      <c r="B710" s="120"/>
      <c r="C710" s="120"/>
      <c r="D710" s="121"/>
      <c r="E710" s="127"/>
      <c r="F710" s="121"/>
      <c r="G710" s="121"/>
      <c r="H710" s="121"/>
      <c r="I710" s="122"/>
      <c r="J710" s="122"/>
      <c r="K710" s="122"/>
      <c r="L710" s="122"/>
      <c r="M710" s="122"/>
      <c r="N710" s="122"/>
      <c r="O710" s="122"/>
      <c r="P710" s="122"/>
      <c r="Q710" s="122"/>
      <c r="R710" s="122"/>
      <c r="S710" s="122"/>
      <c r="T710" s="122"/>
      <c r="U710" s="122"/>
      <c r="V710" s="122"/>
    </row>
    <row r="711" spans="2:22" s="126" customFormat="1">
      <c r="B711" s="120"/>
      <c r="C711" s="120"/>
      <c r="D711" s="121"/>
      <c r="E711" s="129"/>
      <c r="F711" s="131"/>
      <c r="G711" s="131"/>
      <c r="H711" s="131"/>
      <c r="I711" s="130"/>
      <c r="J711" s="130"/>
      <c r="K711" s="130"/>
      <c r="L711" s="130"/>
      <c r="M711" s="130"/>
      <c r="N711" s="130"/>
      <c r="O711" s="130"/>
      <c r="P711" s="122"/>
      <c r="Q711" s="122"/>
      <c r="R711" s="122"/>
      <c r="S711" s="122"/>
      <c r="T711" s="122"/>
      <c r="U711" s="122"/>
      <c r="V711" s="122"/>
    </row>
    <row r="712" spans="2:22" s="126" customFormat="1">
      <c r="B712" s="120"/>
      <c r="C712" s="120"/>
      <c r="D712" s="121"/>
      <c r="E712" s="127"/>
      <c r="F712" s="121"/>
      <c r="G712" s="121"/>
      <c r="H712" s="121"/>
      <c r="I712" s="122"/>
      <c r="J712" s="122"/>
      <c r="K712" s="122"/>
      <c r="L712" s="122"/>
      <c r="M712" s="122"/>
      <c r="N712" s="122"/>
      <c r="O712" s="122"/>
      <c r="P712" s="122"/>
      <c r="Q712" s="122"/>
      <c r="R712" s="122"/>
      <c r="S712" s="122"/>
      <c r="T712" s="122"/>
      <c r="U712" s="122"/>
      <c r="V712" s="122"/>
    </row>
    <row r="713" spans="2:22" s="126" customFormat="1">
      <c r="B713" s="120"/>
      <c r="C713" s="120"/>
      <c r="D713" s="121"/>
      <c r="E713" s="132"/>
      <c r="F713" s="121"/>
      <c r="G713" s="121"/>
      <c r="H713" s="121"/>
      <c r="I713" s="122"/>
      <c r="J713" s="122"/>
      <c r="K713" s="122"/>
      <c r="L713" s="122"/>
      <c r="M713" s="122"/>
      <c r="N713" s="122"/>
      <c r="O713" s="122"/>
      <c r="P713" s="122"/>
      <c r="Q713" s="122"/>
      <c r="R713" s="122"/>
      <c r="S713" s="122"/>
      <c r="T713" s="122"/>
      <c r="U713" s="122"/>
      <c r="V713" s="122"/>
    </row>
    <row r="714" spans="2:22" s="126" customFormat="1">
      <c r="B714" s="120"/>
      <c r="C714" s="120"/>
      <c r="D714" s="121"/>
      <c r="E714" s="132"/>
      <c r="F714" s="121"/>
      <c r="G714" s="121"/>
      <c r="H714" s="121"/>
      <c r="I714" s="122"/>
      <c r="J714" s="122"/>
      <c r="K714" s="122"/>
      <c r="L714" s="122"/>
      <c r="M714" s="122"/>
      <c r="N714" s="122"/>
      <c r="O714" s="122"/>
      <c r="P714" s="122"/>
      <c r="Q714" s="122"/>
      <c r="R714" s="122"/>
      <c r="S714" s="122"/>
      <c r="T714" s="122"/>
      <c r="U714" s="122"/>
      <c r="V714" s="122"/>
    </row>
    <row r="715" spans="2:22" s="126" customFormat="1">
      <c r="B715" s="120"/>
      <c r="C715" s="120"/>
      <c r="D715" s="121"/>
      <c r="E715" s="132"/>
      <c r="F715" s="121"/>
      <c r="G715" s="121"/>
      <c r="H715" s="121"/>
      <c r="I715" s="122"/>
      <c r="J715" s="122"/>
      <c r="K715" s="122"/>
      <c r="L715" s="122"/>
      <c r="M715" s="122"/>
      <c r="N715" s="122"/>
      <c r="O715" s="122"/>
      <c r="P715" s="122"/>
      <c r="Q715" s="122"/>
      <c r="R715" s="122"/>
      <c r="S715" s="122"/>
      <c r="T715" s="122"/>
      <c r="U715" s="122"/>
      <c r="V715" s="122"/>
    </row>
    <row r="716" spans="2:22" s="126" customFormat="1">
      <c r="B716" s="120"/>
      <c r="C716" s="120"/>
      <c r="D716" s="121"/>
      <c r="E716" s="127"/>
      <c r="F716" s="121"/>
      <c r="G716" s="121"/>
      <c r="H716" s="121"/>
      <c r="I716" s="122"/>
      <c r="J716" s="122"/>
      <c r="K716" s="122"/>
      <c r="L716" s="122"/>
      <c r="M716" s="122"/>
      <c r="N716" s="122"/>
      <c r="O716" s="122"/>
      <c r="P716" s="122"/>
      <c r="Q716" s="122"/>
      <c r="R716" s="122"/>
      <c r="S716" s="122"/>
      <c r="T716" s="122"/>
      <c r="U716" s="122"/>
      <c r="V716" s="122"/>
    </row>
    <row r="717" spans="2:22" s="126" customFormat="1">
      <c r="B717" s="120"/>
      <c r="C717" s="120"/>
      <c r="D717" s="121"/>
      <c r="E717" s="127"/>
      <c r="F717" s="121"/>
      <c r="G717" s="121"/>
      <c r="H717" s="121"/>
      <c r="I717" s="122"/>
      <c r="J717" s="122"/>
      <c r="K717" s="122"/>
      <c r="L717" s="122"/>
      <c r="M717" s="122"/>
      <c r="N717" s="122"/>
      <c r="O717" s="122"/>
      <c r="P717" s="122"/>
      <c r="Q717" s="122"/>
      <c r="R717" s="122"/>
      <c r="S717" s="122"/>
      <c r="T717" s="122"/>
      <c r="U717" s="122"/>
      <c r="V717" s="122"/>
    </row>
    <row r="718" spans="2:22" s="126" customFormat="1">
      <c r="B718" s="120"/>
      <c r="C718" s="120"/>
      <c r="D718" s="121"/>
      <c r="E718" s="127"/>
      <c r="F718" s="121"/>
      <c r="G718" s="121"/>
      <c r="H718" s="121"/>
      <c r="I718" s="122"/>
      <c r="J718" s="122"/>
      <c r="K718" s="122"/>
      <c r="L718" s="122"/>
      <c r="M718" s="122"/>
      <c r="N718" s="122"/>
      <c r="O718" s="122"/>
      <c r="P718" s="122"/>
      <c r="Q718" s="122"/>
      <c r="R718" s="122"/>
      <c r="S718" s="122"/>
      <c r="T718" s="122"/>
      <c r="U718" s="122"/>
      <c r="V718" s="122"/>
    </row>
    <row r="719" spans="2:22" s="126" customFormat="1">
      <c r="B719" s="120"/>
      <c r="C719" s="120"/>
      <c r="D719" s="121"/>
      <c r="E719" s="127"/>
      <c r="F719" s="121"/>
      <c r="G719" s="121"/>
      <c r="H719" s="121"/>
      <c r="I719" s="122"/>
      <c r="J719" s="122"/>
      <c r="K719" s="122"/>
      <c r="L719" s="122"/>
      <c r="M719" s="122"/>
      <c r="N719" s="122"/>
      <c r="O719" s="122"/>
      <c r="P719" s="122"/>
      <c r="Q719" s="122"/>
      <c r="R719" s="122"/>
      <c r="S719" s="122"/>
      <c r="T719" s="122"/>
      <c r="U719" s="122"/>
      <c r="V719" s="122"/>
    </row>
    <row r="720" spans="2:22" s="126" customFormat="1">
      <c r="B720" s="120"/>
      <c r="C720" s="120"/>
      <c r="D720" s="121"/>
      <c r="E720" s="129"/>
      <c r="F720" s="121"/>
      <c r="G720" s="121"/>
      <c r="H720" s="121"/>
      <c r="I720" s="134"/>
      <c r="J720" s="134"/>
      <c r="K720" s="134"/>
      <c r="L720" s="134"/>
      <c r="M720" s="134"/>
      <c r="N720" s="134"/>
      <c r="O720" s="134"/>
      <c r="P720" s="122"/>
      <c r="Q720" s="122"/>
      <c r="R720" s="122"/>
      <c r="S720" s="122"/>
      <c r="T720" s="122"/>
      <c r="U720" s="122"/>
      <c r="V720" s="122"/>
    </row>
    <row r="721" spans="2:22" s="126" customFormat="1">
      <c r="B721" s="120"/>
      <c r="C721" s="120"/>
      <c r="D721" s="121"/>
      <c r="E721" s="127"/>
      <c r="F721" s="121"/>
      <c r="G721" s="121"/>
      <c r="H721" s="121"/>
      <c r="I721" s="134"/>
      <c r="J721" s="134"/>
      <c r="K721" s="134"/>
      <c r="L721" s="134"/>
      <c r="M721" s="134"/>
      <c r="N721" s="134"/>
      <c r="O721" s="134"/>
      <c r="P721" s="122"/>
      <c r="Q721" s="122"/>
      <c r="R721" s="122"/>
      <c r="S721" s="122"/>
      <c r="T721" s="122"/>
      <c r="U721" s="122"/>
      <c r="V721" s="122"/>
    </row>
    <row r="722" spans="2:22" s="126" customFormat="1">
      <c r="B722" s="120"/>
      <c r="C722" s="120"/>
      <c r="D722" s="121"/>
      <c r="E722" s="132"/>
      <c r="F722" s="121"/>
      <c r="G722" s="121"/>
      <c r="H722" s="121"/>
      <c r="I722" s="122"/>
      <c r="J722" s="122"/>
      <c r="K722" s="122"/>
      <c r="L722" s="122"/>
      <c r="M722" s="122"/>
      <c r="N722" s="122"/>
      <c r="O722" s="122"/>
      <c r="P722" s="122"/>
      <c r="Q722" s="122"/>
      <c r="R722" s="122"/>
      <c r="S722" s="122"/>
      <c r="T722" s="122"/>
      <c r="U722" s="122"/>
      <c r="V722" s="122"/>
    </row>
    <row r="723" spans="2:22" s="126" customFormat="1">
      <c r="B723" s="120"/>
      <c r="C723" s="120"/>
      <c r="D723" s="121"/>
      <c r="E723" s="132"/>
      <c r="F723" s="121"/>
      <c r="G723" s="121"/>
      <c r="H723" s="121"/>
      <c r="I723" s="122"/>
      <c r="J723" s="122"/>
      <c r="K723" s="122"/>
      <c r="L723" s="122"/>
      <c r="M723" s="122"/>
      <c r="N723" s="122"/>
      <c r="O723" s="122"/>
      <c r="P723" s="122"/>
      <c r="Q723" s="122"/>
      <c r="R723" s="122"/>
      <c r="S723" s="122"/>
      <c r="T723" s="122"/>
      <c r="U723" s="122"/>
      <c r="V723" s="122"/>
    </row>
    <row r="724" spans="2:22" s="126" customFormat="1">
      <c r="B724" s="120"/>
      <c r="C724" s="120"/>
      <c r="D724" s="121"/>
      <c r="E724" s="132"/>
      <c r="F724" s="121"/>
      <c r="G724" s="121"/>
      <c r="H724" s="121"/>
      <c r="I724" s="122"/>
      <c r="J724" s="122"/>
      <c r="K724" s="122"/>
      <c r="L724" s="122"/>
      <c r="M724" s="122"/>
      <c r="P724" s="122"/>
      <c r="Q724" s="122"/>
      <c r="R724" s="122"/>
      <c r="S724" s="122"/>
      <c r="T724" s="122"/>
      <c r="U724" s="122"/>
      <c r="V724" s="122"/>
    </row>
    <row r="725" spans="2:22" s="126" customFormat="1">
      <c r="B725" s="120"/>
      <c r="C725" s="120"/>
      <c r="D725" s="121"/>
      <c r="E725" s="129"/>
      <c r="F725" s="131"/>
      <c r="G725" s="131"/>
      <c r="H725" s="131"/>
      <c r="I725" s="130"/>
      <c r="J725" s="130"/>
      <c r="K725" s="130"/>
      <c r="L725" s="130"/>
      <c r="M725" s="130"/>
      <c r="N725" s="130"/>
      <c r="O725" s="130"/>
      <c r="P725" s="122"/>
      <c r="Q725" s="122"/>
      <c r="R725" s="122"/>
      <c r="S725" s="122"/>
      <c r="T725" s="122"/>
      <c r="U725" s="122"/>
      <c r="V725" s="122"/>
    </row>
    <row r="726" spans="2:22" s="126" customFormat="1">
      <c r="B726" s="120"/>
      <c r="C726" s="120"/>
      <c r="D726" s="121"/>
      <c r="E726" s="132"/>
      <c r="F726" s="121"/>
      <c r="G726" s="121"/>
      <c r="H726" s="121"/>
      <c r="I726" s="122"/>
      <c r="J726" s="122"/>
      <c r="K726" s="122"/>
      <c r="L726" s="122"/>
      <c r="M726" s="122"/>
      <c r="N726" s="122"/>
      <c r="O726" s="122"/>
      <c r="P726" s="122"/>
      <c r="Q726" s="122"/>
      <c r="R726" s="122"/>
      <c r="S726" s="122"/>
      <c r="T726" s="122"/>
      <c r="U726" s="122"/>
      <c r="V726" s="122"/>
    </row>
    <row r="727" spans="2:22" s="126" customFormat="1">
      <c r="B727" s="120"/>
      <c r="C727" s="120"/>
      <c r="D727" s="137"/>
      <c r="E727" s="132"/>
      <c r="F727" s="137"/>
      <c r="G727" s="137"/>
      <c r="H727" s="137"/>
      <c r="I727" s="136"/>
      <c r="J727" s="136"/>
      <c r="K727" s="136"/>
      <c r="L727" s="136"/>
      <c r="M727" s="136"/>
      <c r="N727" s="136"/>
      <c r="O727" s="136"/>
      <c r="P727" s="122"/>
      <c r="Q727" s="122"/>
      <c r="R727" s="122"/>
      <c r="S727" s="122"/>
      <c r="T727" s="122"/>
      <c r="U727" s="122"/>
      <c r="V727" s="122"/>
    </row>
    <row r="728" spans="2:22" s="126" customFormat="1">
      <c r="B728" s="120"/>
      <c r="C728" s="120"/>
      <c r="D728" s="121"/>
      <c r="E728" s="129"/>
      <c r="F728" s="121"/>
      <c r="G728" s="121"/>
      <c r="H728" s="121"/>
      <c r="I728" s="122"/>
      <c r="J728" s="122"/>
      <c r="K728" s="122"/>
      <c r="L728" s="122"/>
      <c r="M728" s="122"/>
      <c r="N728" s="122"/>
      <c r="O728" s="122"/>
      <c r="P728" s="122"/>
      <c r="Q728" s="122"/>
      <c r="R728" s="122"/>
      <c r="S728" s="122"/>
      <c r="T728" s="122"/>
      <c r="U728" s="122"/>
      <c r="V728" s="122"/>
    </row>
    <row r="729" spans="2:22" s="126" customFormat="1">
      <c r="B729" s="120"/>
      <c r="C729" s="120"/>
      <c r="D729" s="121"/>
      <c r="E729" s="129"/>
      <c r="F729" s="131"/>
      <c r="G729" s="131"/>
      <c r="H729" s="131"/>
      <c r="I729" s="130"/>
      <c r="J729" s="130"/>
      <c r="K729" s="130"/>
      <c r="L729" s="130"/>
      <c r="M729" s="130"/>
      <c r="N729" s="130"/>
      <c r="O729" s="130"/>
      <c r="P729" s="122"/>
      <c r="Q729" s="122"/>
      <c r="R729" s="122"/>
      <c r="S729" s="122"/>
      <c r="T729" s="122"/>
      <c r="U729" s="122"/>
      <c r="V729" s="122"/>
    </row>
    <row r="730" spans="2:22" s="126" customFormat="1">
      <c r="B730" s="120"/>
      <c r="C730" s="120"/>
      <c r="D730" s="121"/>
      <c r="E730" s="132"/>
      <c r="F730" s="121"/>
      <c r="G730" s="121"/>
      <c r="H730" s="121"/>
      <c r="I730" s="122"/>
      <c r="J730" s="122"/>
      <c r="K730" s="122"/>
      <c r="L730" s="122"/>
      <c r="M730" s="122"/>
      <c r="N730" s="122"/>
      <c r="O730" s="122"/>
      <c r="P730" s="122"/>
      <c r="Q730" s="122"/>
      <c r="R730" s="122"/>
      <c r="S730" s="122"/>
      <c r="T730" s="122"/>
      <c r="U730" s="122"/>
      <c r="V730" s="122"/>
    </row>
    <row r="731" spans="2:22" s="126" customFormat="1">
      <c r="B731" s="120"/>
      <c r="C731" s="120"/>
      <c r="D731" s="121"/>
      <c r="E731" s="132"/>
      <c r="F731" s="121"/>
      <c r="G731" s="121"/>
      <c r="H731" s="121"/>
      <c r="I731" s="122"/>
      <c r="J731" s="122"/>
      <c r="K731" s="122"/>
      <c r="L731" s="122"/>
      <c r="M731" s="122"/>
      <c r="N731" s="122"/>
      <c r="O731" s="122"/>
      <c r="P731" s="122"/>
      <c r="Q731" s="122"/>
      <c r="R731" s="122"/>
      <c r="S731" s="122"/>
      <c r="T731" s="122"/>
      <c r="U731" s="122"/>
      <c r="V731" s="122"/>
    </row>
    <row r="732" spans="2:22" s="126" customFormat="1">
      <c r="B732" s="120"/>
      <c r="C732" s="120"/>
      <c r="D732" s="121"/>
      <c r="E732" s="129"/>
      <c r="F732" s="131"/>
      <c r="G732" s="131"/>
      <c r="H732" s="131"/>
      <c r="I732" s="130"/>
      <c r="J732" s="130"/>
      <c r="K732" s="130"/>
      <c r="L732" s="130"/>
      <c r="M732" s="130"/>
      <c r="N732" s="130"/>
      <c r="O732" s="130"/>
      <c r="P732" s="122"/>
      <c r="Q732" s="122"/>
      <c r="R732" s="122"/>
      <c r="S732" s="122"/>
      <c r="T732" s="122"/>
      <c r="U732" s="122"/>
      <c r="V732" s="122"/>
    </row>
    <row r="733" spans="2:22" s="126" customFormat="1">
      <c r="B733" s="120"/>
      <c r="C733" s="120"/>
      <c r="D733" s="121"/>
      <c r="E733" s="129"/>
      <c r="F733" s="131"/>
      <c r="G733" s="131"/>
      <c r="H733" s="131"/>
      <c r="I733" s="130"/>
      <c r="J733" s="130"/>
      <c r="K733" s="130"/>
      <c r="L733" s="130"/>
      <c r="M733" s="130"/>
      <c r="N733" s="130"/>
      <c r="O733" s="130"/>
      <c r="P733" s="122"/>
      <c r="Q733" s="122"/>
      <c r="R733" s="122"/>
      <c r="S733" s="122"/>
      <c r="T733" s="122"/>
      <c r="U733" s="122"/>
      <c r="V733" s="122"/>
    </row>
    <row r="734" spans="2:22" s="126" customFormat="1">
      <c r="B734" s="120"/>
      <c r="C734" s="120"/>
      <c r="D734" s="121"/>
      <c r="E734" s="127"/>
      <c r="F734" s="121"/>
      <c r="G734" s="121"/>
      <c r="H734" s="121"/>
      <c r="I734" s="122"/>
      <c r="J734" s="122"/>
      <c r="K734" s="122"/>
      <c r="L734" s="122"/>
      <c r="M734" s="122"/>
      <c r="N734" s="122"/>
      <c r="O734" s="122"/>
      <c r="P734" s="122"/>
      <c r="Q734" s="122"/>
      <c r="R734" s="122"/>
      <c r="S734" s="122"/>
      <c r="T734" s="122"/>
      <c r="U734" s="122"/>
      <c r="V734" s="122"/>
    </row>
    <row r="735" spans="2:22" s="126" customFormat="1">
      <c r="B735" s="120"/>
      <c r="C735" s="120"/>
      <c r="D735" s="121"/>
      <c r="E735" s="132"/>
      <c r="F735" s="121"/>
      <c r="G735" s="121"/>
      <c r="H735" s="121"/>
      <c r="I735" s="122"/>
      <c r="J735" s="122"/>
      <c r="K735" s="122"/>
      <c r="L735" s="122"/>
      <c r="M735" s="122"/>
      <c r="N735" s="122"/>
      <c r="O735" s="122"/>
      <c r="P735" s="122"/>
      <c r="Q735" s="122"/>
      <c r="R735" s="122"/>
      <c r="S735" s="122"/>
      <c r="T735" s="122"/>
      <c r="U735" s="122"/>
      <c r="V735" s="122"/>
    </row>
    <row r="736" spans="2:22" s="126" customFormat="1">
      <c r="B736" s="120"/>
      <c r="C736" s="120"/>
      <c r="D736" s="121"/>
      <c r="E736" s="132"/>
      <c r="F736" s="121"/>
      <c r="G736" s="121"/>
      <c r="H736" s="121"/>
      <c r="I736" s="122"/>
      <c r="J736" s="122"/>
      <c r="K736" s="122"/>
      <c r="L736" s="122"/>
      <c r="M736" s="122"/>
      <c r="N736" s="122"/>
      <c r="O736" s="122"/>
      <c r="P736" s="122"/>
      <c r="Q736" s="122"/>
      <c r="R736" s="122"/>
      <c r="S736" s="122"/>
      <c r="T736" s="122"/>
      <c r="U736" s="122"/>
      <c r="V736" s="122"/>
    </row>
    <row r="737" spans="2:22" s="126" customFormat="1">
      <c r="B737" s="120"/>
      <c r="C737" s="120"/>
      <c r="D737" s="121"/>
      <c r="E737" s="129"/>
      <c r="F737" s="131"/>
      <c r="G737" s="131"/>
      <c r="H737" s="131"/>
      <c r="I737" s="130"/>
      <c r="J737" s="130"/>
      <c r="K737" s="130"/>
      <c r="L737" s="130"/>
      <c r="M737" s="130"/>
      <c r="N737" s="130"/>
      <c r="O737" s="130"/>
      <c r="P737" s="122"/>
      <c r="Q737" s="122"/>
      <c r="R737" s="122"/>
      <c r="S737" s="122"/>
      <c r="T737" s="122"/>
      <c r="U737" s="122"/>
      <c r="V737" s="122"/>
    </row>
    <row r="738" spans="2:22" s="126" customFormat="1">
      <c r="B738" s="120"/>
      <c r="C738" s="120"/>
      <c r="D738" s="121"/>
      <c r="E738" s="129"/>
      <c r="F738" s="131"/>
      <c r="G738" s="131"/>
      <c r="H738" s="131"/>
      <c r="I738" s="130"/>
      <c r="J738" s="130"/>
      <c r="K738" s="130"/>
      <c r="L738" s="130"/>
      <c r="M738" s="130"/>
      <c r="N738" s="135"/>
      <c r="O738" s="135"/>
      <c r="P738" s="122"/>
      <c r="Q738" s="122"/>
      <c r="R738" s="122"/>
      <c r="S738" s="122"/>
      <c r="T738" s="122"/>
      <c r="U738" s="122"/>
      <c r="V738" s="122"/>
    </row>
    <row r="739" spans="2:22" s="126" customFormat="1">
      <c r="B739" s="120"/>
      <c r="C739" s="120"/>
      <c r="D739" s="121"/>
      <c r="E739" s="132"/>
      <c r="F739" s="121"/>
      <c r="G739" s="121"/>
      <c r="H739" s="121"/>
      <c r="I739" s="122"/>
      <c r="J739" s="122"/>
      <c r="K739" s="122"/>
      <c r="L739" s="122"/>
      <c r="M739" s="122"/>
      <c r="N739" s="122"/>
      <c r="O739" s="122"/>
      <c r="P739" s="122"/>
      <c r="Q739" s="122"/>
      <c r="R739" s="122"/>
      <c r="S739" s="122"/>
      <c r="T739" s="122"/>
      <c r="U739" s="122"/>
      <c r="V739" s="122"/>
    </row>
    <row r="740" spans="2:22" s="126" customFormat="1">
      <c r="B740" s="120"/>
      <c r="C740" s="120"/>
      <c r="D740" s="121"/>
      <c r="E740" s="132"/>
      <c r="F740" s="121"/>
      <c r="G740" s="121"/>
      <c r="H740" s="121"/>
      <c r="I740" s="122"/>
      <c r="J740" s="122"/>
      <c r="K740" s="122"/>
      <c r="L740" s="122"/>
      <c r="M740" s="122"/>
      <c r="N740" s="122"/>
      <c r="O740" s="122"/>
      <c r="P740" s="122"/>
      <c r="Q740" s="122"/>
      <c r="R740" s="122"/>
      <c r="S740" s="122"/>
      <c r="T740" s="122"/>
      <c r="U740" s="122"/>
      <c r="V740" s="122"/>
    </row>
    <row r="741" spans="2:22" s="126" customFormat="1">
      <c r="B741" s="120"/>
      <c r="C741" s="120"/>
      <c r="D741" s="121"/>
      <c r="E741" s="129"/>
      <c r="F741" s="131"/>
      <c r="G741" s="131"/>
      <c r="H741" s="131"/>
      <c r="I741" s="130"/>
      <c r="J741" s="130"/>
      <c r="K741" s="130"/>
      <c r="L741" s="130"/>
      <c r="M741" s="130"/>
      <c r="N741" s="130"/>
      <c r="O741" s="130"/>
      <c r="P741" s="122"/>
      <c r="Q741" s="122"/>
      <c r="R741" s="122"/>
      <c r="S741" s="122"/>
      <c r="T741" s="122"/>
      <c r="U741" s="122"/>
      <c r="V741" s="122"/>
    </row>
    <row r="742" spans="2:22" s="126" customFormat="1">
      <c r="B742" s="120"/>
      <c r="C742" s="120"/>
      <c r="D742" s="121"/>
      <c r="E742" s="129"/>
      <c r="F742" s="131"/>
      <c r="G742" s="131"/>
      <c r="H742" s="131"/>
      <c r="I742" s="130"/>
      <c r="J742" s="130"/>
      <c r="K742" s="130"/>
      <c r="L742" s="130"/>
      <c r="M742" s="130"/>
      <c r="N742" s="130"/>
      <c r="O742" s="130"/>
      <c r="P742" s="122"/>
      <c r="Q742" s="122"/>
      <c r="R742" s="122"/>
      <c r="S742" s="122"/>
      <c r="T742" s="122"/>
      <c r="U742" s="122"/>
      <c r="V742" s="122"/>
    </row>
    <row r="743" spans="2:22" s="126" customFormat="1">
      <c r="B743" s="120"/>
      <c r="C743" s="120"/>
      <c r="D743" s="121"/>
      <c r="E743" s="127"/>
      <c r="F743" s="121"/>
      <c r="G743" s="121"/>
      <c r="H743" s="121"/>
      <c r="I743" s="122"/>
      <c r="J743" s="122"/>
      <c r="K743" s="122"/>
      <c r="L743" s="122"/>
      <c r="M743" s="122"/>
      <c r="N743" s="122"/>
      <c r="O743" s="122"/>
      <c r="P743" s="122"/>
      <c r="Q743" s="122"/>
      <c r="R743" s="122"/>
      <c r="S743" s="122"/>
      <c r="T743" s="122"/>
      <c r="U743" s="122"/>
      <c r="V743" s="122"/>
    </row>
    <row r="744" spans="2:22" s="126" customFormat="1">
      <c r="B744" s="120"/>
      <c r="C744" s="120"/>
      <c r="D744" s="121"/>
      <c r="E744" s="124"/>
      <c r="F744" s="121"/>
      <c r="G744" s="121"/>
      <c r="H744" s="121"/>
      <c r="I744" s="122"/>
      <c r="J744" s="122"/>
      <c r="K744" s="122"/>
      <c r="L744" s="122"/>
      <c r="M744" s="122"/>
      <c r="N744" s="122"/>
      <c r="O744" s="122"/>
      <c r="P744" s="122"/>
      <c r="Q744" s="122"/>
      <c r="R744" s="122"/>
      <c r="S744" s="122"/>
      <c r="T744" s="122"/>
      <c r="U744" s="122"/>
      <c r="V744" s="122"/>
    </row>
    <row r="745" spans="2:22" s="126" customFormat="1">
      <c r="B745" s="120"/>
      <c r="C745" s="120"/>
      <c r="D745" s="121"/>
      <c r="E745" s="132"/>
      <c r="F745" s="121"/>
      <c r="G745" s="121"/>
      <c r="H745" s="121"/>
      <c r="I745" s="122"/>
      <c r="J745" s="122"/>
      <c r="K745" s="122"/>
      <c r="L745" s="122"/>
      <c r="M745" s="122"/>
      <c r="N745" s="122"/>
      <c r="O745" s="122"/>
      <c r="P745" s="122"/>
      <c r="Q745" s="122"/>
      <c r="R745" s="122"/>
      <c r="S745" s="122"/>
      <c r="T745" s="122"/>
      <c r="U745" s="122"/>
      <c r="V745" s="122"/>
    </row>
    <row r="746" spans="2:22" s="126" customFormat="1">
      <c r="B746" s="120"/>
      <c r="C746" s="120"/>
      <c r="D746" s="121"/>
      <c r="E746" s="132"/>
      <c r="F746" s="121"/>
      <c r="G746" s="121"/>
      <c r="H746" s="121"/>
      <c r="I746" s="122"/>
      <c r="J746" s="122"/>
      <c r="K746" s="122"/>
      <c r="L746" s="122"/>
      <c r="M746" s="122"/>
      <c r="N746" s="122"/>
      <c r="O746" s="122"/>
      <c r="P746" s="122"/>
      <c r="Q746" s="122"/>
      <c r="R746" s="122"/>
      <c r="S746" s="122"/>
      <c r="T746" s="122"/>
      <c r="U746" s="122"/>
      <c r="V746" s="122"/>
    </row>
    <row r="747" spans="2:22" s="126" customFormat="1">
      <c r="B747" s="120"/>
      <c r="C747" s="120"/>
      <c r="D747" s="121"/>
      <c r="E747" s="132"/>
      <c r="F747" s="121"/>
      <c r="G747" s="121"/>
      <c r="H747" s="121"/>
      <c r="I747" s="122"/>
      <c r="J747" s="122"/>
      <c r="K747" s="122"/>
      <c r="L747" s="122"/>
      <c r="M747" s="122"/>
      <c r="N747" s="122"/>
      <c r="O747" s="122"/>
      <c r="P747" s="122"/>
      <c r="Q747" s="122"/>
      <c r="R747" s="122"/>
      <c r="S747" s="122"/>
      <c r="T747" s="122"/>
      <c r="U747" s="122"/>
      <c r="V747" s="122"/>
    </row>
    <row r="748" spans="2:22" s="126" customFormat="1">
      <c r="B748" s="120"/>
      <c r="C748" s="120"/>
      <c r="D748" s="121"/>
      <c r="E748" s="132"/>
      <c r="F748" s="121"/>
      <c r="G748" s="121"/>
      <c r="H748" s="121"/>
      <c r="I748" s="122"/>
      <c r="J748" s="122"/>
      <c r="K748" s="122"/>
      <c r="L748" s="122"/>
      <c r="M748" s="122"/>
      <c r="N748" s="122"/>
      <c r="O748" s="122"/>
      <c r="P748" s="122"/>
      <c r="Q748" s="122"/>
      <c r="R748" s="122"/>
      <c r="S748" s="122"/>
      <c r="T748" s="122"/>
      <c r="U748" s="122"/>
      <c r="V748" s="122"/>
    </row>
    <row r="749" spans="2:22" s="126" customFormat="1">
      <c r="B749" s="120"/>
      <c r="C749" s="120"/>
      <c r="D749" s="121"/>
      <c r="E749" s="127"/>
      <c r="F749" s="121"/>
      <c r="G749" s="121"/>
      <c r="H749" s="121"/>
      <c r="I749" s="122"/>
      <c r="J749" s="122"/>
      <c r="K749" s="122"/>
      <c r="L749" s="122"/>
      <c r="M749" s="122"/>
      <c r="N749" s="122"/>
      <c r="O749" s="122"/>
      <c r="P749" s="122"/>
      <c r="Q749" s="122"/>
      <c r="R749" s="122"/>
      <c r="S749" s="122"/>
      <c r="T749" s="122"/>
      <c r="U749" s="122"/>
      <c r="V749" s="122"/>
    </row>
    <row r="750" spans="2:22" s="126" customFormat="1">
      <c r="B750" s="120"/>
      <c r="C750" s="120"/>
      <c r="D750" s="121"/>
      <c r="E750" s="127"/>
      <c r="F750" s="121"/>
      <c r="G750" s="121"/>
      <c r="H750" s="121"/>
      <c r="I750" s="122"/>
      <c r="J750" s="122"/>
      <c r="K750" s="122"/>
      <c r="L750" s="122"/>
      <c r="M750" s="122"/>
      <c r="N750" s="122"/>
      <c r="O750" s="122"/>
      <c r="P750" s="122"/>
      <c r="Q750" s="122"/>
      <c r="R750" s="122"/>
      <c r="S750" s="122"/>
      <c r="T750" s="122"/>
      <c r="U750" s="122"/>
      <c r="V750" s="122"/>
    </row>
    <row r="751" spans="2:22" s="126" customFormat="1">
      <c r="B751" s="120"/>
      <c r="C751" s="120"/>
      <c r="D751" s="121"/>
      <c r="E751" s="129"/>
      <c r="F751" s="121"/>
      <c r="G751" s="121"/>
      <c r="H751" s="121"/>
      <c r="I751" s="134"/>
      <c r="J751" s="134"/>
      <c r="K751" s="134"/>
      <c r="L751" s="134"/>
      <c r="M751" s="134"/>
      <c r="N751" s="134"/>
      <c r="O751" s="134"/>
      <c r="P751" s="122"/>
      <c r="Q751" s="122"/>
      <c r="R751" s="122"/>
      <c r="S751" s="122"/>
      <c r="T751" s="122"/>
      <c r="U751" s="122"/>
      <c r="V751" s="122"/>
    </row>
    <row r="752" spans="2:22" s="126" customFormat="1">
      <c r="B752" s="120"/>
      <c r="C752" s="120"/>
      <c r="D752" s="121"/>
      <c r="E752" s="127"/>
      <c r="F752" s="121"/>
      <c r="G752" s="121"/>
      <c r="H752" s="121"/>
      <c r="I752" s="134"/>
      <c r="J752" s="134"/>
      <c r="K752" s="134"/>
      <c r="L752" s="134"/>
      <c r="M752" s="134"/>
      <c r="N752" s="134"/>
      <c r="O752" s="134"/>
      <c r="P752" s="122"/>
      <c r="Q752" s="122"/>
      <c r="R752" s="122"/>
      <c r="S752" s="122"/>
      <c r="T752" s="122"/>
      <c r="U752" s="122"/>
      <c r="V752" s="122"/>
    </row>
    <row r="753" spans="2:22" s="126" customFormat="1">
      <c r="B753" s="120"/>
      <c r="C753" s="120"/>
      <c r="D753" s="121"/>
      <c r="E753" s="132"/>
      <c r="F753" s="121"/>
      <c r="G753" s="121"/>
      <c r="H753" s="121"/>
      <c r="I753" s="122"/>
      <c r="J753" s="122"/>
      <c r="K753" s="122"/>
      <c r="L753" s="122"/>
      <c r="M753" s="122"/>
      <c r="N753" s="122"/>
      <c r="O753" s="122"/>
      <c r="P753" s="122"/>
      <c r="Q753" s="122"/>
      <c r="R753" s="122"/>
      <c r="S753" s="122"/>
      <c r="T753" s="122"/>
      <c r="U753" s="122"/>
      <c r="V753" s="122"/>
    </row>
    <row r="754" spans="2:22" s="126" customFormat="1">
      <c r="B754" s="120"/>
      <c r="C754" s="120"/>
      <c r="D754" s="121"/>
      <c r="E754" s="132"/>
      <c r="F754" s="121"/>
      <c r="G754" s="121"/>
      <c r="H754" s="121"/>
      <c r="I754" s="122"/>
      <c r="J754" s="122"/>
      <c r="K754" s="122"/>
      <c r="L754" s="122"/>
      <c r="M754" s="122"/>
      <c r="N754" s="122"/>
      <c r="O754" s="122"/>
      <c r="P754" s="122"/>
      <c r="Q754" s="122"/>
      <c r="R754" s="122"/>
      <c r="S754" s="122"/>
      <c r="T754" s="122"/>
      <c r="U754" s="122"/>
      <c r="V754" s="122"/>
    </row>
    <row r="755" spans="2:22" s="126" customFormat="1">
      <c r="B755" s="120"/>
      <c r="C755" s="120"/>
      <c r="D755" s="121"/>
      <c r="E755" s="132"/>
      <c r="F755" s="121"/>
      <c r="G755" s="121"/>
      <c r="H755" s="121"/>
      <c r="I755" s="122"/>
      <c r="J755" s="122"/>
      <c r="K755" s="122"/>
      <c r="L755" s="122"/>
      <c r="M755" s="122"/>
      <c r="N755" s="122"/>
      <c r="O755" s="122"/>
      <c r="P755" s="122"/>
      <c r="Q755" s="122"/>
      <c r="R755" s="122"/>
      <c r="S755" s="122"/>
      <c r="T755" s="122"/>
      <c r="U755" s="122"/>
      <c r="V755" s="122"/>
    </row>
    <row r="756" spans="2:22" s="126" customFormat="1">
      <c r="B756" s="120"/>
      <c r="C756" s="120"/>
      <c r="D756" s="121"/>
      <c r="E756" s="133"/>
      <c r="F756" s="121"/>
      <c r="G756" s="121"/>
      <c r="H756" s="121"/>
      <c r="I756" s="122"/>
      <c r="J756" s="122"/>
      <c r="K756" s="122"/>
      <c r="L756" s="122"/>
      <c r="M756" s="122"/>
      <c r="N756" s="122"/>
      <c r="O756" s="122"/>
      <c r="P756" s="122"/>
      <c r="Q756" s="122"/>
      <c r="R756" s="122"/>
      <c r="S756" s="122"/>
      <c r="T756" s="122"/>
      <c r="U756" s="122"/>
      <c r="V756" s="122"/>
    </row>
    <row r="757" spans="2:22" s="126" customFormat="1">
      <c r="B757" s="120"/>
      <c r="C757" s="120"/>
      <c r="D757" s="121"/>
      <c r="E757" s="133"/>
      <c r="F757" s="121"/>
      <c r="G757" s="121"/>
      <c r="H757" s="121"/>
      <c r="I757" s="122"/>
      <c r="J757" s="122"/>
      <c r="K757" s="122"/>
      <c r="L757" s="122"/>
      <c r="M757" s="122"/>
      <c r="N757" s="122"/>
      <c r="O757" s="122"/>
      <c r="P757" s="122"/>
      <c r="Q757" s="122"/>
      <c r="R757" s="122"/>
      <c r="S757" s="122"/>
      <c r="T757" s="122"/>
      <c r="U757" s="122"/>
      <c r="V757" s="122"/>
    </row>
    <row r="758" spans="2:22" s="126" customFormat="1">
      <c r="B758" s="120"/>
      <c r="C758" s="120"/>
      <c r="D758" s="121"/>
      <c r="E758" s="132"/>
      <c r="F758" s="121"/>
      <c r="G758" s="121"/>
      <c r="H758" s="121"/>
      <c r="I758" s="122"/>
      <c r="J758" s="122"/>
      <c r="K758" s="122"/>
      <c r="L758" s="122"/>
      <c r="M758" s="122"/>
      <c r="N758" s="122"/>
      <c r="O758" s="122"/>
      <c r="P758" s="122"/>
      <c r="Q758" s="122"/>
      <c r="R758" s="122"/>
      <c r="S758" s="122"/>
      <c r="T758" s="122"/>
      <c r="U758" s="122"/>
      <c r="V758" s="122"/>
    </row>
    <row r="759" spans="2:22" s="126" customFormat="1">
      <c r="B759" s="120"/>
      <c r="C759" s="120"/>
      <c r="D759" s="121"/>
      <c r="E759" s="132"/>
      <c r="F759" s="121"/>
      <c r="G759" s="121"/>
      <c r="H759" s="121"/>
      <c r="I759" s="122"/>
      <c r="J759" s="122"/>
      <c r="K759" s="122"/>
      <c r="L759" s="122"/>
      <c r="M759" s="122"/>
      <c r="N759" s="122"/>
      <c r="O759" s="122"/>
      <c r="P759" s="122"/>
      <c r="Q759" s="122"/>
      <c r="R759" s="122"/>
      <c r="S759" s="122"/>
      <c r="T759" s="122"/>
      <c r="U759" s="122"/>
      <c r="V759" s="122"/>
    </row>
    <row r="760" spans="2:22" s="126" customFormat="1">
      <c r="B760" s="120"/>
      <c r="C760" s="120"/>
      <c r="D760" s="121"/>
      <c r="E760" s="127"/>
      <c r="F760" s="121"/>
      <c r="G760" s="121"/>
      <c r="H760" s="121"/>
      <c r="I760" s="122"/>
      <c r="J760" s="122"/>
      <c r="K760" s="122"/>
      <c r="L760" s="122"/>
      <c r="M760" s="122"/>
      <c r="N760" s="122"/>
      <c r="O760" s="122"/>
      <c r="P760" s="122"/>
      <c r="Q760" s="122"/>
      <c r="R760" s="122"/>
      <c r="S760" s="122"/>
      <c r="T760" s="122"/>
      <c r="U760" s="122"/>
      <c r="V760" s="122"/>
    </row>
    <row r="761" spans="2:22" s="126" customFormat="1">
      <c r="B761" s="120"/>
      <c r="C761" s="120"/>
      <c r="D761" s="121"/>
      <c r="E761" s="132"/>
      <c r="F761" s="121"/>
      <c r="G761" s="121"/>
      <c r="H761" s="121"/>
      <c r="I761" s="122"/>
      <c r="J761" s="122"/>
      <c r="K761" s="122"/>
      <c r="L761" s="122"/>
      <c r="M761" s="122"/>
      <c r="N761" s="122"/>
      <c r="O761" s="122"/>
      <c r="P761" s="122"/>
      <c r="Q761" s="122"/>
      <c r="R761" s="122"/>
      <c r="S761" s="122"/>
      <c r="T761" s="122"/>
      <c r="U761" s="122"/>
      <c r="V761" s="122"/>
    </row>
    <row r="762" spans="2:22" s="126" customFormat="1">
      <c r="B762" s="120"/>
      <c r="C762" s="120"/>
      <c r="D762" s="121"/>
      <c r="E762" s="132"/>
      <c r="F762" s="121"/>
      <c r="G762" s="121"/>
      <c r="H762" s="121"/>
      <c r="I762" s="122"/>
      <c r="J762" s="122"/>
      <c r="K762" s="122"/>
      <c r="L762" s="122"/>
      <c r="M762" s="122"/>
      <c r="N762" s="122"/>
      <c r="O762" s="122"/>
      <c r="P762" s="122"/>
      <c r="Q762" s="122"/>
      <c r="R762" s="122"/>
      <c r="S762" s="122"/>
      <c r="T762" s="122"/>
      <c r="U762" s="122"/>
      <c r="V762" s="122"/>
    </row>
    <row r="763" spans="2:22" s="126" customFormat="1">
      <c r="B763" s="120"/>
      <c r="C763" s="120"/>
      <c r="D763" s="121"/>
      <c r="E763" s="132"/>
      <c r="F763" s="121"/>
      <c r="G763" s="121"/>
      <c r="H763" s="121"/>
      <c r="I763" s="122"/>
      <c r="J763" s="122"/>
      <c r="K763" s="122"/>
      <c r="L763" s="122"/>
      <c r="M763" s="122"/>
      <c r="N763" s="122"/>
      <c r="O763" s="122"/>
      <c r="P763" s="122"/>
      <c r="Q763" s="122"/>
      <c r="R763" s="122"/>
      <c r="S763" s="122"/>
      <c r="T763" s="122"/>
      <c r="U763" s="122"/>
      <c r="V763" s="122"/>
    </row>
    <row r="764" spans="2:22" s="126" customFormat="1">
      <c r="B764" s="120"/>
      <c r="C764" s="120"/>
      <c r="D764" s="121"/>
      <c r="E764" s="132"/>
      <c r="F764" s="121"/>
      <c r="G764" s="121"/>
      <c r="H764" s="121"/>
      <c r="I764" s="122"/>
      <c r="J764" s="122"/>
      <c r="K764" s="122"/>
      <c r="L764" s="122"/>
      <c r="M764" s="122"/>
      <c r="N764" s="122"/>
      <c r="O764" s="122"/>
      <c r="P764" s="122"/>
      <c r="Q764" s="122"/>
      <c r="R764" s="122"/>
      <c r="S764" s="122"/>
      <c r="T764" s="122"/>
      <c r="U764" s="122"/>
      <c r="V764" s="122"/>
    </row>
    <row r="765" spans="2:22" s="126" customFormat="1">
      <c r="B765" s="120"/>
      <c r="C765" s="120"/>
      <c r="D765" s="121"/>
      <c r="E765" s="132"/>
      <c r="F765" s="121"/>
      <c r="G765" s="121"/>
      <c r="H765" s="121"/>
      <c r="I765" s="122"/>
      <c r="J765" s="122"/>
      <c r="K765" s="122"/>
      <c r="L765" s="122"/>
      <c r="M765" s="122"/>
      <c r="N765" s="122"/>
      <c r="O765" s="122"/>
      <c r="P765" s="122"/>
      <c r="Q765" s="122"/>
      <c r="R765" s="122"/>
      <c r="S765" s="122"/>
      <c r="T765" s="122"/>
      <c r="U765" s="122"/>
      <c r="V765" s="122"/>
    </row>
    <row r="766" spans="2:22" s="126" customFormat="1">
      <c r="B766" s="120"/>
      <c r="C766" s="120"/>
      <c r="D766" s="121"/>
      <c r="E766" s="132"/>
      <c r="F766" s="121"/>
      <c r="G766" s="121"/>
      <c r="H766" s="121"/>
      <c r="I766" s="122"/>
      <c r="J766" s="122"/>
      <c r="K766" s="122"/>
      <c r="L766" s="122"/>
      <c r="M766" s="122"/>
      <c r="N766" s="122"/>
      <c r="O766" s="122"/>
      <c r="P766" s="122"/>
      <c r="Q766" s="122"/>
      <c r="R766" s="122"/>
      <c r="S766" s="122"/>
      <c r="T766" s="122"/>
      <c r="U766" s="122"/>
      <c r="V766" s="122"/>
    </row>
    <row r="767" spans="2:22" s="126" customFormat="1">
      <c r="B767" s="120"/>
      <c r="C767" s="120"/>
      <c r="D767" s="121"/>
      <c r="E767" s="133"/>
      <c r="F767" s="121"/>
      <c r="G767" s="121"/>
      <c r="H767" s="121"/>
      <c r="I767" s="122"/>
      <c r="J767" s="122"/>
      <c r="K767" s="122"/>
      <c r="L767" s="122"/>
      <c r="M767" s="122"/>
      <c r="N767" s="122"/>
      <c r="O767" s="122"/>
      <c r="P767" s="122"/>
      <c r="Q767" s="122"/>
      <c r="R767" s="122"/>
      <c r="S767" s="122"/>
      <c r="T767" s="122"/>
      <c r="U767" s="122"/>
      <c r="V767" s="122"/>
    </row>
    <row r="768" spans="2:22" s="126" customFormat="1">
      <c r="B768" s="120"/>
      <c r="C768" s="120"/>
      <c r="D768" s="121"/>
      <c r="E768" s="132"/>
      <c r="F768" s="121"/>
      <c r="G768" s="121"/>
      <c r="H768" s="121"/>
      <c r="I768" s="122"/>
      <c r="J768" s="122"/>
      <c r="K768" s="122"/>
      <c r="L768" s="122"/>
      <c r="M768" s="122"/>
      <c r="N768" s="122"/>
      <c r="O768" s="122"/>
      <c r="P768" s="122"/>
      <c r="Q768" s="122"/>
      <c r="R768" s="122"/>
      <c r="S768" s="122"/>
      <c r="T768" s="122"/>
      <c r="U768" s="122"/>
      <c r="V768" s="122"/>
    </row>
    <row r="769" spans="2:22" s="126" customFormat="1">
      <c r="B769" s="120"/>
      <c r="C769" s="120"/>
      <c r="D769" s="121"/>
      <c r="E769" s="132"/>
      <c r="F769" s="121"/>
      <c r="G769" s="121"/>
      <c r="H769" s="121"/>
      <c r="I769" s="130"/>
      <c r="J769" s="130"/>
      <c r="K769" s="130"/>
      <c r="L769" s="130"/>
      <c r="M769" s="130"/>
      <c r="N769" s="130"/>
      <c r="O769" s="130"/>
      <c r="P769" s="122"/>
      <c r="Q769" s="122"/>
      <c r="R769" s="122"/>
      <c r="S769" s="122"/>
      <c r="T769" s="122"/>
      <c r="U769" s="122"/>
      <c r="V769" s="122"/>
    </row>
    <row r="770" spans="2:22" s="126" customFormat="1">
      <c r="B770" s="120"/>
      <c r="C770" s="120"/>
      <c r="D770" s="121"/>
      <c r="E770" s="129"/>
      <c r="F770" s="131"/>
      <c r="G770" s="131"/>
      <c r="H770" s="131"/>
      <c r="I770" s="130"/>
      <c r="J770" s="130"/>
      <c r="K770" s="130"/>
      <c r="L770" s="130"/>
      <c r="M770" s="130"/>
      <c r="N770" s="130"/>
      <c r="O770" s="130"/>
      <c r="P770" s="122"/>
      <c r="Q770" s="122"/>
      <c r="R770" s="122"/>
      <c r="S770" s="122"/>
      <c r="T770" s="122"/>
      <c r="U770" s="122"/>
      <c r="V770" s="122"/>
    </row>
    <row r="771" spans="2:22" s="126" customFormat="1">
      <c r="B771" s="120"/>
      <c r="C771" s="120"/>
      <c r="D771" s="121"/>
      <c r="E771" s="132"/>
      <c r="F771" s="121"/>
      <c r="G771" s="121"/>
      <c r="H771" s="121"/>
      <c r="I771" s="122"/>
      <c r="J771" s="122"/>
      <c r="K771" s="122"/>
      <c r="L771" s="122"/>
      <c r="M771" s="122"/>
      <c r="N771" s="122"/>
      <c r="O771" s="122"/>
      <c r="P771" s="122"/>
      <c r="Q771" s="122"/>
      <c r="R771" s="122"/>
      <c r="S771" s="122"/>
      <c r="T771" s="122"/>
      <c r="U771" s="122"/>
      <c r="V771" s="122"/>
    </row>
    <row r="772" spans="2:22" s="126" customFormat="1">
      <c r="B772" s="120"/>
      <c r="C772" s="120"/>
      <c r="D772" s="121"/>
      <c r="E772" s="132"/>
      <c r="F772" s="121"/>
      <c r="G772" s="121"/>
      <c r="H772" s="121"/>
      <c r="I772" s="122"/>
      <c r="J772" s="122"/>
      <c r="K772" s="122"/>
      <c r="L772" s="122"/>
      <c r="M772" s="122"/>
      <c r="N772" s="122"/>
      <c r="O772" s="122"/>
      <c r="P772" s="122"/>
      <c r="Q772" s="122"/>
      <c r="R772" s="122"/>
      <c r="S772" s="122"/>
      <c r="T772" s="122"/>
      <c r="U772" s="122"/>
      <c r="V772" s="122"/>
    </row>
    <row r="773" spans="2:22" s="126" customFormat="1">
      <c r="B773" s="120"/>
      <c r="C773" s="120"/>
      <c r="D773" s="121"/>
      <c r="E773" s="132"/>
      <c r="F773" s="121"/>
      <c r="G773" s="121"/>
      <c r="H773" s="121"/>
      <c r="I773" s="122"/>
      <c r="J773" s="122"/>
      <c r="K773" s="122"/>
      <c r="L773" s="122"/>
      <c r="M773" s="122"/>
      <c r="N773" s="122"/>
      <c r="O773" s="122"/>
      <c r="P773" s="122"/>
      <c r="Q773" s="122"/>
      <c r="R773" s="122"/>
      <c r="S773" s="122"/>
      <c r="T773" s="122"/>
      <c r="U773" s="122"/>
      <c r="V773" s="122"/>
    </row>
    <row r="774" spans="2:22" s="126" customFormat="1">
      <c r="B774" s="120"/>
      <c r="C774" s="120"/>
      <c r="D774" s="121"/>
      <c r="E774" s="129"/>
      <c r="F774" s="131"/>
      <c r="G774" s="131"/>
      <c r="H774" s="131"/>
      <c r="I774" s="130"/>
      <c r="J774" s="130"/>
      <c r="K774" s="130"/>
      <c r="L774" s="130"/>
      <c r="M774" s="130"/>
      <c r="N774" s="130"/>
      <c r="O774" s="130"/>
      <c r="P774" s="122"/>
      <c r="Q774" s="122"/>
      <c r="R774" s="122"/>
      <c r="S774" s="122"/>
      <c r="T774" s="122"/>
      <c r="U774" s="122"/>
      <c r="V774" s="122"/>
    </row>
    <row r="775" spans="2:22" s="126" customFormat="1">
      <c r="B775" s="120"/>
      <c r="C775" s="120"/>
      <c r="D775" s="121"/>
      <c r="E775" s="132"/>
      <c r="F775" s="121"/>
      <c r="G775" s="121"/>
      <c r="H775" s="121"/>
      <c r="I775" s="122"/>
      <c r="J775" s="122"/>
      <c r="K775" s="122"/>
      <c r="L775" s="122"/>
      <c r="M775" s="122"/>
      <c r="N775" s="122"/>
      <c r="O775" s="122"/>
      <c r="P775" s="122"/>
      <c r="Q775" s="122"/>
      <c r="R775" s="122"/>
      <c r="S775" s="122"/>
      <c r="T775" s="122"/>
      <c r="U775" s="122"/>
      <c r="V775" s="122"/>
    </row>
    <row r="776" spans="2:22" s="126" customFormat="1">
      <c r="B776" s="120"/>
      <c r="C776" s="120"/>
      <c r="D776" s="121"/>
      <c r="E776" s="129"/>
      <c r="F776" s="131"/>
      <c r="G776" s="131"/>
      <c r="H776" s="131"/>
      <c r="I776" s="130"/>
      <c r="J776" s="130"/>
      <c r="K776" s="130"/>
      <c r="L776" s="130"/>
      <c r="M776" s="130"/>
      <c r="N776" s="130"/>
      <c r="O776" s="130"/>
      <c r="P776" s="122"/>
      <c r="Q776" s="122"/>
      <c r="R776" s="122"/>
      <c r="S776" s="122"/>
      <c r="T776" s="122"/>
      <c r="U776" s="122"/>
      <c r="V776" s="122"/>
    </row>
    <row r="777" spans="2:22" s="126" customFormat="1">
      <c r="B777" s="120"/>
      <c r="C777" s="120"/>
      <c r="D777" s="121"/>
      <c r="E777" s="132"/>
      <c r="F777" s="121"/>
      <c r="G777" s="121"/>
      <c r="H777" s="121"/>
      <c r="I777" s="122"/>
      <c r="J777" s="122"/>
      <c r="K777" s="122"/>
      <c r="L777" s="122"/>
      <c r="M777" s="122"/>
      <c r="N777" s="122"/>
      <c r="O777" s="122"/>
      <c r="P777" s="122"/>
      <c r="Q777" s="122"/>
      <c r="R777" s="122"/>
      <c r="S777" s="122"/>
      <c r="T777" s="122"/>
      <c r="U777" s="122"/>
      <c r="V777" s="122"/>
    </row>
    <row r="778" spans="2:22" s="126" customFormat="1">
      <c r="B778" s="120"/>
      <c r="C778" s="120"/>
      <c r="D778" s="121"/>
      <c r="E778" s="129"/>
      <c r="F778" s="131"/>
      <c r="G778" s="131"/>
      <c r="H778" s="131"/>
      <c r="I778" s="130"/>
      <c r="J778" s="130"/>
      <c r="K778" s="130"/>
      <c r="L778" s="130"/>
      <c r="M778" s="130"/>
      <c r="N778" s="130"/>
      <c r="O778" s="130"/>
      <c r="P778" s="122"/>
      <c r="Q778" s="122"/>
      <c r="R778" s="122"/>
      <c r="S778" s="122"/>
      <c r="T778" s="122"/>
      <c r="U778" s="122"/>
      <c r="V778" s="122"/>
    </row>
    <row r="779" spans="2:22" s="126" customFormat="1">
      <c r="B779" s="120"/>
      <c r="C779" s="120"/>
      <c r="D779" s="121"/>
      <c r="E779" s="127"/>
      <c r="F779" s="121"/>
      <c r="G779" s="121"/>
      <c r="H779" s="121"/>
      <c r="I779" s="122"/>
      <c r="J779" s="122"/>
      <c r="K779" s="122"/>
      <c r="L779" s="122"/>
      <c r="M779" s="122"/>
      <c r="N779" s="122"/>
      <c r="O779" s="122"/>
      <c r="P779" s="122"/>
      <c r="Q779" s="122"/>
      <c r="R779" s="122"/>
      <c r="S779" s="122"/>
      <c r="T779" s="122"/>
      <c r="U779" s="122"/>
      <c r="V779" s="122"/>
    </row>
    <row r="780" spans="2:22" s="126" customFormat="1">
      <c r="B780" s="120"/>
      <c r="C780" s="120"/>
      <c r="D780" s="121"/>
      <c r="E780" s="127"/>
      <c r="F780" s="121"/>
      <c r="G780" s="121"/>
      <c r="H780" s="121"/>
      <c r="I780" s="122"/>
      <c r="J780" s="122"/>
      <c r="K780" s="122"/>
      <c r="L780" s="122"/>
      <c r="M780" s="122"/>
      <c r="N780" s="122"/>
      <c r="O780" s="122"/>
      <c r="P780" s="122"/>
      <c r="Q780" s="122"/>
      <c r="R780" s="122"/>
      <c r="S780" s="122"/>
      <c r="T780" s="122"/>
      <c r="U780" s="122"/>
      <c r="V780" s="122"/>
    </row>
    <row r="781" spans="2:22" s="126" customFormat="1">
      <c r="B781" s="120"/>
      <c r="C781" s="120"/>
      <c r="D781" s="121"/>
      <c r="E781" s="127"/>
      <c r="F781" s="121"/>
      <c r="G781" s="121"/>
      <c r="H781" s="121"/>
      <c r="I781" s="122"/>
      <c r="J781" s="122"/>
      <c r="K781" s="122"/>
      <c r="L781" s="122"/>
      <c r="M781" s="122"/>
      <c r="N781" s="122"/>
      <c r="O781" s="122"/>
      <c r="P781" s="122"/>
      <c r="Q781" s="122"/>
      <c r="R781" s="122"/>
      <c r="S781" s="122"/>
      <c r="T781" s="122"/>
      <c r="U781" s="122"/>
      <c r="V781" s="122"/>
    </row>
    <row r="782" spans="2:22" s="126" customFormat="1">
      <c r="B782" s="120"/>
      <c r="C782" s="120"/>
      <c r="D782" s="121"/>
      <c r="E782" s="124"/>
      <c r="F782" s="121"/>
      <c r="G782" s="121"/>
      <c r="H782" s="121"/>
      <c r="I782" s="122"/>
      <c r="J782" s="122"/>
      <c r="K782" s="122"/>
      <c r="L782" s="122"/>
      <c r="M782" s="122"/>
      <c r="N782" s="122"/>
      <c r="O782" s="122"/>
      <c r="P782" s="122"/>
      <c r="Q782" s="122"/>
      <c r="R782" s="122"/>
      <c r="S782" s="122"/>
      <c r="T782" s="122"/>
      <c r="U782" s="122"/>
      <c r="V782" s="122"/>
    </row>
    <row r="783" spans="2:22" s="126" customFormat="1">
      <c r="B783" s="120"/>
      <c r="C783" s="120"/>
      <c r="D783" s="121"/>
      <c r="E783" s="129"/>
      <c r="F783" s="121"/>
      <c r="G783" s="121"/>
      <c r="H783" s="121"/>
      <c r="I783" s="122"/>
      <c r="J783" s="122"/>
      <c r="K783" s="122"/>
      <c r="L783" s="122"/>
      <c r="M783" s="122"/>
      <c r="N783" s="122"/>
      <c r="O783" s="122"/>
      <c r="P783" s="122"/>
      <c r="Q783" s="122"/>
      <c r="R783" s="122"/>
      <c r="S783" s="122"/>
      <c r="T783" s="122"/>
      <c r="U783" s="122"/>
      <c r="V783" s="122"/>
    </row>
    <row r="784" spans="2:22" s="126" customFormat="1">
      <c r="B784" s="120"/>
      <c r="C784" s="120"/>
      <c r="D784" s="121"/>
      <c r="E784" s="127"/>
      <c r="F784" s="121"/>
      <c r="G784" s="121"/>
      <c r="H784" s="121"/>
      <c r="I784" s="122"/>
      <c r="J784" s="122"/>
      <c r="K784" s="122"/>
      <c r="L784" s="122"/>
      <c r="M784" s="122"/>
      <c r="P784" s="122"/>
      <c r="Q784" s="122"/>
      <c r="R784" s="122"/>
      <c r="S784" s="122"/>
      <c r="T784" s="122"/>
      <c r="U784" s="122"/>
      <c r="V784" s="122"/>
    </row>
    <row r="785" spans="2:22" s="126" customFormat="1">
      <c r="B785" s="120"/>
      <c r="C785" s="120"/>
      <c r="D785" s="121"/>
      <c r="E785" s="127"/>
      <c r="F785" s="121"/>
      <c r="G785" s="121"/>
      <c r="H785" s="121"/>
      <c r="I785" s="122"/>
      <c r="J785" s="122"/>
      <c r="K785" s="122"/>
      <c r="L785" s="122"/>
      <c r="M785" s="122"/>
      <c r="N785" s="122"/>
      <c r="O785" s="122"/>
      <c r="P785" s="122"/>
      <c r="Q785" s="122"/>
      <c r="R785" s="122"/>
      <c r="S785" s="122"/>
      <c r="T785" s="122"/>
      <c r="U785" s="122"/>
      <c r="V785" s="122"/>
    </row>
    <row r="786" spans="2:22" s="126" customFormat="1">
      <c r="B786" s="120"/>
      <c r="C786" s="120"/>
      <c r="D786" s="121"/>
      <c r="E786" s="127"/>
      <c r="F786" s="121"/>
      <c r="G786" s="121"/>
      <c r="H786" s="121"/>
      <c r="I786" s="122"/>
      <c r="J786" s="122"/>
      <c r="K786" s="122"/>
      <c r="L786" s="122"/>
      <c r="M786" s="122"/>
      <c r="N786" s="122"/>
      <c r="O786" s="122"/>
      <c r="P786" s="122"/>
      <c r="Q786" s="122"/>
      <c r="R786" s="122"/>
      <c r="S786" s="122"/>
      <c r="T786" s="122"/>
      <c r="U786" s="122"/>
      <c r="V786" s="122"/>
    </row>
    <row r="787" spans="2:22" s="126" customFormat="1">
      <c r="B787" s="120"/>
      <c r="C787" s="120"/>
      <c r="D787" s="121"/>
      <c r="E787" s="127"/>
      <c r="F787" s="121"/>
      <c r="G787" s="121"/>
      <c r="H787" s="121"/>
      <c r="I787" s="122"/>
      <c r="J787" s="122"/>
      <c r="K787" s="122"/>
      <c r="L787" s="122"/>
      <c r="M787" s="122"/>
      <c r="N787" s="122"/>
      <c r="O787" s="122"/>
      <c r="P787" s="122"/>
      <c r="Q787" s="122"/>
      <c r="R787" s="122"/>
      <c r="S787" s="122"/>
      <c r="T787" s="122"/>
      <c r="U787" s="122"/>
      <c r="V787" s="122"/>
    </row>
    <row r="788" spans="2:22" s="126" customFormat="1">
      <c r="B788" s="120"/>
      <c r="C788" s="120"/>
      <c r="D788" s="121"/>
      <c r="E788" s="127"/>
      <c r="F788" s="121"/>
      <c r="G788" s="121"/>
      <c r="H788" s="121"/>
      <c r="I788" s="122"/>
      <c r="J788" s="122"/>
      <c r="K788" s="122"/>
      <c r="L788" s="122"/>
      <c r="M788" s="122"/>
      <c r="N788" s="122"/>
      <c r="O788" s="122"/>
      <c r="P788" s="122"/>
      <c r="Q788" s="122"/>
      <c r="R788" s="122"/>
      <c r="S788" s="122"/>
      <c r="T788" s="122"/>
      <c r="U788" s="122"/>
      <c r="V788" s="122"/>
    </row>
    <row r="789" spans="2:22" s="126" customFormat="1">
      <c r="B789" s="120"/>
      <c r="C789" s="120"/>
      <c r="D789" s="121"/>
      <c r="E789" s="127"/>
      <c r="F789" s="121"/>
      <c r="G789" s="121"/>
      <c r="H789" s="121"/>
      <c r="I789" s="122"/>
      <c r="J789" s="122"/>
      <c r="K789" s="122"/>
      <c r="L789" s="122"/>
      <c r="M789" s="122"/>
      <c r="N789" s="122"/>
      <c r="O789" s="122"/>
      <c r="P789" s="122"/>
      <c r="Q789" s="122"/>
      <c r="R789" s="122"/>
      <c r="S789" s="122"/>
      <c r="T789" s="122"/>
      <c r="U789" s="122"/>
      <c r="V789" s="122"/>
    </row>
    <row r="790" spans="2:22" s="126" customFormat="1">
      <c r="B790" s="120"/>
      <c r="C790" s="120"/>
      <c r="D790" s="121"/>
      <c r="E790" s="127"/>
      <c r="F790" s="121"/>
      <c r="G790" s="121"/>
      <c r="H790" s="121"/>
      <c r="I790" s="122"/>
      <c r="J790" s="122"/>
      <c r="K790" s="122"/>
      <c r="L790" s="122"/>
      <c r="M790" s="122"/>
      <c r="N790" s="122"/>
      <c r="O790" s="122"/>
      <c r="P790" s="122"/>
      <c r="Q790" s="122"/>
      <c r="R790" s="122"/>
      <c r="S790" s="122"/>
      <c r="T790" s="122"/>
      <c r="U790" s="122"/>
      <c r="V790" s="122"/>
    </row>
    <row r="791" spans="2:22" s="126" customFormat="1">
      <c r="B791" s="120"/>
      <c r="C791" s="120"/>
      <c r="D791" s="121"/>
      <c r="E791" s="127"/>
      <c r="F791" s="121"/>
      <c r="G791" s="121"/>
      <c r="H791" s="121"/>
      <c r="I791" s="122"/>
      <c r="J791" s="122"/>
      <c r="K791" s="122"/>
      <c r="L791" s="122"/>
      <c r="M791" s="122"/>
      <c r="N791" s="122"/>
      <c r="O791" s="122"/>
      <c r="P791" s="122"/>
      <c r="Q791" s="122"/>
      <c r="R791" s="122"/>
      <c r="S791" s="122"/>
      <c r="T791" s="122"/>
      <c r="U791" s="122"/>
      <c r="V791" s="122"/>
    </row>
    <row r="792" spans="2:22" s="126" customFormat="1">
      <c r="B792" s="120"/>
      <c r="C792" s="120"/>
      <c r="D792" s="121"/>
      <c r="E792" s="127"/>
      <c r="F792" s="121"/>
      <c r="G792" s="121"/>
      <c r="H792" s="121"/>
      <c r="I792" s="122"/>
      <c r="J792" s="122"/>
      <c r="K792" s="122"/>
      <c r="L792" s="122"/>
      <c r="M792" s="122"/>
      <c r="N792" s="122"/>
      <c r="O792" s="122"/>
      <c r="P792" s="122"/>
      <c r="Q792" s="122"/>
      <c r="R792" s="122"/>
      <c r="S792" s="122"/>
      <c r="T792" s="122"/>
      <c r="U792" s="122"/>
      <c r="V792" s="122"/>
    </row>
    <row r="793" spans="2:22" s="126" customFormat="1">
      <c r="B793" s="120"/>
      <c r="C793" s="120"/>
      <c r="D793" s="121"/>
      <c r="E793" s="127"/>
      <c r="F793" s="121"/>
      <c r="G793" s="121"/>
      <c r="H793" s="121"/>
      <c r="I793" s="122"/>
      <c r="J793" s="122"/>
      <c r="K793" s="122"/>
      <c r="L793" s="122"/>
      <c r="M793" s="122"/>
      <c r="N793" s="122"/>
      <c r="O793" s="122"/>
      <c r="P793" s="122"/>
      <c r="Q793" s="122"/>
      <c r="R793" s="122"/>
      <c r="S793" s="122"/>
      <c r="T793" s="122"/>
      <c r="U793" s="122"/>
      <c r="V793" s="122"/>
    </row>
    <row r="794" spans="2:22" s="126" customFormat="1">
      <c r="B794" s="120"/>
      <c r="C794" s="120"/>
      <c r="D794" s="121"/>
      <c r="E794" s="127"/>
      <c r="F794" s="121"/>
      <c r="G794" s="121"/>
      <c r="H794" s="121"/>
      <c r="I794" s="122"/>
      <c r="J794" s="122"/>
      <c r="K794" s="122"/>
      <c r="L794" s="122"/>
      <c r="M794" s="122"/>
      <c r="N794" s="122"/>
      <c r="O794" s="122"/>
      <c r="P794" s="122"/>
      <c r="Q794" s="122"/>
      <c r="R794" s="122"/>
      <c r="S794" s="122"/>
      <c r="T794" s="122"/>
      <c r="U794" s="122"/>
      <c r="V794" s="122"/>
    </row>
    <row r="795" spans="2:22" s="126" customFormat="1">
      <c r="B795" s="120"/>
      <c r="C795" s="120"/>
      <c r="D795" s="121"/>
      <c r="E795" s="127"/>
      <c r="F795" s="121"/>
      <c r="G795" s="121"/>
      <c r="H795" s="121"/>
      <c r="I795" s="122"/>
      <c r="J795" s="122"/>
      <c r="K795" s="122"/>
      <c r="L795" s="122"/>
      <c r="M795" s="122"/>
      <c r="N795" s="122"/>
      <c r="O795" s="122"/>
      <c r="P795" s="122"/>
      <c r="Q795" s="122"/>
      <c r="R795" s="122"/>
      <c r="S795" s="122"/>
      <c r="T795" s="122"/>
      <c r="U795" s="122"/>
      <c r="V795" s="122"/>
    </row>
    <row r="796" spans="2:22" s="126" customFormat="1">
      <c r="B796" s="120"/>
      <c r="C796" s="120"/>
      <c r="D796" s="121"/>
      <c r="E796" s="127"/>
      <c r="F796" s="121"/>
      <c r="G796" s="121"/>
      <c r="H796" s="121"/>
      <c r="I796" s="122"/>
      <c r="J796" s="122"/>
      <c r="K796" s="122"/>
      <c r="L796" s="122"/>
      <c r="M796" s="122"/>
      <c r="N796" s="122"/>
      <c r="O796" s="122"/>
      <c r="P796" s="122"/>
      <c r="Q796" s="122"/>
      <c r="R796" s="122"/>
      <c r="S796" s="122"/>
      <c r="T796" s="122"/>
      <c r="U796" s="122"/>
      <c r="V796" s="122"/>
    </row>
    <row r="797" spans="2:22" s="126" customFormat="1">
      <c r="B797" s="120"/>
      <c r="C797" s="120"/>
      <c r="D797" s="121"/>
      <c r="E797" s="127"/>
      <c r="F797" s="121"/>
      <c r="G797" s="121"/>
      <c r="H797" s="121"/>
      <c r="I797" s="128"/>
      <c r="J797" s="122"/>
      <c r="K797" s="122"/>
      <c r="L797" s="122"/>
      <c r="M797" s="122"/>
      <c r="N797" s="122"/>
      <c r="O797" s="122"/>
      <c r="P797" s="122"/>
      <c r="Q797" s="122"/>
      <c r="R797" s="122"/>
      <c r="S797" s="122"/>
      <c r="T797" s="122"/>
      <c r="U797" s="122"/>
      <c r="V797" s="122"/>
    </row>
    <row r="798" spans="2:22" s="126" customFormat="1">
      <c r="B798" s="120"/>
      <c r="C798" s="120"/>
      <c r="D798" s="121"/>
      <c r="E798" s="127"/>
      <c r="F798" s="121"/>
      <c r="G798" s="121"/>
      <c r="H798" s="121"/>
      <c r="I798" s="122"/>
      <c r="J798" s="122"/>
      <c r="K798" s="122"/>
      <c r="L798" s="122"/>
      <c r="M798" s="122"/>
      <c r="N798" s="122"/>
      <c r="O798" s="122"/>
      <c r="P798" s="122"/>
      <c r="Q798" s="122"/>
      <c r="R798" s="122"/>
      <c r="S798" s="122"/>
      <c r="T798" s="122"/>
      <c r="U798" s="122"/>
      <c r="V798" s="122"/>
    </row>
    <row r="799" spans="2:22" s="126" customFormat="1">
      <c r="B799" s="120"/>
      <c r="C799" s="120"/>
      <c r="D799" s="121"/>
      <c r="E799" s="127"/>
      <c r="F799" s="121"/>
      <c r="G799" s="121"/>
      <c r="H799" s="121"/>
      <c r="I799" s="122"/>
      <c r="J799" s="122"/>
      <c r="K799" s="122"/>
      <c r="L799" s="122"/>
      <c r="M799" s="122"/>
      <c r="N799" s="122"/>
      <c r="O799" s="122"/>
      <c r="P799" s="122"/>
      <c r="Q799" s="122"/>
      <c r="R799" s="122"/>
      <c r="S799" s="122"/>
      <c r="T799" s="122"/>
      <c r="U799" s="122"/>
      <c r="V799" s="122"/>
    </row>
    <row r="800" spans="2:22" s="126" customFormat="1">
      <c r="B800" s="120"/>
      <c r="C800" s="120"/>
      <c r="D800" s="121"/>
      <c r="E800" s="127"/>
      <c r="F800" s="121"/>
      <c r="G800" s="121"/>
      <c r="H800" s="121"/>
      <c r="I800" s="122"/>
      <c r="J800" s="122"/>
      <c r="K800" s="122"/>
      <c r="L800" s="122"/>
      <c r="M800" s="122"/>
      <c r="N800" s="122"/>
      <c r="O800" s="122"/>
      <c r="P800" s="122"/>
      <c r="Q800" s="122"/>
      <c r="R800" s="122"/>
      <c r="S800" s="122"/>
      <c r="T800" s="122"/>
      <c r="U800" s="122"/>
      <c r="V800" s="122"/>
    </row>
    <row r="801" spans="2:22" s="126" customFormat="1">
      <c r="B801" s="120"/>
      <c r="C801" s="120"/>
      <c r="D801" s="121"/>
      <c r="E801" s="127"/>
      <c r="F801" s="121"/>
      <c r="G801" s="121"/>
      <c r="H801" s="121"/>
      <c r="I801" s="122"/>
      <c r="J801" s="122"/>
      <c r="K801" s="122"/>
      <c r="L801" s="122"/>
      <c r="M801" s="122"/>
      <c r="N801" s="122"/>
      <c r="O801" s="122"/>
      <c r="P801" s="122"/>
      <c r="Q801" s="122"/>
      <c r="R801" s="122"/>
      <c r="S801" s="122"/>
      <c r="T801" s="122"/>
      <c r="U801" s="122"/>
      <c r="V801" s="122"/>
    </row>
    <row r="802" spans="2:22" s="126" customFormat="1">
      <c r="B802" s="120"/>
      <c r="C802" s="120"/>
      <c r="D802" s="121"/>
      <c r="E802" s="127"/>
      <c r="F802" s="121"/>
      <c r="G802" s="121"/>
      <c r="H802" s="121"/>
      <c r="I802" s="122"/>
      <c r="J802" s="122"/>
      <c r="K802" s="122"/>
      <c r="L802" s="122"/>
      <c r="M802" s="122"/>
      <c r="N802" s="122"/>
      <c r="O802" s="122"/>
      <c r="P802" s="122"/>
      <c r="Q802" s="122"/>
      <c r="R802" s="122"/>
      <c r="S802" s="122"/>
      <c r="T802" s="122"/>
      <c r="U802" s="122"/>
      <c r="V802" s="122"/>
    </row>
    <row r="803" spans="2:22" s="126" customFormat="1">
      <c r="B803" s="120"/>
      <c r="C803" s="120"/>
      <c r="D803" s="121"/>
      <c r="E803" s="127"/>
      <c r="F803" s="121"/>
      <c r="G803" s="121"/>
      <c r="H803" s="121"/>
      <c r="I803" s="122"/>
      <c r="J803" s="122"/>
      <c r="K803" s="122"/>
      <c r="L803" s="122"/>
      <c r="M803" s="122"/>
      <c r="N803" s="122"/>
      <c r="O803" s="122"/>
      <c r="P803" s="122"/>
      <c r="Q803" s="122"/>
      <c r="R803" s="122"/>
      <c r="S803" s="122"/>
      <c r="T803" s="122"/>
      <c r="U803" s="122"/>
      <c r="V803" s="122"/>
    </row>
    <row r="804" spans="2:22" s="126" customFormat="1">
      <c r="B804" s="120"/>
      <c r="C804" s="120"/>
      <c r="D804" s="121"/>
      <c r="E804" s="127"/>
      <c r="F804" s="121"/>
      <c r="G804" s="121"/>
      <c r="H804" s="121"/>
      <c r="I804" s="122"/>
      <c r="J804" s="122"/>
      <c r="K804" s="122"/>
      <c r="L804" s="122"/>
      <c r="M804" s="122"/>
      <c r="N804" s="122"/>
      <c r="O804" s="122"/>
      <c r="P804" s="122"/>
      <c r="Q804" s="122"/>
      <c r="R804" s="122"/>
      <c r="S804" s="122"/>
      <c r="T804" s="122"/>
      <c r="U804" s="122"/>
      <c r="V804" s="122"/>
    </row>
    <row r="805" spans="2:22" s="126" customFormat="1">
      <c r="B805" s="120"/>
      <c r="C805" s="120"/>
      <c r="D805" s="121"/>
      <c r="E805" s="127"/>
      <c r="F805" s="121"/>
      <c r="G805" s="121"/>
      <c r="H805" s="121"/>
      <c r="I805" s="122"/>
      <c r="J805" s="122"/>
      <c r="K805" s="122"/>
      <c r="L805" s="122"/>
      <c r="M805" s="122"/>
      <c r="N805" s="122"/>
      <c r="O805" s="122"/>
      <c r="P805" s="122"/>
      <c r="Q805" s="122"/>
      <c r="R805" s="122"/>
      <c r="S805" s="122"/>
      <c r="T805" s="122"/>
      <c r="U805" s="122"/>
      <c r="V805" s="122"/>
    </row>
    <row r="806" spans="2:22" s="126" customFormat="1">
      <c r="B806" s="120"/>
      <c r="C806" s="120"/>
      <c r="D806" s="121"/>
      <c r="E806" s="127"/>
      <c r="F806" s="121"/>
      <c r="G806" s="121"/>
      <c r="H806" s="121"/>
      <c r="I806" s="122"/>
      <c r="J806" s="122"/>
      <c r="K806" s="122"/>
      <c r="L806" s="122"/>
      <c r="M806" s="122"/>
      <c r="N806" s="122"/>
      <c r="O806" s="122"/>
      <c r="P806" s="122"/>
      <c r="Q806" s="122"/>
      <c r="R806" s="122"/>
      <c r="S806" s="122"/>
      <c r="T806" s="122"/>
      <c r="U806" s="122"/>
      <c r="V806" s="122"/>
    </row>
    <row r="807" spans="2:22" s="126" customFormat="1">
      <c r="B807" s="120"/>
      <c r="C807" s="120"/>
      <c r="D807" s="121"/>
      <c r="E807" s="127"/>
      <c r="F807" s="121"/>
      <c r="G807" s="121"/>
      <c r="H807" s="121"/>
      <c r="I807" s="122"/>
      <c r="J807" s="122"/>
      <c r="K807" s="122"/>
      <c r="L807" s="122"/>
      <c r="M807" s="122"/>
      <c r="N807" s="122"/>
      <c r="O807" s="122"/>
      <c r="P807" s="122"/>
      <c r="Q807" s="122"/>
      <c r="R807" s="122"/>
      <c r="S807" s="122"/>
      <c r="T807" s="122"/>
      <c r="U807" s="122"/>
      <c r="V807" s="122"/>
    </row>
    <row r="808" spans="2:22" s="126" customFormat="1">
      <c r="B808" s="120"/>
      <c r="C808" s="120"/>
      <c r="D808" s="121"/>
      <c r="E808" s="127"/>
      <c r="F808" s="121"/>
      <c r="G808" s="121"/>
      <c r="H808" s="121"/>
      <c r="I808" s="122"/>
      <c r="J808" s="122"/>
      <c r="K808" s="122"/>
      <c r="L808" s="122"/>
      <c r="M808" s="122"/>
      <c r="N808" s="122"/>
      <c r="O808" s="122"/>
      <c r="P808" s="122"/>
      <c r="Q808" s="122"/>
      <c r="R808" s="122"/>
      <c r="S808" s="122"/>
      <c r="T808" s="122"/>
      <c r="U808" s="122"/>
      <c r="V808" s="122"/>
    </row>
    <row r="809" spans="2:22" s="126" customFormat="1">
      <c r="B809" s="120"/>
      <c r="C809" s="120"/>
      <c r="D809" s="121"/>
      <c r="E809" s="127"/>
      <c r="F809" s="121"/>
      <c r="G809" s="121"/>
      <c r="H809" s="121"/>
      <c r="I809" s="122"/>
      <c r="J809" s="122"/>
      <c r="K809" s="122"/>
      <c r="L809" s="122"/>
      <c r="M809" s="122"/>
      <c r="N809" s="122"/>
      <c r="O809" s="122"/>
      <c r="P809" s="122"/>
      <c r="Q809" s="122"/>
      <c r="R809" s="122"/>
      <c r="S809" s="122"/>
      <c r="T809" s="122"/>
      <c r="U809" s="122"/>
      <c r="V809" s="122"/>
    </row>
    <row r="810" spans="2:22" s="126" customFormat="1">
      <c r="B810" s="120"/>
      <c r="C810" s="120"/>
      <c r="D810" s="121"/>
      <c r="E810" s="127"/>
      <c r="F810" s="121"/>
      <c r="G810" s="121"/>
      <c r="H810" s="121"/>
      <c r="I810" s="122"/>
      <c r="J810" s="122"/>
      <c r="K810" s="122"/>
      <c r="L810" s="122"/>
      <c r="M810" s="122"/>
      <c r="N810" s="122"/>
      <c r="O810" s="122"/>
      <c r="P810" s="122"/>
      <c r="Q810" s="122"/>
      <c r="R810" s="122"/>
      <c r="S810" s="122"/>
      <c r="T810" s="122"/>
      <c r="U810" s="122"/>
      <c r="V810" s="122"/>
    </row>
    <row r="811" spans="2:22" s="126" customFormat="1">
      <c r="B811" s="120"/>
      <c r="C811" s="120"/>
      <c r="D811" s="121"/>
      <c r="E811" s="127"/>
      <c r="F811" s="121"/>
      <c r="G811" s="121"/>
      <c r="H811" s="121"/>
      <c r="I811" s="122"/>
      <c r="J811" s="122"/>
      <c r="K811" s="122"/>
      <c r="L811" s="122"/>
      <c r="M811" s="122"/>
      <c r="N811" s="122"/>
      <c r="O811" s="122"/>
      <c r="P811" s="122"/>
      <c r="Q811" s="122"/>
      <c r="R811" s="122"/>
      <c r="S811" s="122"/>
      <c r="T811" s="122"/>
      <c r="U811" s="122"/>
      <c r="V811" s="122"/>
    </row>
    <row r="812" spans="2:22" s="126" customFormat="1">
      <c r="B812" s="120"/>
      <c r="C812" s="120"/>
      <c r="D812" s="121"/>
      <c r="E812" s="127"/>
      <c r="F812" s="121"/>
      <c r="G812" s="121"/>
      <c r="H812" s="121"/>
      <c r="I812" s="122"/>
      <c r="J812" s="122"/>
      <c r="K812" s="122"/>
      <c r="L812" s="122"/>
      <c r="M812" s="122"/>
      <c r="N812" s="122"/>
      <c r="O812" s="122"/>
      <c r="P812" s="122"/>
      <c r="Q812" s="122"/>
      <c r="R812" s="122"/>
      <c r="S812" s="122"/>
      <c r="T812" s="122"/>
      <c r="U812" s="122"/>
      <c r="V812" s="122"/>
    </row>
    <row r="813" spans="2:22" s="126" customFormat="1">
      <c r="B813" s="120"/>
      <c r="C813" s="120"/>
      <c r="D813" s="121"/>
      <c r="E813" s="127"/>
      <c r="F813" s="121"/>
      <c r="G813" s="121"/>
      <c r="H813" s="121"/>
      <c r="I813" s="122"/>
      <c r="J813" s="122"/>
      <c r="K813" s="122"/>
      <c r="L813" s="122"/>
      <c r="M813" s="122"/>
      <c r="N813" s="122"/>
      <c r="O813" s="122"/>
      <c r="P813" s="122"/>
      <c r="Q813" s="122"/>
      <c r="R813" s="122"/>
      <c r="S813" s="122"/>
      <c r="T813" s="122"/>
      <c r="U813" s="122"/>
      <c r="V813" s="122"/>
    </row>
    <row r="814" spans="2:22" s="126" customFormat="1">
      <c r="B814" s="120"/>
      <c r="C814" s="120"/>
      <c r="D814" s="121"/>
      <c r="E814" s="127"/>
      <c r="F814" s="121"/>
      <c r="G814" s="121"/>
      <c r="H814" s="121"/>
      <c r="I814" s="122"/>
      <c r="J814" s="122"/>
      <c r="K814" s="122"/>
      <c r="L814" s="122"/>
      <c r="M814" s="122"/>
      <c r="N814" s="122"/>
      <c r="O814" s="122"/>
      <c r="P814" s="122"/>
      <c r="Q814" s="122"/>
      <c r="R814" s="122"/>
      <c r="S814" s="122"/>
      <c r="T814" s="122"/>
      <c r="U814" s="122"/>
      <c r="V814" s="122"/>
    </row>
    <row r="815" spans="2:22" s="126" customFormat="1">
      <c r="B815" s="120"/>
      <c r="C815" s="120"/>
      <c r="D815" s="121"/>
      <c r="E815" s="127"/>
      <c r="F815" s="121"/>
      <c r="G815" s="121"/>
      <c r="H815" s="121"/>
      <c r="I815" s="122"/>
      <c r="J815" s="122"/>
      <c r="K815" s="122"/>
      <c r="L815" s="122"/>
      <c r="M815" s="122"/>
      <c r="N815" s="122"/>
      <c r="O815" s="122"/>
      <c r="P815" s="122"/>
      <c r="Q815" s="122"/>
      <c r="R815" s="122"/>
      <c r="S815" s="122"/>
      <c r="T815" s="122"/>
      <c r="U815" s="122"/>
      <c r="V815" s="122"/>
    </row>
    <row r="816" spans="2:22" s="126" customFormat="1">
      <c r="B816" s="120"/>
      <c r="C816" s="120"/>
      <c r="D816" s="121"/>
      <c r="E816" s="127"/>
      <c r="F816" s="121"/>
      <c r="G816" s="121"/>
      <c r="H816" s="121"/>
      <c r="I816" s="122"/>
      <c r="J816" s="122"/>
      <c r="K816" s="122"/>
      <c r="L816" s="122"/>
      <c r="M816" s="122"/>
      <c r="N816" s="122"/>
      <c r="O816" s="122"/>
      <c r="P816" s="122"/>
      <c r="Q816" s="122"/>
      <c r="R816" s="122"/>
      <c r="S816" s="122"/>
      <c r="T816" s="122"/>
      <c r="U816" s="122"/>
      <c r="V816" s="122"/>
    </row>
    <row r="817" spans="2:22" s="126" customFormat="1">
      <c r="B817" s="120"/>
      <c r="C817" s="120"/>
      <c r="D817" s="121"/>
      <c r="E817" s="127"/>
      <c r="F817" s="121"/>
      <c r="G817" s="121"/>
      <c r="H817" s="121"/>
      <c r="I817" s="122"/>
      <c r="J817" s="122"/>
      <c r="K817" s="122"/>
      <c r="L817" s="122"/>
      <c r="M817" s="122"/>
      <c r="N817" s="122"/>
      <c r="O817" s="122"/>
      <c r="P817" s="122"/>
      <c r="Q817" s="122"/>
      <c r="R817" s="122"/>
      <c r="S817" s="122"/>
      <c r="T817" s="122"/>
      <c r="U817" s="122"/>
      <c r="V817" s="122"/>
    </row>
    <row r="818" spans="2:22" s="126" customFormat="1">
      <c r="B818" s="120"/>
      <c r="C818" s="120"/>
      <c r="D818" s="121"/>
      <c r="E818" s="127"/>
      <c r="F818" s="121"/>
      <c r="G818" s="121"/>
      <c r="H818" s="121"/>
      <c r="I818" s="122"/>
      <c r="J818" s="122"/>
      <c r="K818" s="122"/>
      <c r="L818" s="122"/>
      <c r="M818" s="122"/>
      <c r="N818" s="122"/>
      <c r="O818" s="122"/>
      <c r="P818" s="122"/>
      <c r="Q818" s="122"/>
      <c r="R818" s="122"/>
      <c r="S818" s="122"/>
      <c r="T818" s="122"/>
      <c r="U818" s="122"/>
      <c r="V818" s="122"/>
    </row>
    <row r="819" spans="2:22" s="126" customFormat="1">
      <c r="B819" s="120"/>
      <c r="C819" s="120"/>
      <c r="D819" s="121"/>
      <c r="E819" s="127"/>
      <c r="F819" s="121"/>
      <c r="G819" s="121"/>
      <c r="H819" s="121"/>
      <c r="I819" s="122"/>
      <c r="J819" s="122"/>
      <c r="K819" s="122"/>
      <c r="L819" s="122"/>
      <c r="M819" s="122"/>
      <c r="N819" s="122"/>
      <c r="O819" s="122"/>
      <c r="P819" s="122"/>
      <c r="Q819" s="122"/>
      <c r="R819" s="122"/>
      <c r="S819" s="122"/>
      <c r="T819" s="122"/>
      <c r="U819" s="122"/>
      <c r="V819" s="122"/>
    </row>
    <row r="820" spans="2:22" s="126" customFormat="1">
      <c r="B820" s="120"/>
      <c r="C820" s="120"/>
      <c r="D820" s="121"/>
      <c r="E820" s="127"/>
      <c r="F820" s="121"/>
      <c r="G820" s="121"/>
      <c r="H820" s="121"/>
      <c r="I820" s="122"/>
      <c r="J820" s="122"/>
      <c r="K820" s="122"/>
      <c r="L820" s="122"/>
      <c r="M820" s="122"/>
      <c r="N820" s="122"/>
      <c r="O820" s="122"/>
      <c r="P820" s="122"/>
      <c r="Q820" s="122"/>
      <c r="R820" s="122"/>
      <c r="S820" s="122"/>
      <c r="T820" s="122"/>
      <c r="U820" s="122"/>
      <c r="V820" s="122"/>
    </row>
    <row r="821" spans="2:22" s="126" customFormat="1">
      <c r="B821" s="120"/>
      <c r="C821" s="120"/>
      <c r="D821" s="121"/>
      <c r="E821" s="127"/>
      <c r="F821" s="121"/>
      <c r="G821" s="121"/>
      <c r="H821" s="121"/>
      <c r="I821" s="122"/>
      <c r="J821" s="122"/>
      <c r="K821" s="122"/>
      <c r="L821" s="122"/>
      <c r="M821" s="122"/>
      <c r="N821" s="122"/>
      <c r="O821" s="122"/>
      <c r="P821" s="122"/>
      <c r="Q821" s="122"/>
      <c r="R821" s="122"/>
      <c r="S821" s="122"/>
      <c r="T821" s="122"/>
      <c r="U821" s="122"/>
      <c r="V821" s="122"/>
    </row>
    <row r="822" spans="2:22" s="126" customFormat="1">
      <c r="B822" s="120"/>
      <c r="C822" s="120"/>
      <c r="D822" s="121"/>
      <c r="E822" s="127"/>
      <c r="F822" s="121"/>
      <c r="G822" s="121"/>
      <c r="H822" s="121"/>
      <c r="I822" s="122"/>
      <c r="J822" s="122"/>
      <c r="K822" s="122"/>
      <c r="L822" s="122"/>
      <c r="M822" s="122"/>
      <c r="N822" s="122"/>
      <c r="O822" s="122"/>
      <c r="P822" s="122"/>
      <c r="Q822" s="122"/>
      <c r="R822" s="122"/>
      <c r="S822" s="122"/>
      <c r="T822" s="122"/>
      <c r="U822" s="122"/>
      <c r="V822" s="122"/>
    </row>
    <row r="823" spans="2:22" s="126" customFormat="1">
      <c r="B823" s="120"/>
      <c r="C823" s="120"/>
      <c r="D823" s="121"/>
      <c r="E823" s="127"/>
      <c r="F823" s="121"/>
      <c r="G823" s="121"/>
      <c r="H823" s="121"/>
      <c r="I823" s="122"/>
      <c r="J823" s="122"/>
      <c r="K823" s="122"/>
      <c r="L823" s="122"/>
      <c r="M823" s="122"/>
      <c r="N823" s="122"/>
      <c r="O823" s="122"/>
      <c r="P823" s="122"/>
      <c r="Q823" s="122"/>
      <c r="R823" s="122"/>
      <c r="S823" s="122"/>
      <c r="T823" s="122"/>
      <c r="U823" s="122"/>
      <c r="V823" s="122"/>
    </row>
    <row r="824" spans="2:22" s="126" customFormat="1">
      <c r="B824" s="120"/>
      <c r="C824" s="120"/>
      <c r="D824" s="121"/>
      <c r="E824" s="127"/>
      <c r="F824" s="121"/>
      <c r="G824" s="121"/>
      <c r="H824" s="121"/>
      <c r="I824" s="122"/>
      <c r="J824" s="122"/>
      <c r="K824" s="122"/>
      <c r="L824" s="122"/>
      <c r="M824" s="122"/>
      <c r="N824" s="122"/>
      <c r="O824" s="122"/>
      <c r="P824" s="122"/>
      <c r="Q824" s="122"/>
      <c r="R824" s="122"/>
      <c r="S824" s="122"/>
      <c r="T824" s="122"/>
      <c r="U824" s="122"/>
      <c r="V824" s="122"/>
    </row>
    <row r="825" spans="2:22" s="126" customFormat="1">
      <c r="B825" s="120"/>
      <c r="C825" s="120"/>
      <c r="D825" s="121"/>
      <c r="E825" s="127"/>
      <c r="F825" s="121"/>
      <c r="G825" s="121"/>
      <c r="H825" s="121"/>
      <c r="I825" s="122"/>
      <c r="J825" s="122"/>
      <c r="K825" s="122"/>
      <c r="L825" s="122"/>
      <c r="M825" s="122"/>
      <c r="N825" s="122"/>
      <c r="O825" s="122"/>
      <c r="P825" s="122"/>
      <c r="Q825" s="122"/>
      <c r="R825" s="122"/>
      <c r="S825" s="122"/>
      <c r="T825" s="122"/>
      <c r="U825" s="122"/>
      <c r="V825" s="122"/>
    </row>
    <row r="826" spans="2:22" s="126" customFormat="1">
      <c r="B826" s="120"/>
      <c r="C826" s="120"/>
      <c r="D826" s="121"/>
      <c r="E826" s="127"/>
      <c r="F826" s="121"/>
      <c r="G826" s="121"/>
      <c r="H826" s="121"/>
      <c r="I826" s="122"/>
      <c r="J826" s="122"/>
      <c r="K826" s="122"/>
      <c r="L826" s="122"/>
      <c r="M826" s="122"/>
      <c r="N826" s="122"/>
      <c r="O826" s="122"/>
      <c r="P826" s="122"/>
      <c r="Q826" s="122"/>
      <c r="R826" s="122"/>
      <c r="S826" s="122"/>
      <c r="T826" s="122"/>
      <c r="U826" s="122"/>
      <c r="V826" s="122"/>
    </row>
    <row r="827" spans="2:22" s="126" customFormat="1">
      <c r="B827" s="120"/>
      <c r="C827" s="120"/>
      <c r="D827" s="121"/>
      <c r="E827" s="127"/>
      <c r="F827" s="121"/>
      <c r="G827" s="121"/>
      <c r="H827" s="121"/>
      <c r="I827" s="122"/>
      <c r="J827" s="122"/>
      <c r="K827" s="122"/>
      <c r="L827" s="122"/>
      <c r="M827" s="122"/>
      <c r="N827" s="122"/>
      <c r="O827" s="122"/>
      <c r="P827" s="122"/>
      <c r="Q827" s="122"/>
      <c r="R827" s="122"/>
      <c r="S827" s="122"/>
      <c r="T827" s="122"/>
      <c r="U827" s="122"/>
      <c r="V827" s="122"/>
    </row>
    <row r="828" spans="2:22" s="126" customFormat="1">
      <c r="B828" s="120"/>
      <c r="C828" s="120"/>
      <c r="D828" s="121"/>
      <c r="E828" s="127"/>
      <c r="F828" s="121"/>
      <c r="G828" s="121"/>
      <c r="H828" s="121"/>
      <c r="I828" s="122"/>
      <c r="J828" s="122"/>
      <c r="K828" s="122"/>
      <c r="L828" s="122"/>
      <c r="M828" s="122"/>
      <c r="N828" s="122"/>
      <c r="O828" s="122"/>
      <c r="P828" s="122"/>
      <c r="Q828" s="122"/>
      <c r="R828" s="122"/>
      <c r="S828" s="122"/>
      <c r="T828" s="122"/>
      <c r="U828" s="122"/>
      <c r="V828" s="122"/>
    </row>
    <row r="829" spans="2:22" s="126" customFormat="1">
      <c r="B829" s="120"/>
      <c r="C829" s="120"/>
      <c r="D829" s="121"/>
      <c r="E829" s="127"/>
      <c r="F829" s="121"/>
      <c r="G829" s="121"/>
      <c r="H829" s="121"/>
      <c r="I829" s="122"/>
      <c r="J829" s="122"/>
      <c r="K829" s="122"/>
      <c r="L829" s="122"/>
      <c r="M829" s="122"/>
      <c r="N829" s="122"/>
      <c r="O829" s="122"/>
      <c r="P829" s="122"/>
      <c r="Q829" s="122"/>
      <c r="R829" s="122"/>
      <c r="S829" s="122"/>
      <c r="T829" s="122"/>
      <c r="U829" s="122"/>
      <c r="V829" s="122"/>
    </row>
    <row r="830" spans="2:22" s="126" customFormat="1">
      <c r="B830" s="120"/>
      <c r="C830" s="120"/>
      <c r="D830" s="121"/>
      <c r="E830" s="127"/>
      <c r="F830" s="121"/>
      <c r="G830" s="121"/>
      <c r="H830" s="121"/>
      <c r="I830" s="122"/>
      <c r="J830" s="122"/>
      <c r="K830" s="122"/>
      <c r="L830" s="122"/>
      <c r="M830" s="122"/>
      <c r="N830" s="122"/>
      <c r="O830" s="122"/>
      <c r="P830" s="122"/>
      <c r="Q830" s="122"/>
      <c r="R830" s="122"/>
      <c r="S830" s="122"/>
      <c r="T830" s="122"/>
      <c r="U830" s="122"/>
      <c r="V830" s="122"/>
    </row>
    <row r="831" spans="2:22" s="126" customFormat="1">
      <c r="B831" s="120"/>
      <c r="C831" s="120"/>
      <c r="D831" s="121"/>
      <c r="E831" s="127"/>
      <c r="F831" s="121"/>
      <c r="G831" s="121"/>
      <c r="H831" s="121"/>
      <c r="I831" s="122"/>
      <c r="J831" s="122"/>
      <c r="K831" s="122"/>
      <c r="L831" s="122"/>
      <c r="M831" s="122"/>
      <c r="N831" s="122"/>
      <c r="O831" s="122"/>
      <c r="P831" s="122"/>
      <c r="Q831" s="122"/>
      <c r="R831" s="122"/>
      <c r="S831" s="122"/>
      <c r="T831" s="122"/>
      <c r="U831" s="122"/>
      <c r="V831" s="122"/>
    </row>
    <row r="832" spans="2:22" s="126" customFormat="1">
      <c r="B832" s="120"/>
      <c r="C832" s="120"/>
      <c r="D832" s="121"/>
      <c r="E832" s="127"/>
      <c r="F832" s="121"/>
      <c r="G832" s="121"/>
      <c r="H832" s="121"/>
      <c r="I832" s="122"/>
      <c r="J832" s="122"/>
      <c r="K832" s="122"/>
      <c r="L832" s="122"/>
      <c r="M832" s="122"/>
      <c r="N832" s="122"/>
      <c r="O832" s="122"/>
      <c r="P832" s="122"/>
      <c r="Q832" s="122"/>
      <c r="R832" s="122"/>
      <c r="S832" s="122"/>
      <c r="T832" s="122"/>
      <c r="U832" s="122"/>
      <c r="V832" s="122"/>
    </row>
    <row r="833" spans="2:22" s="126" customFormat="1">
      <c r="B833" s="120"/>
      <c r="C833" s="120"/>
      <c r="D833" s="121"/>
      <c r="E833" s="127"/>
      <c r="F833" s="121"/>
      <c r="G833" s="121"/>
      <c r="H833" s="121"/>
      <c r="I833" s="122"/>
      <c r="J833" s="122"/>
      <c r="K833" s="122"/>
      <c r="L833" s="122"/>
      <c r="M833" s="122"/>
      <c r="N833" s="122"/>
      <c r="O833" s="122"/>
      <c r="P833" s="122"/>
      <c r="Q833" s="122"/>
      <c r="R833" s="122"/>
      <c r="S833" s="122"/>
      <c r="T833" s="122"/>
      <c r="U833" s="122"/>
      <c r="V833" s="122"/>
    </row>
    <row r="834" spans="2:22" s="126" customFormat="1">
      <c r="B834" s="120"/>
      <c r="C834" s="120"/>
      <c r="D834" s="121"/>
      <c r="E834" s="127"/>
      <c r="F834" s="121"/>
      <c r="G834" s="121"/>
      <c r="H834" s="121"/>
      <c r="I834" s="122"/>
      <c r="J834" s="122"/>
      <c r="K834" s="122"/>
      <c r="L834" s="122"/>
      <c r="M834" s="122"/>
      <c r="N834" s="122"/>
      <c r="O834" s="122"/>
      <c r="P834" s="122"/>
      <c r="Q834" s="122"/>
      <c r="R834" s="122"/>
      <c r="S834" s="122"/>
      <c r="T834" s="122"/>
      <c r="U834" s="122"/>
      <c r="V834" s="122"/>
    </row>
    <row r="835" spans="2:22" s="126" customFormat="1">
      <c r="B835" s="120"/>
      <c r="C835" s="120"/>
      <c r="D835" s="121"/>
      <c r="E835" s="127"/>
      <c r="F835" s="121"/>
      <c r="G835" s="121"/>
      <c r="H835" s="121"/>
      <c r="I835" s="122"/>
      <c r="J835" s="122"/>
      <c r="K835" s="122"/>
      <c r="L835" s="122"/>
      <c r="M835" s="122"/>
      <c r="N835" s="122"/>
      <c r="O835" s="122"/>
      <c r="P835" s="122"/>
      <c r="Q835" s="122"/>
      <c r="R835" s="122"/>
      <c r="S835" s="122"/>
      <c r="T835" s="122"/>
      <c r="U835" s="122"/>
      <c r="V835" s="122"/>
    </row>
    <row r="836" spans="2:22" s="126" customFormat="1">
      <c r="B836" s="120"/>
      <c r="C836" s="120"/>
      <c r="D836" s="121"/>
      <c r="E836" s="127"/>
      <c r="F836" s="121"/>
      <c r="G836" s="121"/>
      <c r="H836" s="121"/>
      <c r="I836" s="122"/>
      <c r="J836" s="122"/>
      <c r="K836" s="122"/>
      <c r="L836" s="122"/>
      <c r="M836" s="122"/>
      <c r="N836" s="122"/>
      <c r="O836" s="122"/>
      <c r="P836" s="122"/>
      <c r="Q836" s="122"/>
      <c r="R836" s="122"/>
      <c r="S836" s="122"/>
      <c r="T836" s="122"/>
      <c r="U836" s="122"/>
      <c r="V836" s="122"/>
    </row>
    <row r="837" spans="2:22" s="126" customFormat="1">
      <c r="B837" s="120"/>
      <c r="C837" s="120"/>
      <c r="D837" s="121"/>
      <c r="E837" s="127"/>
      <c r="F837" s="121"/>
      <c r="G837" s="121"/>
      <c r="H837" s="121"/>
      <c r="I837" s="122"/>
      <c r="J837" s="122"/>
      <c r="K837" s="122"/>
      <c r="L837" s="122"/>
      <c r="M837" s="122"/>
      <c r="N837" s="122"/>
      <c r="O837" s="122"/>
      <c r="P837" s="122"/>
      <c r="Q837" s="122"/>
      <c r="R837" s="122"/>
      <c r="S837" s="122"/>
      <c r="T837" s="122"/>
      <c r="U837" s="122"/>
      <c r="V837" s="122"/>
    </row>
    <row r="838" spans="2:22" s="126" customFormat="1">
      <c r="B838" s="120"/>
      <c r="C838" s="120"/>
      <c r="D838" s="121"/>
      <c r="E838" s="127"/>
      <c r="F838" s="121"/>
      <c r="G838" s="121"/>
      <c r="H838" s="121"/>
      <c r="I838" s="122"/>
      <c r="J838" s="122"/>
      <c r="K838" s="122"/>
      <c r="L838" s="122"/>
      <c r="M838" s="122"/>
      <c r="N838" s="122"/>
      <c r="O838" s="122"/>
      <c r="P838" s="122"/>
      <c r="Q838" s="122"/>
      <c r="R838" s="122"/>
      <c r="S838" s="122"/>
      <c r="T838" s="122"/>
      <c r="U838" s="122"/>
      <c r="V838" s="122"/>
    </row>
    <row r="839" spans="2:22" s="126" customFormat="1">
      <c r="B839" s="120"/>
      <c r="C839" s="120"/>
      <c r="D839" s="121"/>
      <c r="E839" s="127"/>
      <c r="F839" s="121"/>
      <c r="G839" s="121"/>
      <c r="H839" s="121"/>
      <c r="I839" s="122"/>
      <c r="J839" s="122"/>
      <c r="K839" s="122"/>
      <c r="L839" s="122"/>
      <c r="M839" s="122"/>
      <c r="N839" s="122"/>
      <c r="O839" s="122"/>
      <c r="P839" s="122"/>
      <c r="Q839" s="122"/>
      <c r="R839" s="122"/>
      <c r="S839" s="122"/>
      <c r="T839" s="122"/>
      <c r="U839" s="122"/>
      <c r="V839" s="122"/>
    </row>
    <row r="840" spans="2:22" s="126" customFormat="1">
      <c r="B840" s="120"/>
      <c r="C840" s="120"/>
      <c r="D840" s="121"/>
      <c r="E840" s="127"/>
      <c r="F840" s="121"/>
      <c r="G840" s="121"/>
      <c r="H840" s="121"/>
      <c r="I840" s="122"/>
      <c r="J840" s="122"/>
      <c r="K840" s="122"/>
      <c r="L840" s="122"/>
      <c r="M840" s="122"/>
      <c r="N840" s="122"/>
      <c r="O840" s="122"/>
      <c r="P840" s="122"/>
      <c r="Q840" s="122"/>
      <c r="R840" s="122"/>
      <c r="S840" s="122"/>
      <c r="T840" s="122"/>
      <c r="U840" s="122"/>
      <c r="V840" s="122"/>
    </row>
    <row r="841" spans="2:22" s="126" customFormat="1">
      <c r="B841" s="120"/>
      <c r="C841" s="120"/>
      <c r="D841" s="121"/>
      <c r="E841" s="127"/>
      <c r="F841" s="121"/>
      <c r="G841" s="121"/>
      <c r="H841" s="121"/>
      <c r="I841" s="122"/>
      <c r="J841" s="122"/>
      <c r="K841" s="122"/>
      <c r="L841" s="122"/>
      <c r="M841" s="122"/>
      <c r="N841" s="122"/>
      <c r="O841" s="122"/>
      <c r="P841" s="122"/>
      <c r="Q841" s="122"/>
      <c r="R841" s="122"/>
      <c r="S841" s="122"/>
      <c r="T841" s="122"/>
      <c r="U841" s="122"/>
      <c r="V841" s="122"/>
    </row>
    <row r="842" spans="2:22" s="126" customFormat="1">
      <c r="B842" s="120"/>
      <c r="C842" s="120"/>
      <c r="D842" s="121"/>
      <c r="E842" s="127"/>
      <c r="F842" s="121"/>
      <c r="G842" s="121"/>
      <c r="H842" s="121"/>
      <c r="I842" s="122"/>
      <c r="J842" s="122"/>
      <c r="K842" s="122"/>
      <c r="L842" s="122"/>
      <c r="M842" s="122"/>
      <c r="N842" s="122"/>
      <c r="O842" s="122"/>
      <c r="P842" s="122"/>
      <c r="Q842" s="122"/>
      <c r="R842" s="122"/>
      <c r="S842" s="122"/>
      <c r="T842" s="122"/>
      <c r="U842" s="122"/>
      <c r="V842" s="122"/>
    </row>
    <row r="843" spans="2:22" s="126" customFormat="1">
      <c r="B843" s="120"/>
      <c r="C843" s="120"/>
      <c r="D843" s="121"/>
      <c r="E843" s="127"/>
      <c r="F843" s="121"/>
      <c r="G843" s="121"/>
      <c r="H843" s="121"/>
      <c r="I843" s="122"/>
      <c r="J843" s="122"/>
      <c r="K843" s="122"/>
      <c r="L843" s="122"/>
      <c r="M843" s="122"/>
      <c r="N843" s="122"/>
      <c r="O843" s="122"/>
      <c r="P843" s="122"/>
      <c r="Q843" s="122"/>
      <c r="R843" s="122"/>
      <c r="S843" s="122"/>
      <c r="T843" s="122"/>
      <c r="U843" s="122"/>
      <c r="V843" s="122"/>
    </row>
    <row r="844" spans="2:22" s="126" customFormat="1">
      <c r="B844" s="120"/>
      <c r="C844" s="120"/>
      <c r="D844" s="121"/>
      <c r="E844" s="127"/>
      <c r="F844" s="121"/>
      <c r="G844" s="121"/>
      <c r="H844" s="121"/>
      <c r="I844" s="122"/>
      <c r="J844" s="122"/>
      <c r="K844" s="122"/>
      <c r="L844" s="122"/>
      <c r="M844" s="122"/>
      <c r="N844" s="122"/>
      <c r="O844" s="122"/>
      <c r="P844" s="122"/>
      <c r="Q844" s="122"/>
      <c r="R844" s="122"/>
      <c r="S844" s="122"/>
      <c r="T844" s="122"/>
      <c r="U844" s="122"/>
      <c r="V844" s="122"/>
    </row>
    <row r="845" spans="2:22" s="126" customFormat="1">
      <c r="B845" s="120"/>
      <c r="C845" s="120"/>
      <c r="D845" s="121"/>
      <c r="E845" s="127"/>
      <c r="F845" s="121"/>
      <c r="G845" s="121"/>
      <c r="H845" s="121"/>
      <c r="I845" s="122"/>
      <c r="J845" s="122"/>
      <c r="K845" s="122"/>
      <c r="L845" s="122"/>
      <c r="M845" s="122"/>
      <c r="N845" s="122"/>
      <c r="O845" s="122"/>
      <c r="P845" s="122"/>
      <c r="Q845" s="122"/>
      <c r="R845" s="122"/>
      <c r="S845" s="122"/>
      <c r="T845" s="122"/>
      <c r="U845" s="122"/>
      <c r="V845" s="122"/>
    </row>
    <row r="846" spans="2:22" s="126" customFormat="1">
      <c r="B846" s="120"/>
      <c r="C846" s="120"/>
      <c r="D846" s="121"/>
      <c r="E846" s="127"/>
      <c r="F846" s="121"/>
      <c r="G846" s="121"/>
      <c r="H846" s="121"/>
      <c r="I846" s="122"/>
      <c r="J846" s="122"/>
      <c r="K846" s="122"/>
      <c r="L846" s="122"/>
      <c r="M846" s="122"/>
      <c r="N846" s="122"/>
      <c r="O846" s="122"/>
      <c r="P846" s="122"/>
      <c r="Q846" s="122"/>
      <c r="R846" s="122"/>
      <c r="S846" s="122"/>
      <c r="T846" s="122"/>
      <c r="U846" s="122"/>
      <c r="V846" s="122"/>
    </row>
    <row r="847" spans="2:22" s="126" customFormat="1">
      <c r="B847" s="120"/>
      <c r="C847" s="120"/>
      <c r="D847" s="121"/>
      <c r="E847" s="127"/>
      <c r="F847" s="121"/>
      <c r="G847" s="121"/>
      <c r="H847" s="121"/>
      <c r="I847" s="122"/>
      <c r="J847" s="122"/>
      <c r="K847" s="122"/>
      <c r="L847" s="122"/>
      <c r="M847" s="122"/>
      <c r="N847" s="122"/>
      <c r="O847" s="122"/>
      <c r="P847" s="122"/>
      <c r="Q847" s="122"/>
      <c r="R847" s="122"/>
      <c r="S847" s="122"/>
      <c r="T847" s="122"/>
      <c r="U847" s="122"/>
      <c r="V847" s="122"/>
    </row>
    <row r="848" spans="2:22" s="126" customFormat="1">
      <c r="B848" s="120"/>
      <c r="C848" s="120"/>
      <c r="D848" s="121"/>
      <c r="E848" s="127"/>
      <c r="F848" s="121"/>
      <c r="G848" s="121"/>
      <c r="H848" s="121"/>
      <c r="I848" s="122"/>
      <c r="J848" s="122"/>
      <c r="K848" s="122"/>
      <c r="L848" s="122"/>
      <c r="M848" s="122"/>
      <c r="N848" s="122"/>
      <c r="O848" s="122"/>
      <c r="P848" s="122"/>
      <c r="Q848" s="122"/>
      <c r="R848" s="122"/>
      <c r="S848" s="122"/>
      <c r="T848" s="122"/>
      <c r="U848" s="122"/>
      <c r="V848" s="122"/>
    </row>
    <row r="849" spans="2:22" s="126" customFormat="1">
      <c r="B849" s="120"/>
      <c r="C849" s="120"/>
      <c r="D849" s="121"/>
      <c r="E849" s="127"/>
      <c r="F849" s="121"/>
      <c r="G849" s="121"/>
      <c r="H849" s="121"/>
      <c r="I849" s="122"/>
      <c r="J849" s="122"/>
      <c r="K849" s="122"/>
      <c r="L849" s="122"/>
      <c r="M849" s="122"/>
      <c r="N849" s="122"/>
      <c r="O849" s="122"/>
      <c r="P849" s="122"/>
      <c r="Q849" s="122"/>
      <c r="R849" s="122"/>
      <c r="S849" s="122"/>
      <c r="T849" s="122"/>
      <c r="U849" s="122"/>
      <c r="V849" s="122"/>
    </row>
    <row r="850" spans="2:22" s="126" customFormat="1">
      <c r="B850" s="120"/>
      <c r="C850" s="120"/>
      <c r="D850" s="121"/>
      <c r="E850" s="127"/>
      <c r="F850" s="121"/>
      <c r="G850" s="121"/>
      <c r="H850" s="121"/>
      <c r="I850" s="122"/>
      <c r="J850" s="122"/>
      <c r="K850" s="122"/>
      <c r="L850" s="122"/>
      <c r="M850" s="122"/>
      <c r="N850" s="122"/>
      <c r="O850" s="122"/>
      <c r="P850" s="122"/>
      <c r="Q850" s="122"/>
      <c r="R850" s="122"/>
      <c r="S850" s="122"/>
      <c r="T850" s="122"/>
      <c r="U850" s="122"/>
      <c r="V850" s="122"/>
    </row>
    <row r="851" spans="2:22" s="126" customFormat="1">
      <c r="B851" s="120"/>
      <c r="C851" s="120"/>
      <c r="D851" s="121"/>
      <c r="E851" s="127"/>
      <c r="F851" s="121"/>
      <c r="G851" s="121"/>
      <c r="H851" s="121"/>
      <c r="I851" s="122"/>
      <c r="J851" s="122"/>
      <c r="K851" s="122"/>
      <c r="L851" s="122"/>
      <c r="M851" s="122"/>
      <c r="N851" s="122"/>
      <c r="O851" s="122"/>
      <c r="P851" s="122"/>
      <c r="Q851" s="122"/>
      <c r="R851" s="122"/>
      <c r="S851" s="122"/>
      <c r="T851" s="122"/>
      <c r="U851" s="122"/>
      <c r="V851" s="122"/>
    </row>
    <row r="852" spans="2:22" s="126" customFormat="1">
      <c r="B852" s="120"/>
      <c r="C852" s="120"/>
      <c r="D852" s="121"/>
      <c r="E852" s="127"/>
      <c r="F852" s="121"/>
      <c r="G852" s="121"/>
      <c r="H852" s="121"/>
      <c r="I852" s="122"/>
      <c r="J852" s="122"/>
      <c r="K852" s="122"/>
      <c r="L852" s="122"/>
      <c r="M852" s="122"/>
      <c r="N852" s="122"/>
      <c r="O852" s="122"/>
      <c r="P852" s="122"/>
      <c r="Q852" s="122"/>
      <c r="R852" s="122"/>
      <c r="S852" s="122"/>
      <c r="T852" s="122"/>
      <c r="U852" s="122"/>
      <c r="V852" s="122"/>
    </row>
    <row r="853" spans="2:22" s="126" customFormat="1">
      <c r="B853" s="120"/>
      <c r="C853" s="120"/>
      <c r="D853" s="121"/>
      <c r="E853" s="127"/>
      <c r="F853" s="121"/>
      <c r="G853" s="121"/>
      <c r="H853" s="121"/>
      <c r="I853" s="122"/>
      <c r="J853" s="122"/>
      <c r="K853" s="122"/>
      <c r="L853" s="122"/>
      <c r="M853" s="122"/>
      <c r="N853" s="122"/>
      <c r="O853" s="122"/>
      <c r="P853" s="122"/>
      <c r="Q853" s="122"/>
      <c r="R853" s="122"/>
      <c r="S853" s="122"/>
      <c r="T853" s="122"/>
      <c r="U853" s="122"/>
      <c r="V853" s="122"/>
    </row>
    <row r="854" spans="2:22" s="126" customFormat="1">
      <c r="B854" s="120"/>
      <c r="C854" s="120"/>
      <c r="D854" s="121"/>
      <c r="E854" s="127"/>
      <c r="F854" s="121"/>
      <c r="G854" s="121"/>
      <c r="H854" s="121"/>
      <c r="I854" s="122"/>
      <c r="J854" s="122"/>
      <c r="K854" s="122"/>
      <c r="L854" s="122"/>
      <c r="M854" s="122"/>
      <c r="N854" s="122"/>
      <c r="O854" s="122"/>
      <c r="P854" s="122"/>
      <c r="Q854" s="122"/>
      <c r="R854" s="122"/>
      <c r="S854" s="122"/>
      <c r="T854" s="122"/>
      <c r="U854" s="122"/>
      <c r="V854" s="122"/>
    </row>
    <row r="855" spans="2:22" s="126" customFormat="1">
      <c r="B855" s="120"/>
      <c r="C855" s="120"/>
      <c r="D855" s="121"/>
      <c r="E855" s="127"/>
      <c r="F855" s="121"/>
      <c r="G855" s="121"/>
      <c r="H855" s="121"/>
      <c r="I855" s="122"/>
      <c r="J855" s="122"/>
      <c r="K855" s="122"/>
      <c r="L855" s="122"/>
      <c r="M855" s="122"/>
      <c r="N855" s="122"/>
      <c r="O855" s="122"/>
      <c r="P855" s="122"/>
      <c r="Q855" s="122"/>
      <c r="R855" s="122"/>
      <c r="S855" s="122"/>
      <c r="T855" s="122"/>
      <c r="U855" s="122"/>
      <c r="V855" s="122"/>
    </row>
    <row r="856" spans="2:22" s="126" customFormat="1">
      <c r="B856" s="120"/>
      <c r="C856" s="120"/>
      <c r="D856" s="121"/>
      <c r="E856" s="127"/>
      <c r="F856" s="121"/>
      <c r="G856" s="121"/>
      <c r="H856" s="121"/>
      <c r="I856" s="122"/>
      <c r="J856" s="122"/>
      <c r="K856" s="122"/>
      <c r="L856" s="122"/>
      <c r="M856" s="122"/>
      <c r="N856" s="122"/>
      <c r="O856" s="122"/>
      <c r="P856" s="122"/>
      <c r="Q856" s="122"/>
      <c r="R856" s="122"/>
      <c r="S856" s="122"/>
      <c r="T856" s="122"/>
      <c r="U856" s="122"/>
      <c r="V856" s="122"/>
    </row>
    <row r="857" spans="2:22" s="126" customFormat="1">
      <c r="B857" s="120"/>
      <c r="C857" s="120"/>
      <c r="D857" s="121"/>
      <c r="E857" s="127"/>
      <c r="F857" s="121"/>
      <c r="G857" s="121"/>
      <c r="H857" s="121"/>
      <c r="I857" s="122"/>
      <c r="J857" s="122"/>
      <c r="K857" s="122"/>
      <c r="L857" s="122"/>
      <c r="M857" s="122"/>
      <c r="N857" s="122"/>
      <c r="O857" s="122"/>
      <c r="P857" s="122"/>
      <c r="Q857" s="122"/>
      <c r="R857" s="122"/>
      <c r="S857" s="122"/>
      <c r="T857" s="122"/>
      <c r="U857" s="122"/>
      <c r="V857" s="122"/>
    </row>
    <row r="858" spans="2:22" s="126" customFormat="1">
      <c r="B858" s="120"/>
      <c r="C858" s="120"/>
      <c r="D858" s="121"/>
      <c r="E858" s="127"/>
      <c r="F858" s="121"/>
      <c r="G858" s="121"/>
      <c r="H858" s="121"/>
      <c r="I858" s="122"/>
      <c r="J858" s="122"/>
      <c r="K858" s="122"/>
      <c r="L858" s="122"/>
      <c r="M858" s="122"/>
      <c r="N858" s="122"/>
      <c r="O858" s="122"/>
      <c r="P858" s="122"/>
      <c r="Q858" s="122"/>
      <c r="R858" s="122"/>
      <c r="S858" s="122"/>
      <c r="T858" s="122"/>
      <c r="U858" s="122"/>
      <c r="V858" s="122"/>
    </row>
    <row r="859" spans="2:22" s="126" customFormat="1">
      <c r="B859" s="120"/>
      <c r="C859" s="120"/>
      <c r="D859" s="121"/>
      <c r="E859" s="127"/>
      <c r="F859" s="121"/>
      <c r="G859" s="121"/>
      <c r="H859" s="121"/>
      <c r="I859" s="122"/>
      <c r="J859" s="122"/>
      <c r="K859" s="122"/>
      <c r="L859" s="122"/>
      <c r="M859" s="122"/>
      <c r="N859" s="122"/>
      <c r="O859" s="122"/>
      <c r="P859" s="122"/>
      <c r="Q859" s="122"/>
      <c r="R859" s="122"/>
      <c r="S859" s="122"/>
      <c r="T859" s="122"/>
      <c r="U859" s="122"/>
      <c r="V859" s="122"/>
    </row>
    <row r="860" spans="2:22" s="126" customFormat="1">
      <c r="B860" s="120"/>
      <c r="C860" s="120"/>
      <c r="D860" s="121"/>
      <c r="E860" s="127"/>
      <c r="F860" s="121"/>
      <c r="G860" s="121"/>
      <c r="H860" s="121"/>
      <c r="I860" s="122"/>
      <c r="J860" s="122"/>
      <c r="K860" s="122"/>
      <c r="L860" s="122"/>
      <c r="M860" s="122"/>
      <c r="N860" s="122"/>
      <c r="O860" s="122"/>
      <c r="P860" s="122"/>
      <c r="Q860" s="122"/>
      <c r="R860" s="122"/>
      <c r="S860" s="122"/>
      <c r="T860" s="122"/>
      <c r="U860" s="122"/>
      <c r="V860" s="122"/>
    </row>
    <row r="861" spans="2:22" s="126" customFormat="1">
      <c r="B861" s="120"/>
      <c r="C861" s="120"/>
      <c r="D861" s="121"/>
      <c r="E861" s="127"/>
      <c r="F861" s="121"/>
      <c r="G861" s="121"/>
      <c r="H861" s="121"/>
      <c r="I861" s="122"/>
      <c r="J861" s="122"/>
      <c r="K861" s="122"/>
      <c r="L861" s="122"/>
      <c r="M861" s="122"/>
      <c r="N861" s="122"/>
      <c r="O861" s="122"/>
      <c r="P861" s="122"/>
      <c r="Q861" s="122"/>
      <c r="R861" s="122"/>
      <c r="S861" s="122"/>
      <c r="T861" s="122"/>
      <c r="U861" s="122"/>
      <c r="V861" s="122"/>
    </row>
    <row r="862" spans="2:22" s="126" customFormat="1">
      <c r="B862" s="120"/>
      <c r="C862" s="120"/>
      <c r="D862" s="121"/>
      <c r="E862" s="127"/>
      <c r="F862" s="121"/>
      <c r="G862" s="121"/>
      <c r="H862" s="121"/>
      <c r="I862" s="122"/>
      <c r="J862" s="122"/>
      <c r="K862" s="122"/>
      <c r="L862" s="122"/>
      <c r="M862" s="122"/>
      <c r="N862" s="122"/>
      <c r="O862" s="122"/>
      <c r="P862" s="122"/>
      <c r="Q862" s="122"/>
      <c r="R862" s="122"/>
      <c r="S862" s="122"/>
      <c r="T862" s="122"/>
      <c r="U862" s="122"/>
      <c r="V862" s="122"/>
    </row>
    <row r="863" spans="2:22" s="126" customFormat="1">
      <c r="B863" s="120"/>
      <c r="C863" s="120"/>
      <c r="D863" s="121"/>
      <c r="E863" s="127"/>
      <c r="F863" s="121"/>
      <c r="G863" s="121"/>
      <c r="H863" s="121"/>
      <c r="I863" s="122"/>
      <c r="J863" s="122"/>
      <c r="K863" s="122"/>
      <c r="L863" s="122"/>
      <c r="M863" s="122"/>
      <c r="N863" s="122"/>
      <c r="O863" s="122"/>
      <c r="P863" s="122"/>
      <c r="Q863" s="122"/>
      <c r="R863" s="122"/>
      <c r="S863" s="122"/>
      <c r="T863" s="122"/>
      <c r="U863" s="122"/>
      <c r="V863" s="122"/>
    </row>
    <row r="864" spans="2:22" s="126" customFormat="1">
      <c r="B864" s="120"/>
      <c r="C864" s="120"/>
      <c r="D864" s="121"/>
      <c r="E864" s="127"/>
      <c r="F864" s="121"/>
      <c r="G864" s="121"/>
      <c r="H864" s="121"/>
      <c r="I864" s="122"/>
      <c r="J864" s="122"/>
      <c r="K864" s="122"/>
      <c r="L864" s="122"/>
      <c r="M864" s="122"/>
      <c r="N864" s="122"/>
      <c r="O864" s="122"/>
      <c r="P864" s="122"/>
      <c r="Q864" s="122"/>
      <c r="R864" s="122"/>
      <c r="S864" s="122"/>
      <c r="T864" s="122"/>
      <c r="U864" s="122"/>
      <c r="V864" s="122"/>
    </row>
    <row r="865" spans="2:22" s="126" customFormat="1">
      <c r="B865" s="120"/>
      <c r="C865" s="120"/>
      <c r="D865" s="121"/>
      <c r="E865" s="127"/>
      <c r="F865" s="121"/>
      <c r="G865" s="121"/>
      <c r="H865" s="121"/>
      <c r="I865" s="122"/>
      <c r="J865" s="122"/>
      <c r="K865" s="122"/>
      <c r="L865" s="122"/>
      <c r="M865" s="122"/>
      <c r="N865" s="122"/>
      <c r="O865" s="122"/>
      <c r="P865" s="122"/>
      <c r="Q865" s="122"/>
      <c r="R865" s="122"/>
      <c r="S865" s="122"/>
      <c r="T865" s="122"/>
      <c r="U865" s="122"/>
      <c r="V865" s="122"/>
    </row>
    <row r="866" spans="2:22" s="126" customFormat="1">
      <c r="B866" s="120"/>
      <c r="C866" s="120"/>
      <c r="D866" s="121"/>
      <c r="E866" s="127"/>
      <c r="F866" s="121"/>
      <c r="G866" s="121"/>
      <c r="H866" s="121"/>
      <c r="I866" s="122"/>
      <c r="J866" s="122"/>
      <c r="K866" s="122"/>
      <c r="L866" s="122"/>
      <c r="M866" s="122"/>
      <c r="N866" s="122"/>
      <c r="O866" s="122"/>
      <c r="P866" s="122"/>
      <c r="Q866" s="122"/>
      <c r="R866" s="122"/>
      <c r="S866" s="122"/>
      <c r="T866" s="122"/>
      <c r="U866" s="122"/>
      <c r="V866" s="122"/>
    </row>
    <row r="867" spans="2:22" s="126" customFormat="1">
      <c r="B867" s="120"/>
      <c r="C867" s="120"/>
      <c r="D867" s="121"/>
      <c r="E867" s="127"/>
      <c r="F867" s="121"/>
      <c r="G867" s="121"/>
      <c r="H867" s="121"/>
      <c r="I867" s="122"/>
      <c r="J867" s="122"/>
      <c r="K867" s="122"/>
      <c r="L867" s="122"/>
      <c r="M867" s="122"/>
      <c r="N867" s="122"/>
      <c r="O867" s="122"/>
      <c r="P867" s="122"/>
      <c r="Q867" s="122"/>
      <c r="R867" s="122"/>
      <c r="S867" s="122"/>
      <c r="T867" s="122"/>
      <c r="U867" s="122"/>
      <c r="V867" s="122"/>
    </row>
    <row r="868" spans="2:22" s="126" customFormat="1">
      <c r="B868" s="120"/>
      <c r="C868" s="120"/>
      <c r="D868" s="121"/>
      <c r="E868" s="127"/>
      <c r="F868" s="121"/>
      <c r="G868" s="121"/>
      <c r="H868" s="121"/>
      <c r="I868" s="122"/>
      <c r="J868" s="122"/>
      <c r="K868" s="122"/>
      <c r="L868" s="122"/>
      <c r="M868" s="122"/>
      <c r="N868" s="122"/>
      <c r="O868" s="122"/>
      <c r="P868" s="122"/>
      <c r="Q868" s="122"/>
      <c r="R868" s="122"/>
      <c r="S868" s="122"/>
      <c r="T868" s="122"/>
      <c r="U868" s="122"/>
      <c r="V868" s="122"/>
    </row>
    <row r="869" spans="2:22" s="126" customFormat="1">
      <c r="B869" s="120"/>
      <c r="C869" s="120"/>
      <c r="D869" s="121"/>
      <c r="E869" s="127"/>
      <c r="F869" s="121"/>
      <c r="G869" s="121"/>
      <c r="H869" s="121"/>
      <c r="I869" s="122"/>
      <c r="J869" s="122"/>
      <c r="K869" s="122"/>
      <c r="L869" s="122"/>
      <c r="M869" s="122"/>
      <c r="N869" s="122"/>
      <c r="O869" s="122"/>
      <c r="P869" s="122"/>
      <c r="Q869" s="122"/>
      <c r="R869" s="122"/>
      <c r="S869" s="122"/>
      <c r="T869" s="122"/>
      <c r="U869" s="122"/>
      <c r="V869" s="122"/>
    </row>
    <row r="870" spans="2:22" s="126" customFormat="1">
      <c r="B870" s="120"/>
      <c r="C870" s="120"/>
      <c r="D870" s="121"/>
      <c r="E870" s="127"/>
      <c r="F870" s="121"/>
      <c r="G870" s="121"/>
      <c r="H870" s="121"/>
      <c r="I870" s="122"/>
      <c r="J870" s="122"/>
      <c r="K870" s="122"/>
      <c r="L870" s="122"/>
      <c r="M870" s="122"/>
      <c r="N870" s="122"/>
      <c r="O870" s="122"/>
      <c r="P870" s="122"/>
      <c r="Q870" s="122"/>
      <c r="R870" s="122"/>
      <c r="S870" s="122"/>
      <c r="T870" s="122"/>
      <c r="U870" s="122"/>
      <c r="V870" s="122"/>
    </row>
    <row r="871" spans="2:22" s="126" customFormat="1">
      <c r="B871" s="120"/>
      <c r="C871" s="120"/>
      <c r="D871" s="121"/>
      <c r="E871" s="127"/>
      <c r="F871" s="121"/>
      <c r="G871" s="121"/>
      <c r="H871" s="121"/>
      <c r="I871" s="122"/>
      <c r="J871" s="122"/>
      <c r="K871" s="122"/>
      <c r="L871" s="122"/>
      <c r="M871" s="122"/>
      <c r="N871" s="122"/>
      <c r="O871" s="122"/>
      <c r="P871" s="122"/>
      <c r="Q871" s="122"/>
      <c r="R871" s="122"/>
      <c r="S871" s="122"/>
      <c r="T871" s="122"/>
      <c r="U871" s="122"/>
      <c r="V871" s="122"/>
    </row>
    <row r="872" spans="2:22" s="126" customFormat="1">
      <c r="B872" s="120"/>
      <c r="C872" s="120"/>
      <c r="D872" s="121"/>
      <c r="E872" s="127"/>
      <c r="F872" s="121"/>
      <c r="G872" s="121"/>
      <c r="H872" s="121"/>
      <c r="I872" s="122"/>
      <c r="J872" s="122"/>
      <c r="K872" s="122"/>
      <c r="L872" s="122"/>
      <c r="M872" s="122"/>
      <c r="N872" s="122"/>
      <c r="O872" s="122"/>
      <c r="P872" s="122"/>
      <c r="Q872" s="122"/>
      <c r="R872" s="122"/>
      <c r="S872" s="122"/>
      <c r="T872" s="122"/>
      <c r="U872" s="122"/>
      <c r="V872" s="122"/>
    </row>
    <row r="873" spans="2:22" s="126" customFormat="1">
      <c r="B873" s="120"/>
      <c r="C873" s="120"/>
      <c r="D873" s="121"/>
      <c r="E873" s="127"/>
      <c r="F873" s="121"/>
      <c r="G873" s="121"/>
      <c r="H873" s="121"/>
      <c r="I873" s="122"/>
      <c r="J873" s="122"/>
      <c r="K873" s="122"/>
      <c r="L873" s="122"/>
      <c r="M873" s="122"/>
      <c r="N873" s="122"/>
      <c r="O873" s="122"/>
      <c r="P873" s="122"/>
      <c r="Q873" s="122"/>
      <c r="R873" s="122"/>
      <c r="S873" s="122"/>
      <c r="T873" s="122"/>
      <c r="U873" s="122"/>
      <c r="V873" s="122"/>
    </row>
    <row r="874" spans="2:22" s="126" customFormat="1">
      <c r="B874" s="120"/>
      <c r="C874" s="120"/>
      <c r="D874" s="121"/>
      <c r="E874" s="127"/>
      <c r="F874" s="121"/>
      <c r="G874" s="121"/>
      <c r="H874" s="121"/>
      <c r="I874" s="122"/>
      <c r="J874" s="122"/>
      <c r="K874" s="122"/>
      <c r="L874" s="122"/>
      <c r="M874" s="122"/>
      <c r="N874" s="122"/>
      <c r="O874" s="122"/>
      <c r="P874" s="122"/>
      <c r="Q874" s="122"/>
      <c r="R874" s="122"/>
      <c r="S874" s="122"/>
      <c r="T874" s="122"/>
      <c r="U874" s="122"/>
      <c r="V874" s="122"/>
    </row>
    <row r="875" spans="2:22" s="126" customFormat="1">
      <c r="B875" s="120"/>
      <c r="C875" s="120"/>
      <c r="D875" s="121"/>
      <c r="E875" s="127"/>
      <c r="F875" s="121"/>
      <c r="G875" s="121"/>
      <c r="H875" s="121"/>
      <c r="I875" s="122"/>
      <c r="J875" s="122"/>
      <c r="K875" s="122"/>
      <c r="L875" s="122"/>
      <c r="M875" s="122"/>
      <c r="N875" s="122"/>
      <c r="O875" s="122"/>
      <c r="P875" s="122"/>
      <c r="Q875" s="122"/>
      <c r="R875" s="122"/>
      <c r="S875" s="122"/>
      <c r="T875" s="122"/>
      <c r="U875" s="122"/>
      <c r="V875" s="122"/>
    </row>
    <row r="876" spans="2:22" s="126" customFormat="1">
      <c r="B876" s="120"/>
      <c r="C876" s="120"/>
      <c r="D876" s="121"/>
      <c r="E876" s="127"/>
      <c r="F876" s="121"/>
      <c r="G876" s="121"/>
      <c r="H876" s="121"/>
      <c r="I876" s="122"/>
      <c r="J876" s="122"/>
      <c r="K876" s="122"/>
      <c r="L876" s="122"/>
      <c r="M876" s="122"/>
      <c r="N876" s="122"/>
      <c r="O876" s="122"/>
      <c r="P876" s="122"/>
      <c r="Q876" s="122"/>
      <c r="R876" s="122"/>
      <c r="S876" s="122"/>
      <c r="T876" s="122"/>
      <c r="U876" s="122"/>
      <c r="V876" s="122"/>
    </row>
    <row r="877" spans="2:22" s="126" customFormat="1">
      <c r="B877" s="120"/>
      <c r="C877" s="120"/>
      <c r="D877" s="121"/>
      <c r="E877" s="127"/>
      <c r="F877" s="121"/>
      <c r="G877" s="121"/>
      <c r="H877" s="121"/>
      <c r="I877" s="122"/>
      <c r="J877" s="122"/>
      <c r="K877" s="122"/>
      <c r="L877" s="122"/>
      <c r="M877" s="122"/>
      <c r="N877" s="122"/>
      <c r="O877" s="122"/>
      <c r="P877" s="122"/>
      <c r="Q877" s="122"/>
      <c r="R877" s="122"/>
      <c r="S877" s="122"/>
      <c r="T877" s="122"/>
      <c r="U877" s="122"/>
      <c r="V877" s="122"/>
    </row>
    <row r="878" spans="2:22" s="126" customFormat="1">
      <c r="B878" s="120"/>
      <c r="C878" s="120"/>
      <c r="D878" s="121"/>
      <c r="E878" s="127"/>
      <c r="F878" s="121"/>
      <c r="G878" s="121"/>
      <c r="H878" s="121"/>
      <c r="I878" s="122"/>
      <c r="J878" s="122"/>
      <c r="K878" s="122"/>
      <c r="L878" s="122"/>
      <c r="M878" s="122"/>
      <c r="N878" s="122"/>
      <c r="O878" s="122"/>
      <c r="P878" s="122"/>
      <c r="Q878" s="122"/>
      <c r="R878" s="122"/>
      <c r="S878" s="122"/>
      <c r="T878" s="122"/>
      <c r="U878" s="122"/>
      <c r="V878" s="122"/>
    </row>
    <row r="879" spans="2:22" s="126" customFormat="1">
      <c r="B879" s="120"/>
      <c r="C879" s="120"/>
      <c r="D879" s="121"/>
      <c r="E879" s="127"/>
      <c r="F879" s="121"/>
      <c r="G879" s="121"/>
      <c r="H879" s="121"/>
      <c r="I879" s="122"/>
      <c r="J879" s="122"/>
      <c r="K879" s="122"/>
      <c r="L879" s="122"/>
      <c r="M879" s="122"/>
      <c r="N879" s="122"/>
      <c r="O879" s="122"/>
      <c r="P879" s="122"/>
      <c r="Q879" s="122"/>
      <c r="R879" s="122"/>
      <c r="S879" s="122"/>
      <c r="T879" s="122"/>
      <c r="U879" s="122"/>
      <c r="V879" s="122"/>
    </row>
    <row r="880" spans="2:22" s="126" customFormat="1">
      <c r="B880" s="120"/>
      <c r="C880" s="120"/>
      <c r="D880" s="121"/>
      <c r="E880" s="127"/>
      <c r="F880" s="121"/>
      <c r="G880" s="121"/>
      <c r="H880" s="121"/>
      <c r="I880" s="122"/>
      <c r="J880" s="122"/>
      <c r="K880" s="122"/>
      <c r="L880" s="122"/>
      <c r="M880" s="122"/>
      <c r="N880" s="122"/>
      <c r="O880" s="122"/>
      <c r="P880" s="122"/>
      <c r="Q880" s="122"/>
      <c r="R880" s="122"/>
      <c r="S880" s="122"/>
      <c r="T880" s="122"/>
      <c r="U880" s="122"/>
      <c r="V880" s="122"/>
    </row>
    <row r="881" spans="2:22" s="126" customFormat="1">
      <c r="B881" s="120"/>
      <c r="C881" s="120"/>
      <c r="D881" s="121"/>
      <c r="E881" s="127"/>
      <c r="F881" s="121"/>
      <c r="G881" s="121"/>
      <c r="H881" s="121"/>
      <c r="I881" s="122"/>
      <c r="J881" s="122"/>
      <c r="K881" s="122"/>
      <c r="L881" s="122"/>
      <c r="M881" s="122"/>
      <c r="N881" s="122"/>
      <c r="O881" s="122"/>
      <c r="P881" s="122"/>
      <c r="Q881" s="122"/>
      <c r="R881" s="122"/>
      <c r="S881" s="122"/>
      <c r="T881" s="122"/>
      <c r="U881" s="122"/>
      <c r="V881" s="122"/>
    </row>
    <row r="882" spans="2:22" s="126" customFormat="1">
      <c r="B882" s="120"/>
      <c r="C882" s="120"/>
      <c r="D882" s="121"/>
      <c r="E882" s="127"/>
      <c r="F882" s="121"/>
      <c r="G882" s="121"/>
      <c r="H882" s="121"/>
      <c r="I882" s="122"/>
      <c r="J882" s="122"/>
      <c r="K882" s="122"/>
      <c r="L882" s="122"/>
      <c r="M882" s="122"/>
      <c r="N882" s="122"/>
      <c r="O882" s="122"/>
      <c r="P882" s="122"/>
      <c r="Q882" s="122"/>
      <c r="R882" s="122"/>
      <c r="S882" s="122"/>
      <c r="T882" s="122"/>
      <c r="U882" s="122"/>
      <c r="V882" s="122"/>
    </row>
    <row r="883" spans="2:22" s="126" customFormat="1">
      <c r="B883" s="120"/>
      <c r="C883" s="120"/>
      <c r="D883" s="121"/>
      <c r="E883" s="127"/>
      <c r="F883" s="121"/>
      <c r="G883" s="121"/>
      <c r="H883" s="121"/>
      <c r="I883" s="122"/>
      <c r="J883" s="122"/>
      <c r="K883" s="122"/>
      <c r="L883" s="122"/>
      <c r="M883" s="122"/>
      <c r="N883" s="122"/>
      <c r="O883" s="122"/>
      <c r="P883" s="122"/>
      <c r="Q883" s="122"/>
      <c r="R883" s="122"/>
      <c r="S883" s="122"/>
      <c r="T883" s="122"/>
      <c r="U883" s="122"/>
      <c r="V883" s="122"/>
    </row>
    <row r="884" spans="2:22" s="126" customFormat="1">
      <c r="B884" s="120"/>
      <c r="C884" s="120"/>
      <c r="D884" s="121"/>
      <c r="E884" s="127"/>
      <c r="F884" s="121"/>
      <c r="G884" s="121"/>
      <c r="H884" s="121"/>
      <c r="I884" s="122"/>
      <c r="J884" s="122"/>
      <c r="K884" s="122"/>
      <c r="L884" s="122"/>
      <c r="M884" s="122"/>
      <c r="N884" s="122"/>
      <c r="O884" s="122"/>
      <c r="P884" s="122"/>
      <c r="Q884" s="122"/>
      <c r="R884" s="122"/>
      <c r="S884" s="122"/>
      <c r="T884" s="122"/>
      <c r="U884" s="122"/>
      <c r="V884" s="122"/>
    </row>
    <row r="885" spans="2:22" s="126" customFormat="1">
      <c r="B885" s="120"/>
      <c r="C885" s="120"/>
      <c r="D885" s="121"/>
      <c r="E885" s="127"/>
      <c r="F885" s="121"/>
      <c r="G885" s="121"/>
      <c r="H885" s="121"/>
      <c r="I885" s="122"/>
      <c r="J885" s="122"/>
      <c r="K885" s="122"/>
      <c r="L885" s="122"/>
      <c r="M885" s="122"/>
      <c r="N885" s="122"/>
      <c r="O885" s="122"/>
      <c r="P885" s="122"/>
      <c r="Q885" s="122"/>
      <c r="R885" s="122"/>
      <c r="S885" s="122"/>
      <c r="T885" s="122"/>
      <c r="U885" s="122"/>
      <c r="V885" s="122"/>
    </row>
    <row r="886" spans="2:22" s="126" customFormat="1">
      <c r="B886" s="120"/>
      <c r="C886" s="120"/>
      <c r="D886" s="121"/>
      <c r="E886" s="127"/>
      <c r="F886" s="121"/>
      <c r="G886" s="121"/>
      <c r="H886" s="121"/>
      <c r="I886" s="122"/>
      <c r="J886" s="122"/>
      <c r="K886" s="122"/>
      <c r="L886" s="122"/>
      <c r="M886" s="122"/>
      <c r="N886" s="122"/>
      <c r="O886" s="122"/>
      <c r="P886" s="122"/>
      <c r="Q886" s="122"/>
      <c r="R886" s="122"/>
      <c r="S886" s="122"/>
      <c r="T886" s="122"/>
      <c r="U886" s="122"/>
      <c r="V886" s="122"/>
    </row>
    <row r="887" spans="2:22" s="126" customFormat="1">
      <c r="B887" s="120"/>
      <c r="C887" s="120"/>
      <c r="D887" s="121"/>
      <c r="E887" s="127"/>
      <c r="F887" s="121"/>
      <c r="G887" s="121"/>
      <c r="H887" s="121"/>
      <c r="I887" s="122"/>
      <c r="J887" s="122"/>
      <c r="K887" s="122"/>
      <c r="L887" s="122"/>
      <c r="M887" s="122"/>
      <c r="N887" s="122"/>
      <c r="O887" s="122"/>
      <c r="P887" s="122"/>
      <c r="Q887" s="122"/>
      <c r="R887" s="122"/>
      <c r="S887" s="122"/>
      <c r="T887" s="122"/>
      <c r="U887" s="122"/>
      <c r="V887" s="122"/>
    </row>
    <row r="888" spans="2:22" s="126" customFormat="1">
      <c r="B888" s="120"/>
      <c r="C888" s="120"/>
      <c r="D888" s="121"/>
      <c r="E888" s="127"/>
      <c r="F888" s="121"/>
      <c r="G888" s="121"/>
      <c r="H888" s="121"/>
      <c r="I888" s="122"/>
      <c r="J888" s="122"/>
      <c r="K888" s="122"/>
      <c r="L888" s="122"/>
      <c r="M888" s="122"/>
      <c r="N888" s="122"/>
      <c r="O888" s="122"/>
      <c r="P888" s="122"/>
      <c r="Q888" s="122"/>
      <c r="R888" s="122"/>
      <c r="S888" s="122"/>
      <c r="T888" s="122"/>
      <c r="U888" s="122"/>
      <c r="V888" s="122"/>
    </row>
    <row r="889" spans="2:22" s="126" customFormat="1">
      <c r="B889" s="120"/>
      <c r="C889" s="120"/>
      <c r="D889" s="121"/>
      <c r="E889" s="127"/>
      <c r="F889" s="121"/>
      <c r="G889" s="121"/>
      <c r="H889" s="121"/>
      <c r="I889" s="122"/>
      <c r="J889" s="122"/>
      <c r="K889" s="122"/>
      <c r="L889" s="122"/>
      <c r="M889" s="122"/>
      <c r="N889" s="122"/>
      <c r="O889" s="122"/>
      <c r="P889" s="122"/>
      <c r="Q889" s="122"/>
      <c r="R889" s="122"/>
      <c r="S889" s="122"/>
      <c r="T889" s="122"/>
      <c r="U889" s="122"/>
      <c r="V889" s="122"/>
    </row>
    <row r="890" spans="2:22" s="126" customFormat="1">
      <c r="B890" s="120"/>
      <c r="C890" s="120"/>
      <c r="D890" s="121"/>
      <c r="E890" s="127"/>
      <c r="F890" s="121"/>
      <c r="G890" s="121"/>
      <c r="H890" s="121"/>
      <c r="I890" s="122"/>
      <c r="J890" s="122"/>
      <c r="K890" s="122"/>
      <c r="L890" s="122"/>
      <c r="M890" s="122"/>
      <c r="N890" s="122"/>
      <c r="O890" s="122"/>
      <c r="P890" s="122"/>
      <c r="Q890" s="122"/>
      <c r="R890" s="122"/>
      <c r="S890" s="122"/>
      <c r="T890" s="122"/>
      <c r="U890" s="122"/>
      <c r="V890" s="122"/>
    </row>
    <row r="891" spans="2:22" s="126" customFormat="1">
      <c r="B891" s="120"/>
      <c r="C891" s="120"/>
      <c r="D891" s="121"/>
      <c r="E891" s="127"/>
      <c r="F891" s="121"/>
      <c r="G891" s="121"/>
      <c r="H891" s="121"/>
      <c r="I891" s="122"/>
      <c r="J891" s="122"/>
      <c r="K891" s="122"/>
      <c r="L891" s="122"/>
      <c r="M891" s="122"/>
      <c r="N891" s="122"/>
      <c r="O891" s="122"/>
      <c r="P891" s="122"/>
      <c r="Q891" s="122"/>
      <c r="R891" s="122"/>
      <c r="S891" s="122"/>
      <c r="T891" s="122"/>
      <c r="U891" s="122"/>
      <c r="V891" s="122"/>
    </row>
    <row r="892" spans="2:22" s="126" customFormat="1">
      <c r="B892" s="120"/>
      <c r="C892" s="120"/>
      <c r="D892" s="121"/>
      <c r="E892" s="127"/>
      <c r="F892" s="121"/>
      <c r="G892" s="121"/>
      <c r="H892" s="121"/>
      <c r="I892" s="122"/>
      <c r="J892" s="122"/>
      <c r="K892" s="122"/>
      <c r="L892" s="122"/>
      <c r="M892" s="122"/>
      <c r="N892" s="122"/>
      <c r="O892" s="122"/>
      <c r="P892" s="122"/>
      <c r="Q892" s="122"/>
      <c r="R892" s="122"/>
      <c r="S892" s="122"/>
      <c r="T892" s="122"/>
      <c r="U892" s="122"/>
      <c r="V892" s="122"/>
    </row>
    <row r="893" spans="2:22" s="126" customFormat="1">
      <c r="B893" s="120"/>
      <c r="C893" s="120"/>
      <c r="D893" s="121"/>
      <c r="E893" s="127"/>
      <c r="F893" s="121"/>
      <c r="G893" s="121"/>
      <c r="H893" s="121"/>
      <c r="I893" s="122"/>
      <c r="J893" s="122"/>
      <c r="K893" s="122"/>
      <c r="L893" s="122"/>
      <c r="M893" s="122"/>
      <c r="N893" s="122"/>
      <c r="O893" s="122"/>
      <c r="P893" s="122"/>
      <c r="Q893" s="122"/>
      <c r="R893" s="122"/>
      <c r="S893" s="122"/>
      <c r="T893" s="122"/>
      <c r="U893" s="122"/>
      <c r="V893" s="122"/>
    </row>
    <row r="894" spans="2:22" s="126" customFormat="1">
      <c r="B894" s="120"/>
      <c r="C894" s="120"/>
      <c r="D894" s="121"/>
      <c r="E894" s="127"/>
      <c r="F894" s="121"/>
      <c r="G894" s="121"/>
      <c r="H894" s="121"/>
      <c r="I894" s="122"/>
      <c r="J894" s="122"/>
      <c r="K894" s="122"/>
      <c r="L894" s="122"/>
      <c r="M894" s="122"/>
      <c r="N894" s="122"/>
      <c r="O894" s="122"/>
      <c r="P894" s="122"/>
      <c r="Q894" s="122"/>
      <c r="R894" s="122"/>
      <c r="S894" s="122"/>
      <c r="T894" s="122"/>
      <c r="U894" s="122"/>
      <c r="V894" s="122"/>
    </row>
    <row r="895" spans="2:22" s="126" customFormat="1">
      <c r="B895" s="120"/>
      <c r="C895" s="120"/>
      <c r="D895" s="121"/>
      <c r="E895" s="127"/>
      <c r="F895" s="121"/>
      <c r="G895" s="121"/>
      <c r="H895" s="121"/>
      <c r="I895" s="122"/>
      <c r="J895" s="122"/>
      <c r="K895" s="122"/>
      <c r="L895" s="122"/>
      <c r="M895" s="122"/>
      <c r="N895" s="122"/>
      <c r="O895" s="122"/>
      <c r="P895" s="122"/>
      <c r="Q895" s="122"/>
      <c r="R895" s="122"/>
      <c r="S895" s="122"/>
      <c r="T895" s="122"/>
      <c r="U895" s="122"/>
      <c r="V895" s="122"/>
    </row>
    <row r="896" spans="2:22" s="126" customFormat="1">
      <c r="B896" s="120"/>
      <c r="C896" s="120"/>
      <c r="D896" s="121"/>
      <c r="E896" s="127"/>
      <c r="F896" s="121"/>
      <c r="G896" s="121"/>
      <c r="H896" s="121"/>
      <c r="I896" s="122"/>
      <c r="J896" s="122"/>
      <c r="K896" s="122"/>
      <c r="L896" s="122"/>
      <c r="M896" s="122"/>
      <c r="N896" s="122"/>
      <c r="O896" s="122"/>
      <c r="P896" s="122"/>
      <c r="Q896" s="122"/>
      <c r="R896" s="122"/>
      <c r="S896" s="122"/>
      <c r="T896" s="122"/>
      <c r="U896" s="122"/>
      <c r="V896" s="122"/>
    </row>
    <row r="897" spans="2:22" s="126" customFormat="1">
      <c r="B897" s="120"/>
      <c r="C897" s="120"/>
      <c r="D897" s="121"/>
      <c r="E897" s="127"/>
      <c r="F897" s="121"/>
      <c r="G897" s="121"/>
      <c r="H897" s="121"/>
      <c r="I897" s="122"/>
      <c r="J897" s="122"/>
      <c r="K897" s="122"/>
      <c r="L897" s="122"/>
      <c r="M897" s="122"/>
      <c r="N897" s="122"/>
      <c r="O897" s="122"/>
      <c r="P897" s="122"/>
      <c r="Q897" s="122"/>
      <c r="R897" s="122"/>
      <c r="S897" s="122"/>
      <c r="T897" s="122"/>
      <c r="U897" s="122"/>
      <c r="V897" s="122"/>
    </row>
    <row r="898" spans="2:22" s="126" customFormat="1">
      <c r="B898" s="120"/>
      <c r="C898" s="120"/>
      <c r="D898" s="121"/>
      <c r="E898" s="127"/>
      <c r="F898" s="121"/>
      <c r="G898" s="121"/>
      <c r="H898" s="121"/>
      <c r="I898" s="122"/>
      <c r="J898" s="122"/>
      <c r="K898" s="122"/>
      <c r="L898" s="122"/>
      <c r="M898" s="122"/>
      <c r="N898" s="122"/>
      <c r="O898" s="122"/>
      <c r="P898" s="122"/>
      <c r="Q898" s="122"/>
      <c r="R898" s="122"/>
      <c r="S898" s="122"/>
      <c r="T898" s="122"/>
      <c r="U898" s="122"/>
      <c r="V898" s="122"/>
    </row>
    <row r="899" spans="2:22" s="126" customFormat="1">
      <c r="B899" s="120"/>
      <c r="C899" s="120"/>
      <c r="D899" s="121"/>
      <c r="E899" s="127"/>
      <c r="F899" s="121"/>
      <c r="G899" s="121"/>
      <c r="H899" s="121"/>
      <c r="I899" s="122"/>
      <c r="J899" s="122"/>
      <c r="K899" s="122"/>
      <c r="L899" s="122"/>
      <c r="M899" s="122"/>
      <c r="N899" s="122"/>
      <c r="O899" s="122"/>
      <c r="P899" s="122"/>
      <c r="Q899" s="122"/>
      <c r="R899" s="122"/>
      <c r="S899" s="122"/>
      <c r="T899" s="122"/>
      <c r="U899" s="122"/>
      <c r="V899" s="122"/>
    </row>
    <row r="900" spans="2:22" s="126" customFormat="1">
      <c r="B900" s="120"/>
      <c r="C900" s="120"/>
      <c r="D900" s="121"/>
      <c r="E900" s="127"/>
      <c r="F900" s="121"/>
      <c r="G900" s="121"/>
      <c r="H900" s="121"/>
      <c r="I900" s="122"/>
      <c r="J900" s="122"/>
      <c r="K900" s="122"/>
      <c r="L900" s="122"/>
      <c r="M900" s="122"/>
      <c r="N900" s="122"/>
      <c r="O900" s="122"/>
      <c r="P900" s="122"/>
      <c r="Q900" s="122"/>
      <c r="R900" s="122"/>
      <c r="S900" s="122"/>
      <c r="T900" s="122"/>
      <c r="U900" s="122"/>
      <c r="V900" s="122"/>
    </row>
    <row r="901" spans="2:22" s="126" customFormat="1">
      <c r="B901" s="120"/>
      <c r="C901" s="120"/>
      <c r="D901" s="121"/>
      <c r="E901" s="127"/>
      <c r="F901" s="121"/>
      <c r="G901" s="121"/>
      <c r="H901" s="121"/>
      <c r="I901" s="122"/>
      <c r="J901" s="122"/>
      <c r="K901" s="122"/>
      <c r="L901" s="122"/>
      <c r="M901" s="122"/>
      <c r="N901" s="122"/>
      <c r="O901" s="122"/>
      <c r="P901" s="122"/>
      <c r="Q901" s="122"/>
      <c r="R901" s="122"/>
      <c r="S901" s="122"/>
      <c r="T901" s="122"/>
      <c r="U901" s="122"/>
      <c r="V901" s="122"/>
    </row>
    <row r="902" spans="2:22" s="126" customFormat="1">
      <c r="B902" s="120"/>
      <c r="C902" s="120"/>
      <c r="D902" s="121"/>
      <c r="E902" s="127"/>
      <c r="F902" s="121"/>
      <c r="G902" s="121"/>
      <c r="H902" s="121"/>
      <c r="I902" s="122"/>
      <c r="J902" s="122"/>
      <c r="K902" s="122"/>
      <c r="L902" s="122"/>
      <c r="M902" s="122"/>
      <c r="N902" s="122"/>
      <c r="O902" s="122"/>
      <c r="P902" s="122"/>
      <c r="Q902" s="122"/>
      <c r="R902" s="122"/>
      <c r="S902" s="122"/>
      <c r="T902" s="122"/>
      <c r="U902" s="122"/>
      <c r="V902" s="122"/>
    </row>
    <row r="903" spans="2:22" s="126" customFormat="1">
      <c r="B903" s="120"/>
      <c r="C903" s="120"/>
      <c r="D903" s="121"/>
      <c r="E903" s="127"/>
      <c r="F903" s="121"/>
      <c r="G903" s="121"/>
      <c r="H903" s="121"/>
      <c r="I903" s="122"/>
      <c r="J903" s="122"/>
      <c r="K903" s="122"/>
      <c r="L903" s="122"/>
      <c r="M903" s="122"/>
      <c r="N903" s="122"/>
      <c r="O903" s="122"/>
      <c r="P903" s="122"/>
      <c r="Q903" s="122"/>
      <c r="R903" s="122"/>
      <c r="S903" s="122"/>
      <c r="T903" s="122"/>
      <c r="U903" s="122"/>
      <c r="V903" s="122"/>
    </row>
    <row r="904" spans="2:22" s="126" customFormat="1">
      <c r="B904" s="120"/>
      <c r="C904" s="120"/>
      <c r="D904" s="121"/>
      <c r="E904" s="127"/>
      <c r="F904" s="121"/>
      <c r="G904" s="121"/>
      <c r="H904" s="121"/>
      <c r="I904" s="122"/>
      <c r="J904" s="122"/>
      <c r="K904" s="122"/>
      <c r="L904" s="122"/>
      <c r="M904" s="122"/>
      <c r="N904" s="122"/>
      <c r="O904" s="122"/>
      <c r="P904" s="122"/>
      <c r="Q904" s="122"/>
      <c r="R904" s="122"/>
      <c r="S904" s="122"/>
      <c r="T904" s="122"/>
      <c r="U904" s="122"/>
      <c r="V904" s="122"/>
    </row>
    <row r="905" spans="2:22" s="126" customFormat="1">
      <c r="B905" s="120"/>
      <c r="C905" s="120"/>
      <c r="D905" s="121"/>
      <c r="E905" s="127"/>
      <c r="F905" s="121"/>
      <c r="G905" s="121"/>
      <c r="H905" s="121"/>
      <c r="I905" s="122"/>
      <c r="J905" s="122"/>
      <c r="K905" s="122"/>
      <c r="L905" s="122"/>
      <c r="M905" s="122"/>
      <c r="N905" s="122"/>
      <c r="O905" s="122"/>
      <c r="P905" s="122"/>
      <c r="Q905" s="122"/>
      <c r="R905" s="122"/>
      <c r="S905" s="122"/>
      <c r="T905" s="122"/>
      <c r="U905" s="122"/>
      <c r="V905" s="122"/>
    </row>
    <row r="906" spans="2:22" s="126" customFormat="1">
      <c r="B906" s="120"/>
      <c r="C906" s="120"/>
      <c r="D906" s="121"/>
      <c r="E906" s="127"/>
      <c r="F906" s="121"/>
      <c r="G906" s="121"/>
      <c r="H906" s="121"/>
      <c r="I906" s="122"/>
      <c r="J906" s="122"/>
      <c r="K906" s="122"/>
      <c r="L906" s="122"/>
      <c r="M906" s="122"/>
      <c r="N906" s="122"/>
      <c r="O906" s="122"/>
      <c r="P906" s="122"/>
      <c r="Q906" s="122"/>
      <c r="R906" s="122"/>
      <c r="S906" s="122"/>
      <c r="T906" s="122"/>
      <c r="U906" s="122"/>
      <c r="V906" s="122"/>
    </row>
    <row r="907" spans="2:22" s="126" customFormat="1">
      <c r="B907" s="120"/>
      <c r="C907" s="120"/>
      <c r="D907" s="121"/>
      <c r="E907" s="127"/>
      <c r="F907" s="121"/>
      <c r="G907" s="121"/>
      <c r="H907" s="121"/>
      <c r="I907" s="122"/>
      <c r="J907" s="122"/>
      <c r="K907" s="122"/>
      <c r="L907" s="122"/>
      <c r="M907" s="122"/>
      <c r="N907" s="122"/>
      <c r="O907" s="122"/>
      <c r="P907" s="122"/>
      <c r="Q907" s="122"/>
      <c r="R907" s="122"/>
      <c r="S907" s="122"/>
      <c r="T907" s="122"/>
      <c r="U907" s="122"/>
      <c r="V907" s="122"/>
    </row>
    <row r="908" spans="2:22" s="126" customFormat="1">
      <c r="B908" s="120"/>
      <c r="C908" s="120"/>
      <c r="D908" s="121"/>
      <c r="E908" s="127"/>
      <c r="F908" s="121"/>
      <c r="G908" s="121"/>
      <c r="H908" s="121"/>
      <c r="I908" s="122"/>
      <c r="J908" s="122"/>
      <c r="K908" s="122"/>
      <c r="L908" s="122"/>
      <c r="M908" s="122"/>
      <c r="N908" s="122"/>
      <c r="O908" s="122"/>
      <c r="P908" s="122"/>
      <c r="Q908" s="122"/>
      <c r="R908" s="122"/>
      <c r="S908" s="122"/>
      <c r="T908" s="122"/>
      <c r="U908" s="122"/>
      <c r="V908" s="122"/>
    </row>
    <row r="909" spans="2:22" s="126" customFormat="1">
      <c r="B909" s="120"/>
      <c r="C909" s="120"/>
      <c r="D909" s="121"/>
      <c r="E909" s="127"/>
      <c r="F909" s="121"/>
      <c r="G909" s="121"/>
      <c r="H909" s="121"/>
      <c r="I909" s="122"/>
      <c r="J909" s="122"/>
      <c r="K909" s="122"/>
      <c r="L909" s="122"/>
      <c r="M909" s="122"/>
      <c r="N909" s="122"/>
      <c r="O909" s="122"/>
      <c r="P909" s="122"/>
      <c r="Q909" s="122"/>
      <c r="R909" s="122"/>
      <c r="S909" s="122"/>
      <c r="T909" s="122"/>
      <c r="U909" s="122"/>
      <c r="V909" s="122"/>
    </row>
    <row r="910" spans="2:22" s="126" customFormat="1">
      <c r="B910" s="120"/>
      <c r="C910" s="120"/>
      <c r="D910" s="121"/>
      <c r="E910" s="127"/>
      <c r="F910" s="121"/>
      <c r="G910" s="121"/>
      <c r="H910" s="121"/>
      <c r="I910" s="122"/>
      <c r="J910" s="122"/>
      <c r="K910" s="122"/>
      <c r="L910" s="122"/>
      <c r="M910" s="122"/>
      <c r="N910" s="122"/>
      <c r="O910" s="122"/>
      <c r="P910" s="122"/>
      <c r="Q910" s="122"/>
      <c r="R910" s="122"/>
      <c r="S910" s="122"/>
      <c r="T910" s="122"/>
      <c r="U910" s="122"/>
      <c r="V910" s="122"/>
    </row>
    <row r="911" spans="2:22" s="126" customFormat="1">
      <c r="B911" s="120"/>
      <c r="C911" s="120"/>
      <c r="D911" s="121"/>
      <c r="E911" s="127"/>
      <c r="F911" s="121"/>
      <c r="G911" s="121"/>
      <c r="H911" s="121"/>
      <c r="I911" s="122"/>
      <c r="J911" s="122"/>
      <c r="K911" s="122"/>
      <c r="L911" s="122"/>
      <c r="M911" s="122"/>
      <c r="N911" s="122"/>
      <c r="O911" s="122"/>
      <c r="P911" s="122"/>
      <c r="Q911" s="122"/>
      <c r="R911" s="122"/>
      <c r="S911" s="122"/>
      <c r="T911" s="122"/>
      <c r="U911" s="122"/>
      <c r="V911" s="122"/>
    </row>
    <row r="912" spans="2:22" s="126" customFormat="1">
      <c r="B912" s="120"/>
      <c r="C912" s="120"/>
      <c r="D912" s="121"/>
      <c r="E912" s="127"/>
      <c r="F912" s="121"/>
      <c r="G912" s="121"/>
      <c r="H912" s="121"/>
      <c r="I912" s="122"/>
      <c r="J912" s="122"/>
      <c r="K912" s="122"/>
      <c r="L912" s="122"/>
      <c r="M912" s="122"/>
      <c r="N912" s="122"/>
      <c r="O912" s="122"/>
      <c r="P912" s="122"/>
      <c r="Q912" s="122"/>
      <c r="R912" s="122"/>
      <c r="S912" s="122"/>
      <c r="T912" s="122"/>
      <c r="U912" s="122"/>
      <c r="V912" s="122"/>
    </row>
    <row r="913" spans="2:22" s="126" customFormat="1">
      <c r="B913" s="120"/>
      <c r="C913" s="120"/>
      <c r="D913" s="121"/>
      <c r="E913" s="127"/>
      <c r="F913" s="121"/>
      <c r="G913" s="121"/>
      <c r="H913" s="121"/>
      <c r="I913" s="122"/>
      <c r="J913" s="122"/>
      <c r="K913" s="122"/>
      <c r="L913" s="122"/>
      <c r="M913" s="122"/>
      <c r="N913" s="122"/>
      <c r="O913" s="122"/>
      <c r="P913" s="122"/>
      <c r="Q913" s="122"/>
      <c r="R913" s="122"/>
      <c r="S913" s="122"/>
      <c r="T913" s="122"/>
      <c r="U913" s="122"/>
      <c r="V913" s="122"/>
    </row>
    <row r="914" spans="2:22" s="126" customFormat="1">
      <c r="B914" s="120"/>
      <c r="C914" s="120"/>
      <c r="D914" s="121"/>
      <c r="E914" s="127"/>
      <c r="F914" s="121"/>
      <c r="G914" s="121"/>
      <c r="H914" s="121"/>
      <c r="I914" s="122"/>
      <c r="J914" s="122"/>
      <c r="K914" s="122"/>
      <c r="L914" s="122"/>
      <c r="M914" s="122"/>
      <c r="N914" s="122"/>
      <c r="O914" s="122"/>
      <c r="P914" s="122"/>
      <c r="Q914" s="122"/>
      <c r="R914" s="122"/>
      <c r="S914" s="122"/>
      <c r="T914" s="122"/>
      <c r="U914" s="122"/>
      <c r="V914" s="122"/>
    </row>
    <row r="915" spans="2:22" s="126" customFormat="1">
      <c r="B915" s="120"/>
      <c r="C915" s="120"/>
      <c r="D915" s="121"/>
      <c r="E915" s="127"/>
      <c r="F915" s="121"/>
      <c r="G915" s="121"/>
      <c r="H915" s="121"/>
      <c r="I915" s="122"/>
      <c r="J915" s="122"/>
      <c r="K915" s="122"/>
      <c r="L915" s="122"/>
      <c r="M915" s="122"/>
      <c r="N915" s="122"/>
      <c r="O915" s="122"/>
      <c r="P915" s="122"/>
      <c r="Q915" s="122"/>
      <c r="R915" s="122"/>
      <c r="S915" s="122"/>
      <c r="T915" s="122"/>
      <c r="U915" s="122"/>
      <c r="V915" s="122"/>
    </row>
    <row r="916" spans="2:22" s="126" customFormat="1">
      <c r="B916" s="120"/>
      <c r="C916" s="120"/>
      <c r="D916" s="121"/>
      <c r="E916" s="127"/>
      <c r="F916" s="121"/>
      <c r="G916" s="121"/>
      <c r="H916" s="121"/>
      <c r="I916" s="122"/>
      <c r="J916" s="122"/>
      <c r="K916" s="122"/>
      <c r="L916" s="122"/>
      <c r="M916" s="122"/>
      <c r="N916" s="122"/>
      <c r="O916" s="122"/>
      <c r="P916" s="122"/>
      <c r="Q916" s="122"/>
      <c r="R916" s="122"/>
      <c r="S916" s="122"/>
      <c r="T916" s="122"/>
      <c r="U916" s="122"/>
      <c r="V916" s="122"/>
    </row>
    <row r="917" spans="2:22" s="126" customFormat="1">
      <c r="B917" s="120"/>
      <c r="C917" s="120"/>
      <c r="D917" s="121"/>
      <c r="E917" s="127"/>
      <c r="F917" s="121"/>
      <c r="G917" s="121"/>
      <c r="H917" s="121"/>
      <c r="I917" s="122"/>
      <c r="J917" s="122"/>
      <c r="K917" s="122"/>
      <c r="L917" s="122"/>
      <c r="M917" s="122"/>
      <c r="N917" s="122"/>
      <c r="O917" s="122"/>
      <c r="P917" s="122"/>
      <c r="Q917" s="122"/>
      <c r="R917" s="122"/>
      <c r="S917" s="122"/>
      <c r="T917" s="122"/>
      <c r="U917" s="122"/>
      <c r="V917" s="122"/>
    </row>
    <row r="918" spans="2:22" s="126" customFormat="1">
      <c r="B918" s="120"/>
      <c r="C918" s="120"/>
      <c r="D918" s="121"/>
      <c r="E918" s="127"/>
      <c r="F918" s="121"/>
      <c r="G918" s="121"/>
      <c r="H918" s="121"/>
      <c r="I918" s="122"/>
      <c r="J918" s="122"/>
      <c r="K918" s="122"/>
      <c r="L918" s="122"/>
      <c r="M918" s="122"/>
      <c r="N918" s="122"/>
      <c r="O918" s="122"/>
      <c r="P918" s="122"/>
      <c r="Q918" s="122"/>
      <c r="R918" s="122"/>
      <c r="S918" s="122"/>
      <c r="T918" s="122"/>
      <c r="U918" s="122"/>
      <c r="V918" s="122"/>
    </row>
    <row r="919" spans="2:22" s="126" customFormat="1">
      <c r="B919" s="120"/>
      <c r="C919" s="120"/>
      <c r="D919" s="121"/>
      <c r="E919" s="127"/>
      <c r="F919" s="121"/>
      <c r="G919" s="121"/>
      <c r="H919" s="121"/>
      <c r="I919" s="122"/>
      <c r="J919" s="122"/>
      <c r="K919" s="122"/>
      <c r="L919" s="122"/>
      <c r="M919" s="122"/>
      <c r="N919" s="122"/>
      <c r="O919" s="122"/>
      <c r="P919" s="122"/>
      <c r="Q919" s="122"/>
      <c r="R919" s="122"/>
      <c r="S919" s="122"/>
      <c r="T919" s="122"/>
      <c r="U919" s="122"/>
      <c r="V919" s="122"/>
    </row>
    <row r="920" spans="2:22" s="126" customFormat="1">
      <c r="B920" s="120"/>
      <c r="C920" s="120"/>
      <c r="D920" s="121"/>
      <c r="E920" s="127"/>
      <c r="F920" s="121"/>
      <c r="G920" s="121"/>
      <c r="H920" s="121"/>
      <c r="I920" s="122"/>
      <c r="J920" s="122"/>
      <c r="K920" s="122"/>
      <c r="L920" s="122"/>
      <c r="M920" s="122"/>
      <c r="N920" s="122"/>
      <c r="O920" s="122"/>
      <c r="P920" s="122"/>
      <c r="Q920" s="122"/>
      <c r="R920" s="122"/>
      <c r="S920" s="122"/>
      <c r="T920" s="122"/>
      <c r="U920" s="122"/>
      <c r="V920" s="122"/>
    </row>
    <row r="921" spans="2:22" s="126" customFormat="1">
      <c r="B921" s="120"/>
      <c r="C921" s="120"/>
      <c r="D921" s="121"/>
      <c r="E921" s="127"/>
      <c r="F921" s="121"/>
      <c r="G921" s="121"/>
      <c r="H921" s="121"/>
      <c r="I921" s="122"/>
      <c r="J921" s="122"/>
      <c r="K921" s="122"/>
      <c r="L921" s="122"/>
      <c r="M921" s="122"/>
      <c r="N921" s="122"/>
      <c r="O921" s="122"/>
      <c r="P921" s="122"/>
      <c r="Q921" s="122"/>
      <c r="R921" s="122"/>
      <c r="S921" s="122"/>
      <c r="T921" s="122"/>
      <c r="U921" s="122"/>
      <c r="V921" s="122"/>
    </row>
    <row r="922" spans="2:22" s="126" customFormat="1">
      <c r="B922" s="120"/>
      <c r="C922" s="120"/>
      <c r="D922" s="121"/>
      <c r="E922" s="127"/>
      <c r="F922" s="121"/>
      <c r="G922" s="121"/>
      <c r="H922" s="121"/>
      <c r="I922" s="122"/>
      <c r="J922" s="122"/>
      <c r="K922" s="122"/>
      <c r="L922" s="122"/>
      <c r="M922" s="122"/>
      <c r="N922" s="122"/>
      <c r="O922" s="122"/>
      <c r="P922" s="122"/>
      <c r="Q922" s="122"/>
      <c r="R922" s="122"/>
      <c r="S922" s="122"/>
      <c r="T922" s="122"/>
      <c r="U922" s="122"/>
      <c r="V922" s="122"/>
    </row>
    <row r="923" spans="2:22" s="126" customFormat="1">
      <c r="B923" s="120"/>
      <c r="C923" s="120"/>
      <c r="D923" s="121"/>
      <c r="E923" s="127"/>
      <c r="F923" s="121"/>
      <c r="G923" s="121"/>
      <c r="H923" s="121"/>
      <c r="I923" s="122"/>
      <c r="J923" s="122"/>
      <c r="K923" s="122"/>
      <c r="L923" s="122"/>
      <c r="M923" s="122"/>
      <c r="N923" s="122"/>
      <c r="O923" s="122"/>
      <c r="P923" s="122"/>
      <c r="Q923" s="122"/>
      <c r="R923" s="122"/>
      <c r="S923" s="122"/>
      <c r="T923" s="122"/>
      <c r="U923" s="122"/>
      <c r="V923" s="122"/>
    </row>
    <row r="924" spans="2:22" s="126" customFormat="1">
      <c r="B924" s="120"/>
      <c r="C924" s="120"/>
      <c r="D924" s="121"/>
      <c r="E924" s="127"/>
      <c r="F924" s="121"/>
      <c r="G924" s="121"/>
      <c r="H924" s="121"/>
      <c r="I924" s="122"/>
      <c r="J924" s="122"/>
      <c r="K924" s="122"/>
      <c r="L924" s="122"/>
      <c r="M924" s="122"/>
      <c r="N924" s="122"/>
      <c r="O924" s="122"/>
      <c r="P924" s="122"/>
      <c r="Q924" s="122"/>
      <c r="R924" s="122"/>
      <c r="S924" s="122"/>
      <c r="T924" s="122"/>
      <c r="U924" s="122"/>
      <c r="V924" s="122"/>
    </row>
    <row r="925" spans="2:22" s="126" customFormat="1">
      <c r="B925" s="120"/>
      <c r="C925" s="120"/>
      <c r="D925" s="121"/>
      <c r="E925" s="127"/>
      <c r="F925" s="121"/>
      <c r="G925" s="121"/>
      <c r="H925" s="121"/>
      <c r="I925" s="122"/>
      <c r="J925" s="122"/>
      <c r="K925" s="122"/>
      <c r="L925" s="122"/>
      <c r="M925" s="122"/>
      <c r="N925" s="122"/>
      <c r="O925" s="122"/>
      <c r="P925" s="122"/>
      <c r="Q925" s="122"/>
      <c r="R925" s="122"/>
      <c r="S925" s="122"/>
      <c r="T925" s="122"/>
      <c r="U925" s="122"/>
      <c r="V925" s="122"/>
    </row>
    <row r="926" spans="2:22" s="126" customFormat="1">
      <c r="B926" s="120"/>
      <c r="C926" s="120"/>
      <c r="D926" s="121"/>
      <c r="E926" s="127"/>
      <c r="F926" s="121"/>
      <c r="G926" s="121"/>
      <c r="H926" s="121"/>
      <c r="I926" s="122"/>
      <c r="J926" s="122"/>
      <c r="K926" s="122"/>
      <c r="L926" s="122"/>
      <c r="M926" s="122"/>
      <c r="N926" s="122"/>
      <c r="O926" s="122"/>
      <c r="P926" s="122"/>
      <c r="Q926" s="122"/>
      <c r="R926" s="122"/>
      <c r="S926" s="122"/>
      <c r="T926" s="122"/>
      <c r="U926" s="122"/>
      <c r="V926" s="122"/>
    </row>
    <row r="927" spans="2:22" s="126" customFormat="1">
      <c r="B927" s="120"/>
      <c r="C927" s="120"/>
      <c r="D927" s="121"/>
      <c r="E927" s="127"/>
      <c r="F927" s="121"/>
      <c r="G927" s="121"/>
      <c r="H927" s="121"/>
      <c r="I927" s="122"/>
      <c r="J927" s="122"/>
      <c r="K927" s="122"/>
      <c r="L927" s="122"/>
      <c r="M927" s="122"/>
      <c r="N927" s="122"/>
      <c r="O927" s="122"/>
      <c r="P927" s="122"/>
      <c r="Q927" s="122"/>
      <c r="R927" s="122"/>
      <c r="S927" s="122"/>
      <c r="T927" s="122"/>
      <c r="U927" s="122"/>
      <c r="V927" s="122"/>
    </row>
    <row r="928" spans="2:22" s="126" customFormat="1">
      <c r="B928" s="120"/>
      <c r="C928" s="120"/>
      <c r="D928" s="121"/>
      <c r="E928" s="127"/>
      <c r="F928" s="121"/>
      <c r="G928" s="121"/>
      <c r="H928" s="121"/>
      <c r="I928" s="122"/>
      <c r="J928" s="122"/>
      <c r="K928" s="122"/>
      <c r="L928" s="122"/>
      <c r="M928" s="122"/>
      <c r="N928" s="122"/>
      <c r="O928" s="122"/>
      <c r="P928" s="122"/>
      <c r="Q928" s="122"/>
      <c r="R928" s="122"/>
      <c r="S928" s="122"/>
      <c r="T928" s="122"/>
      <c r="U928" s="122"/>
      <c r="V928" s="122"/>
    </row>
    <row r="929" spans="2:22" s="126" customFormat="1">
      <c r="B929" s="120"/>
      <c r="C929" s="120"/>
      <c r="D929" s="121"/>
      <c r="E929" s="127"/>
      <c r="F929" s="121"/>
      <c r="G929" s="121"/>
      <c r="H929" s="121"/>
      <c r="I929" s="122"/>
      <c r="J929" s="122"/>
      <c r="K929" s="122"/>
      <c r="L929" s="122"/>
      <c r="M929" s="122"/>
      <c r="N929" s="122"/>
      <c r="O929" s="122"/>
      <c r="P929" s="122"/>
      <c r="Q929" s="122"/>
      <c r="R929" s="122"/>
      <c r="S929" s="122"/>
      <c r="T929" s="122"/>
      <c r="U929" s="122"/>
      <c r="V929" s="122"/>
    </row>
    <row r="930" spans="2:22" s="126" customFormat="1">
      <c r="B930" s="120"/>
      <c r="C930" s="120"/>
      <c r="D930" s="121"/>
      <c r="E930" s="127"/>
      <c r="F930" s="121"/>
      <c r="G930" s="121"/>
      <c r="H930" s="121"/>
      <c r="I930" s="122"/>
      <c r="J930" s="122"/>
      <c r="K930" s="122"/>
      <c r="L930" s="122"/>
      <c r="M930" s="122"/>
      <c r="N930" s="122"/>
      <c r="O930" s="122"/>
      <c r="P930" s="122"/>
      <c r="Q930" s="122"/>
      <c r="R930" s="122"/>
      <c r="S930" s="122"/>
      <c r="T930" s="122"/>
      <c r="U930" s="122"/>
      <c r="V930" s="122"/>
    </row>
    <row r="931" spans="2:22" s="126" customFormat="1">
      <c r="B931" s="120"/>
      <c r="C931" s="120"/>
      <c r="D931" s="121"/>
      <c r="E931" s="127"/>
      <c r="F931" s="121"/>
      <c r="G931" s="121"/>
      <c r="H931" s="121"/>
      <c r="I931" s="122"/>
      <c r="J931" s="122"/>
      <c r="K931" s="122"/>
      <c r="L931" s="122"/>
      <c r="M931" s="122"/>
      <c r="N931" s="122"/>
      <c r="O931" s="122"/>
      <c r="P931" s="122"/>
      <c r="Q931" s="122"/>
      <c r="R931" s="122"/>
      <c r="S931" s="122"/>
      <c r="T931" s="122"/>
      <c r="U931" s="122"/>
      <c r="V931" s="122"/>
    </row>
    <row r="932" spans="2:22" s="126" customFormat="1">
      <c r="B932" s="120"/>
      <c r="C932" s="120"/>
      <c r="D932" s="121"/>
      <c r="E932" s="127"/>
      <c r="F932" s="121"/>
      <c r="G932" s="121"/>
      <c r="H932" s="121"/>
      <c r="I932" s="122"/>
      <c r="J932" s="122"/>
      <c r="K932" s="122"/>
      <c r="L932" s="122"/>
      <c r="M932" s="122"/>
      <c r="N932" s="122"/>
      <c r="O932" s="122"/>
      <c r="P932" s="122"/>
      <c r="Q932" s="122"/>
      <c r="R932" s="122"/>
      <c r="S932" s="122"/>
      <c r="T932" s="122"/>
      <c r="U932" s="122"/>
      <c r="V932" s="122"/>
    </row>
    <row r="933" spans="2:22" s="126" customFormat="1">
      <c r="B933" s="120"/>
      <c r="C933" s="120"/>
      <c r="D933" s="121"/>
      <c r="E933" s="127"/>
      <c r="F933" s="121"/>
      <c r="G933" s="121"/>
      <c r="H933" s="121"/>
      <c r="I933" s="122"/>
      <c r="J933" s="122"/>
      <c r="K933" s="122"/>
      <c r="L933" s="122"/>
      <c r="M933" s="122"/>
      <c r="N933" s="122"/>
      <c r="O933" s="122"/>
      <c r="P933" s="122"/>
      <c r="Q933" s="122"/>
      <c r="R933" s="122"/>
      <c r="S933" s="122"/>
      <c r="T933" s="122"/>
      <c r="U933" s="122"/>
      <c r="V933" s="122"/>
    </row>
    <row r="934" spans="2:22" s="126" customFormat="1">
      <c r="B934" s="120"/>
      <c r="C934" s="120"/>
      <c r="D934" s="121"/>
      <c r="E934" s="127"/>
      <c r="F934" s="121"/>
      <c r="G934" s="121"/>
      <c r="H934" s="121"/>
      <c r="I934" s="122"/>
      <c r="J934" s="122"/>
      <c r="K934" s="122"/>
      <c r="L934" s="122"/>
      <c r="M934" s="122"/>
      <c r="N934" s="122"/>
      <c r="O934" s="122"/>
      <c r="P934" s="122"/>
      <c r="Q934" s="122"/>
      <c r="R934" s="122"/>
      <c r="S934" s="122"/>
      <c r="T934" s="122"/>
      <c r="U934" s="122"/>
      <c r="V934" s="122"/>
    </row>
    <row r="935" spans="2:22" s="126" customFormat="1">
      <c r="B935" s="120"/>
      <c r="C935" s="120"/>
      <c r="D935" s="121"/>
      <c r="E935" s="127"/>
      <c r="F935" s="121"/>
      <c r="G935" s="121"/>
      <c r="H935" s="121"/>
      <c r="I935" s="122"/>
      <c r="J935" s="122"/>
      <c r="K935" s="122"/>
      <c r="L935" s="122"/>
      <c r="M935" s="122"/>
      <c r="N935" s="122"/>
      <c r="O935" s="122"/>
      <c r="P935" s="122"/>
      <c r="Q935" s="122"/>
      <c r="R935" s="122"/>
      <c r="S935" s="122"/>
      <c r="T935" s="122"/>
      <c r="U935" s="122"/>
      <c r="V935" s="122"/>
    </row>
    <row r="936" spans="2:22" s="126" customFormat="1">
      <c r="B936" s="120"/>
      <c r="C936" s="120"/>
      <c r="D936" s="121"/>
      <c r="E936" s="127"/>
      <c r="F936" s="121"/>
      <c r="G936" s="121"/>
      <c r="H936" s="121"/>
      <c r="I936" s="122"/>
      <c r="J936" s="122"/>
      <c r="K936" s="122"/>
      <c r="L936" s="122"/>
      <c r="M936" s="122"/>
      <c r="N936" s="122"/>
      <c r="O936" s="122"/>
      <c r="P936" s="122"/>
      <c r="Q936" s="122"/>
      <c r="R936" s="122"/>
      <c r="S936" s="122"/>
      <c r="T936" s="122"/>
      <c r="U936" s="122"/>
      <c r="V936" s="122"/>
    </row>
    <row r="937" spans="2:22" s="126" customFormat="1">
      <c r="B937" s="120"/>
      <c r="C937" s="120"/>
      <c r="D937" s="121"/>
      <c r="E937" s="127"/>
      <c r="F937" s="121"/>
      <c r="G937" s="121"/>
      <c r="H937" s="121"/>
      <c r="I937" s="122"/>
      <c r="J937" s="122"/>
      <c r="K937" s="122"/>
      <c r="L937" s="122"/>
      <c r="M937" s="122"/>
      <c r="N937" s="122"/>
      <c r="O937" s="122"/>
      <c r="P937" s="122"/>
      <c r="Q937" s="122"/>
      <c r="R937" s="122"/>
      <c r="S937" s="122"/>
      <c r="T937" s="122"/>
      <c r="U937" s="122"/>
      <c r="V937" s="122"/>
    </row>
    <row r="938" spans="2:22" s="126" customFormat="1">
      <c r="B938" s="120"/>
      <c r="C938" s="120"/>
      <c r="D938" s="121"/>
      <c r="E938" s="127"/>
      <c r="F938" s="121"/>
      <c r="G938" s="121"/>
      <c r="H938" s="121"/>
      <c r="I938" s="122"/>
      <c r="J938" s="122"/>
      <c r="K938" s="122"/>
      <c r="L938" s="122"/>
      <c r="M938" s="122"/>
      <c r="N938" s="122"/>
      <c r="O938" s="122"/>
      <c r="P938" s="122"/>
      <c r="Q938" s="122"/>
      <c r="R938" s="122"/>
      <c r="S938" s="122"/>
      <c r="T938" s="122"/>
      <c r="U938" s="122"/>
      <c r="V938" s="122"/>
    </row>
    <row r="939" spans="2:22" s="126" customFormat="1">
      <c r="B939" s="120"/>
      <c r="C939" s="120"/>
      <c r="D939" s="121"/>
      <c r="E939" s="127"/>
      <c r="F939" s="121"/>
      <c r="G939" s="121"/>
      <c r="H939" s="121"/>
      <c r="I939" s="122"/>
      <c r="J939" s="122"/>
      <c r="K939" s="122"/>
      <c r="L939" s="122"/>
      <c r="M939" s="122"/>
      <c r="N939" s="122"/>
      <c r="O939" s="122"/>
      <c r="P939" s="122"/>
      <c r="Q939" s="122"/>
      <c r="R939" s="122"/>
      <c r="S939" s="122"/>
      <c r="T939" s="122"/>
      <c r="U939" s="122"/>
      <c r="V939" s="122"/>
    </row>
    <row r="940" spans="2:22" s="126" customFormat="1">
      <c r="B940" s="120"/>
      <c r="C940" s="120"/>
      <c r="D940" s="121"/>
      <c r="E940" s="127"/>
      <c r="F940" s="121"/>
      <c r="G940" s="121"/>
      <c r="H940" s="121"/>
      <c r="I940" s="122"/>
      <c r="J940" s="122"/>
      <c r="K940" s="122"/>
      <c r="L940" s="122"/>
      <c r="M940" s="122"/>
      <c r="N940" s="122"/>
      <c r="O940" s="122"/>
      <c r="P940" s="122"/>
      <c r="Q940" s="122"/>
      <c r="R940" s="122"/>
      <c r="S940" s="122"/>
      <c r="T940" s="122"/>
      <c r="U940" s="122"/>
      <c r="V940" s="122"/>
    </row>
    <row r="941" spans="2:22" s="126" customFormat="1">
      <c r="B941" s="120"/>
      <c r="C941" s="120"/>
      <c r="D941" s="121"/>
      <c r="E941" s="127"/>
      <c r="F941" s="121"/>
      <c r="G941" s="121"/>
      <c r="H941" s="121"/>
      <c r="I941" s="122"/>
      <c r="J941" s="122"/>
      <c r="K941" s="122"/>
      <c r="L941" s="122"/>
      <c r="M941" s="122"/>
      <c r="N941" s="122"/>
      <c r="O941" s="122"/>
      <c r="P941" s="122"/>
      <c r="Q941" s="122"/>
      <c r="R941" s="122"/>
      <c r="S941" s="122"/>
      <c r="T941" s="122"/>
      <c r="U941" s="122"/>
      <c r="V941" s="122"/>
    </row>
    <row r="942" spans="2:22" s="126" customFormat="1">
      <c r="B942" s="120"/>
      <c r="C942" s="120"/>
      <c r="D942" s="121"/>
      <c r="E942" s="127"/>
      <c r="F942" s="121"/>
      <c r="G942" s="121"/>
      <c r="H942" s="121"/>
      <c r="I942" s="122"/>
      <c r="J942" s="122"/>
      <c r="K942" s="122"/>
      <c r="L942" s="122"/>
      <c r="M942" s="122"/>
      <c r="N942" s="122"/>
      <c r="O942" s="122"/>
      <c r="P942" s="122"/>
      <c r="Q942" s="122"/>
      <c r="R942" s="122"/>
      <c r="S942" s="122"/>
      <c r="T942" s="122"/>
      <c r="U942" s="122"/>
      <c r="V942" s="122"/>
    </row>
    <row r="943" spans="2:22" s="126" customFormat="1">
      <c r="B943" s="120"/>
      <c r="C943" s="120"/>
      <c r="D943" s="121"/>
      <c r="E943" s="127"/>
      <c r="F943" s="121"/>
      <c r="G943" s="121"/>
      <c r="H943" s="121"/>
      <c r="I943" s="122"/>
      <c r="J943" s="122"/>
      <c r="K943" s="122"/>
      <c r="L943" s="122"/>
      <c r="M943" s="122"/>
      <c r="N943" s="122"/>
      <c r="O943" s="122"/>
      <c r="P943" s="122"/>
      <c r="Q943" s="122"/>
      <c r="R943" s="122"/>
      <c r="S943" s="122"/>
      <c r="T943" s="122"/>
      <c r="U943" s="122"/>
      <c r="V943" s="122"/>
    </row>
    <row r="944" spans="2:22" s="126" customFormat="1">
      <c r="B944" s="120"/>
      <c r="C944" s="120"/>
      <c r="D944" s="121"/>
      <c r="E944" s="127"/>
      <c r="F944" s="121"/>
      <c r="G944" s="121"/>
      <c r="H944" s="121"/>
      <c r="I944" s="122"/>
      <c r="J944" s="122"/>
      <c r="K944" s="122"/>
      <c r="L944" s="122"/>
      <c r="M944" s="122"/>
      <c r="N944" s="122"/>
      <c r="O944" s="122"/>
      <c r="P944" s="122"/>
      <c r="Q944" s="122"/>
      <c r="R944" s="122"/>
      <c r="S944" s="122"/>
      <c r="T944" s="122"/>
      <c r="U944" s="122"/>
      <c r="V944" s="122"/>
    </row>
    <row r="945" spans="2:22" s="126" customFormat="1">
      <c r="B945" s="120"/>
      <c r="C945" s="120"/>
      <c r="D945" s="121"/>
      <c r="E945" s="127"/>
      <c r="F945" s="121"/>
      <c r="G945" s="121"/>
      <c r="H945" s="121"/>
      <c r="I945" s="122"/>
      <c r="J945" s="122"/>
      <c r="K945" s="122"/>
      <c r="L945" s="122"/>
      <c r="M945" s="122"/>
      <c r="N945" s="122"/>
      <c r="O945" s="122"/>
      <c r="P945" s="122"/>
      <c r="Q945" s="122"/>
      <c r="R945" s="122"/>
      <c r="S945" s="122"/>
      <c r="T945" s="122"/>
      <c r="U945" s="122"/>
      <c r="V945" s="122"/>
    </row>
    <row r="946" spans="2:22" s="126" customFormat="1">
      <c r="B946" s="120"/>
      <c r="C946" s="120"/>
      <c r="D946" s="121"/>
      <c r="E946" s="127"/>
      <c r="F946" s="121"/>
      <c r="G946" s="121"/>
      <c r="H946" s="121"/>
      <c r="I946" s="122"/>
      <c r="J946" s="122"/>
      <c r="K946" s="122"/>
      <c r="L946" s="122"/>
      <c r="M946" s="122"/>
      <c r="N946" s="122"/>
      <c r="O946" s="122"/>
      <c r="P946" s="122"/>
      <c r="Q946" s="122"/>
      <c r="R946" s="122"/>
      <c r="S946" s="122"/>
      <c r="T946" s="122"/>
      <c r="U946" s="122"/>
      <c r="V946" s="122"/>
    </row>
    <row r="947" spans="2:22" s="126" customFormat="1">
      <c r="B947" s="120"/>
      <c r="C947" s="120"/>
      <c r="D947" s="121"/>
      <c r="E947" s="127"/>
      <c r="F947" s="121"/>
      <c r="G947" s="121"/>
      <c r="H947" s="121"/>
      <c r="I947" s="122"/>
      <c r="J947" s="122"/>
      <c r="K947" s="122"/>
      <c r="L947" s="122"/>
      <c r="M947" s="122"/>
      <c r="N947" s="122"/>
      <c r="O947" s="122"/>
      <c r="P947" s="122"/>
      <c r="Q947" s="122"/>
      <c r="R947" s="122"/>
      <c r="S947" s="122"/>
      <c r="T947" s="122"/>
      <c r="U947" s="122"/>
      <c r="V947" s="122"/>
    </row>
    <row r="948" spans="2:22" s="126" customFormat="1">
      <c r="B948" s="120"/>
      <c r="C948" s="120"/>
      <c r="D948" s="121"/>
      <c r="E948" s="127"/>
      <c r="F948" s="121"/>
      <c r="G948" s="121"/>
      <c r="H948" s="121"/>
      <c r="I948" s="122"/>
      <c r="J948" s="122"/>
      <c r="K948" s="122"/>
      <c r="L948" s="122"/>
      <c r="M948" s="122"/>
      <c r="N948" s="122"/>
      <c r="O948" s="122"/>
      <c r="P948" s="122"/>
      <c r="Q948" s="122"/>
      <c r="R948" s="122"/>
      <c r="S948" s="122"/>
      <c r="T948" s="122"/>
      <c r="U948" s="122"/>
      <c r="V948" s="122"/>
    </row>
    <row r="949" spans="2:22" s="126" customFormat="1">
      <c r="B949" s="120"/>
      <c r="C949" s="120"/>
      <c r="D949" s="121"/>
      <c r="E949" s="127"/>
      <c r="F949" s="121"/>
      <c r="G949" s="121"/>
      <c r="H949" s="121"/>
      <c r="I949" s="122"/>
      <c r="J949" s="122"/>
      <c r="K949" s="122"/>
      <c r="L949" s="122"/>
      <c r="M949" s="122"/>
      <c r="N949" s="122"/>
      <c r="O949" s="122"/>
      <c r="P949" s="122"/>
      <c r="Q949" s="122"/>
      <c r="R949" s="122"/>
      <c r="S949" s="122"/>
      <c r="T949" s="122"/>
      <c r="U949" s="122"/>
      <c r="V949" s="122"/>
    </row>
    <row r="950" spans="2:22" s="126" customFormat="1">
      <c r="B950" s="120"/>
      <c r="C950" s="120"/>
      <c r="D950" s="121"/>
      <c r="E950" s="127"/>
      <c r="F950" s="121"/>
      <c r="G950" s="121"/>
      <c r="H950" s="121"/>
      <c r="I950" s="122"/>
      <c r="J950" s="122"/>
      <c r="K950" s="122"/>
      <c r="L950" s="122"/>
      <c r="M950" s="122"/>
      <c r="N950" s="122"/>
      <c r="O950" s="122"/>
      <c r="P950" s="122"/>
      <c r="Q950" s="122"/>
      <c r="R950" s="122"/>
      <c r="S950" s="122"/>
      <c r="T950" s="122"/>
      <c r="U950" s="122"/>
      <c r="V950" s="122"/>
    </row>
    <row r="951" spans="2:22" s="126" customFormat="1">
      <c r="B951" s="120"/>
      <c r="C951" s="120"/>
      <c r="D951" s="121"/>
      <c r="E951" s="127"/>
      <c r="F951" s="121"/>
      <c r="G951" s="121"/>
      <c r="H951" s="121"/>
      <c r="I951" s="122"/>
      <c r="J951" s="122"/>
      <c r="K951" s="122"/>
      <c r="L951" s="122"/>
      <c r="M951" s="122"/>
      <c r="N951" s="122"/>
      <c r="O951" s="122"/>
      <c r="P951" s="122"/>
      <c r="Q951" s="122"/>
      <c r="R951" s="122"/>
      <c r="S951" s="122"/>
      <c r="T951" s="122"/>
      <c r="U951" s="122"/>
      <c r="V951" s="122"/>
    </row>
    <row r="952" spans="2:22" s="126" customFormat="1">
      <c r="B952" s="120"/>
      <c r="C952" s="120"/>
      <c r="D952" s="121"/>
      <c r="E952" s="127"/>
      <c r="F952" s="121"/>
      <c r="G952" s="121"/>
      <c r="H952" s="121"/>
      <c r="I952" s="122"/>
      <c r="J952" s="122"/>
      <c r="K952" s="122"/>
      <c r="L952" s="122"/>
      <c r="M952" s="122"/>
      <c r="N952" s="122"/>
      <c r="O952" s="122"/>
      <c r="P952" s="122"/>
      <c r="Q952" s="122"/>
      <c r="R952" s="122"/>
      <c r="S952" s="122"/>
      <c r="T952" s="122"/>
      <c r="U952" s="122"/>
      <c r="V952" s="122"/>
    </row>
    <row r="953" spans="2:22" s="126" customFormat="1">
      <c r="B953" s="120"/>
      <c r="C953" s="120"/>
      <c r="D953" s="121"/>
      <c r="E953" s="127"/>
      <c r="F953" s="121"/>
      <c r="G953" s="121"/>
      <c r="H953" s="121"/>
      <c r="I953" s="122"/>
      <c r="J953" s="122"/>
      <c r="K953" s="122"/>
      <c r="L953" s="122"/>
      <c r="M953" s="122"/>
      <c r="N953" s="122"/>
      <c r="O953" s="122"/>
      <c r="P953" s="122"/>
      <c r="Q953" s="122"/>
      <c r="R953" s="122"/>
      <c r="S953" s="122"/>
      <c r="T953" s="122"/>
      <c r="U953" s="122"/>
      <c r="V953" s="122"/>
    </row>
    <row r="954" spans="2:22" s="126" customFormat="1">
      <c r="B954" s="120"/>
      <c r="C954" s="120"/>
      <c r="D954" s="121"/>
      <c r="E954" s="127"/>
      <c r="F954" s="121"/>
      <c r="G954" s="121"/>
      <c r="H954" s="121"/>
      <c r="I954" s="122"/>
      <c r="J954" s="122"/>
      <c r="K954" s="122"/>
      <c r="L954" s="122"/>
      <c r="M954" s="122"/>
      <c r="N954" s="122"/>
      <c r="O954" s="122"/>
      <c r="P954" s="122"/>
      <c r="Q954" s="122"/>
      <c r="R954" s="122"/>
      <c r="S954" s="122"/>
      <c r="T954" s="122"/>
      <c r="U954" s="122"/>
      <c r="V954" s="122"/>
    </row>
    <row r="955" spans="2:22" s="126" customFormat="1">
      <c r="B955" s="120"/>
      <c r="C955" s="120"/>
      <c r="D955" s="121"/>
      <c r="E955" s="127"/>
      <c r="F955" s="121"/>
      <c r="G955" s="121"/>
      <c r="H955" s="121"/>
      <c r="I955" s="122"/>
      <c r="J955" s="122"/>
      <c r="K955" s="122"/>
      <c r="L955" s="122"/>
      <c r="M955" s="122"/>
      <c r="N955" s="122"/>
      <c r="O955" s="122"/>
      <c r="P955" s="122"/>
      <c r="Q955" s="122"/>
      <c r="R955" s="122"/>
      <c r="S955" s="122"/>
      <c r="T955" s="122"/>
      <c r="U955" s="122"/>
      <c r="V955" s="122"/>
    </row>
    <row r="956" spans="2:22" s="126" customFormat="1">
      <c r="B956" s="120"/>
      <c r="C956" s="120"/>
      <c r="D956" s="121"/>
      <c r="E956" s="127"/>
      <c r="F956" s="121"/>
      <c r="G956" s="121"/>
      <c r="H956" s="121"/>
      <c r="I956" s="122"/>
      <c r="J956" s="122"/>
      <c r="K956" s="122"/>
      <c r="L956" s="122"/>
      <c r="M956" s="122"/>
      <c r="N956" s="122"/>
      <c r="O956" s="122"/>
      <c r="P956" s="122"/>
      <c r="Q956" s="122"/>
      <c r="R956" s="122"/>
      <c r="S956" s="122"/>
      <c r="T956" s="122"/>
      <c r="U956" s="122"/>
      <c r="V956" s="122"/>
    </row>
    <row r="957" spans="2:22" s="126" customFormat="1">
      <c r="B957" s="120"/>
      <c r="C957" s="120"/>
      <c r="D957" s="121"/>
      <c r="E957" s="127"/>
      <c r="F957" s="121"/>
      <c r="G957" s="121"/>
      <c r="H957" s="121"/>
      <c r="I957" s="122"/>
      <c r="J957" s="122"/>
      <c r="K957" s="122"/>
      <c r="L957" s="122"/>
      <c r="M957" s="122"/>
      <c r="N957" s="122"/>
      <c r="O957" s="122"/>
      <c r="P957" s="122"/>
      <c r="Q957" s="122"/>
      <c r="R957" s="122"/>
      <c r="S957" s="122"/>
      <c r="T957" s="122"/>
      <c r="U957" s="122"/>
      <c r="V957" s="122"/>
    </row>
    <row r="958" spans="2:22" s="126" customFormat="1">
      <c r="B958" s="120"/>
      <c r="C958" s="120"/>
      <c r="D958" s="121"/>
      <c r="E958" s="127"/>
      <c r="F958" s="121"/>
      <c r="G958" s="121"/>
      <c r="H958" s="121"/>
      <c r="I958" s="122"/>
      <c r="J958" s="122"/>
      <c r="K958" s="122"/>
      <c r="L958" s="122"/>
      <c r="M958" s="122"/>
      <c r="N958" s="122"/>
      <c r="O958" s="122"/>
      <c r="P958" s="122"/>
      <c r="Q958" s="122"/>
      <c r="R958" s="122"/>
      <c r="S958" s="122"/>
      <c r="T958" s="122"/>
      <c r="U958" s="122"/>
      <c r="V958" s="122"/>
    </row>
    <row r="959" spans="2:22" s="126" customFormat="1">
      <c r="B959" s="120"/>
      <c r="C959" s="120"/>
      <c r="D959" s="121"/>
      <c r="E959" s="127"/>
      <c r="F959" s="121"/>
      <c r="G959" s="121"/>
      <c r="H959" s="121"/>
      <c r="I959" s="122"/>
      <c r="J959" s="122"/>
      <c r="K959" s="122"/>
      <c r="L959" s="122"/>
      <c r="M959" s="122"/>
      <c r="N959" s="122"/>
      <c r="O959" s="122"/>
      <c r="P959" s="122"/>
      <c r="Q959" s="122"/>
      <c r="R959" s="122"/>
      <c r="S959" s="122"/>
      <c r="T959" s="122"/>
      <c r="U959" s="122"/>
      <c r="V959" s="122"/>
    </row>
    <row r="960" spans="2:22" s="126" customFormat="1">
      <c r="B960" s="120"/>
      <c r="C960" s="120"/>
      <c r="D960" s="121"/>
      <c r="E960" s="127"/>
      <c r="F960" s="121"/>
      <c r="G960" s="121"/>
      <c r="H960" s="121"/>
      <c r="I960" s="122"/>
      <c r="J960" s="122"/>
      <c r="K960" s="122"/>
      <c r="L960" s="122"/>
      <c r="M960" s="122"/>
      <c r="N960" s="122"/>
      <c r="O960" s="122"/>
      <c r="P960" s="122"/>
      <c r="Q960" s="122"/>
      <c r="R960" s="122"/>
      <c r="S960" s="122"/>
      <c r="T960" s="122"/>
      <c r="U960" s="122"/>
      <c r="V960" s="122"/>
    </row>
    <row r="961" spans="2:22" s="126" customFormat="1">
      <c r="B961" s="120"/>
      <c r="C961" s="120"/>
      <c r="D961" s="121"/>
      <c r="E961" s="127"/>
      <c r="F961" s="121"/>
      <c r="G961" s="121"/>
      <c r="H961" s="121"/>
      <c r="I961" s="122"/>
      <c r="J961" s="122"/>
      <c r="K961" s="122"/>
      <c r="L961" s="122"/>
      <c r="M961" s="122"/>
      <c r="N961" s="122"/>
      <c r="O961" s="122"/>
      <c r="P961" s="122"/>
      <c r="Q961" s="122"/>
      <c r="R961" s="122"/>
      <c r="S961" s="122"/>
      <c r="T961" s="122"/>
      <c r="U961" s="122"/>
      <c r="V961" s="122"/>
    </row>
    <row r="962" spans="2:22" s="126" customFormat="1">
      <c r="B962" s="120"/>
      <c r="C962" s="120"/>
      <c r="D962" s="121"/>
      <c r="E962" s="127"/>
      <c r="F962" s="121"/>
      <c r="G962" s="121"/>
      <c r="H962" s="121"/>
      <c r="I962" s="122"/>
      <c r="J962" s="122"/>
      <c r="K962" s="122"/>
      <c r="L962" s="122"/>
      <c r="M962" s="122"/>
      <c r="N962" s="122"/>
      <c r="O962" s="122"/>
      <c r="P962" s="122"/>
      <c r="Q962" s="122"/>
      <c r="R962" s="122"/>
      <c r="S962" s="122"/>
      <c r="T962" s="122"/>
      <c r="U962" s="122"/>
      <c r="V962" s="122"/>
    </row>
    <row r="963" spans="2:22" s="126" customFormat="1">
      <c r="B963" s="120"/>
      <c r="C963" s="120"/>
      <c r="D963" s="121"/>
      <c r="E963" s="127"/>
      <c r="F963" s="121"/>
      <c r="G963" s="121"/>
      <c r="H963" s="121"/>
      <c r="I963" s="122"/>
      <c r="J963" s="122"/>
      <c r="K963" s="122"/>
      <c r="L963" s="122"/>
      <c r="M963" s="122"/>
      <c r="N963" s="122"/>
      <c r="O963" s="122"/>
      <c r="P963" s="122"/>
      <c r="Q963" s="122"/>
      <c r="R963" s="122"/>
      <c r="S963" s="122"/>
      <c r="T963" s="122"/>
      <c r="U963" s="122"/>
      <c r="V963" s="122"/>
    </row>
    <row r="964" spans="2:22" s="126" customFormat="1">
      <c r="B964" s="120"/>
      <c r="C964" s="120"/>
      <c r="D964" s="121"/>
      <c r="E964" s="127"/>
      <c r="F964" s="121"/>
      <c r="G964" s="121"/>
      <c r="H964" s="121"/>
      <c r="I964" s="122"/>
      <c r="J964" s="122"/>
      <c r="K964" s="122"/>
      <c r="L964" s="122"/>
      <c r="M964" s="122"/>
      <c r="N964" s="122"/>
      <c r="O964" s="122"/>
      <c r="P964" s="122"/>
      <c r="Q964" s="122"/>
      <c r="R964" s="122"/>
      <c r="S964" s="122"/>
      <c r="T964" s="122"/>
      <c r="U964" s="122"/>
      <c r="V964" s="122"/>
    </row>
    <row r="965" spans="2:22" s="126" customFormat="1">
      <c r="B965" s="120"/>
      <c r="C965" s="120"/>
      <c r="D965" s="121"/>
      <c r="E965" s="127"/>
      <c r="F965" s="121"/>
      <c r="G965" s="121"/>
      <c r="H965" s="121"/>
      <c r="I965" s="122"/>
      <c r="J965" s="122"/>
      <c r="K965" s="122"/>
      <c r="L965" s="122"/>
      <c r="M965" s="122"/>
      <c r="N965" s="122"/>
      <c r="O965" s="122"/>
      <c r="P965" s="122"/>
      <c r="Q965" s="122"/>
      <c r="R965" s="122"/>
      <c r="S965" s="122"/>
      <c r="T965" s="122"/>
      <c r="U965" s="122"/>
      <c r="V965" s="122"/>
    </row>
    <row r="966" spans="2:22" s="126" customFormat="1">
      <c r="B966" s="120"/>
      <c r="C966" s="120"/>
      <c r="D966" s="121"/>
      <c r="E966" s="127"/>
      <c r="F966" s="121"/>
      <c r="G966" s="121"/>
      <c r="H966" s="121"/>
      <c r="I966" s="122"/>
      <c r="J966" s="122"/>
      <c r="K966" s="122"/>
      <c r="L966" s="122"/>
      <c r="M966" s="122"/>
      <c r="N966" s="122"/>
      <c r="O966" s="122"/>
      <c r="P966" s="122"/>
      <c r="Q966" s="122"/>
      <c r="R966" s="122"/>
      <c r="S966" s="122"/>
      <c r="T966" s="122"/>
      <c r="U966" s="122"/>
      <c r="V966" s="122"/>
    </row>
    <row r="967" spans="2:22" s="126" customFormat="1">
      <c r="B967" s="120"/>
      <c r="C967" s="120"/>
      <c r="D967" s="121"/>
      <c r="E967" s="127"/>
      <c r="F967" s="121"/>
      <c r="G967" s="121"/>
      <c r="H967" s="121"/>
      <c r="I967" s="122"/>
      <c r="J967" s="122"/>
      <c r="K967" s="122"/>
      <c r="L967" s="122"/>
      <c r="M967" s="122"/>
      <c r="N967" s="122"/>
      <c r="O967" s="122"/>
      <c r="P967" s="122"/>
      <c r="Q967" s="122"/>
      <c r="R967" s="122"/>
      <c r="S967" s="122"/>
      <c r="T967" s="122"/>
      <c r="U967" s="122"/>
      <c r="V967" s="122"/>
    </row>
    <row r="968" spans="2:22" s="126" customFormat="1">
      <c r="B968" s="120"/>
      <c r="C968" s="120"/>
      <c r="D968" s="121"/>
      <c r="E968" s="127"/>
      <c r="F968" s="121"/>
      <c r="G968" s="121"/>
      <c r="H968" s="121"/>
      <c r="I968" s="122"/>
      <c r="J968" s="122"/>
      <c r="K968" s="122"/>
      <c r="L968" s="122"/>
      <c r="M968" s="122"/>
      <c r="N968" s="122"/>
      <c r="O968" s="122"/>
      <c r="P968" s="122"/>
      <c r="Q968" s="122"/>
      <c r="R968" s="122"/>
      <c r="S968" s="122"/>
      <c r="T968" s="122"/>
      <c r="U968" s="122"/>
      <c r="V968" s="122"/>
    </row>
    <row r="969" spans="2:22" s="126" customFormat="1">
      <c r="B969" s="120"/>
      <c r="C969" s="120"/>
      <c r="D969" s="121"/>
      <c r="E969" s="127"/>
      <c r="F969" s="121"/>
      <c r="G969" s="121"/>
      <c r="H969" s="121"/>
      <c r="I969" s="122"/>
      <c r="J969" s="122"/>
      <c r="K969" s="122"/>
      <c r="L969" s="122"/>
      <c r="M969" s="122"/>
      <c r="N969" s="122"/>
      <c r="O969" s="122"/>
      <c r="P969" s="122"/>
      <c r="Q969" s="122"/>
      <c r="R969" s="122"/>
      <c r="S969" s="122"/>
      <c r="T969" s="122"/>
      <c r="U969" s="122"/>
      <c r="V969" s="122"/>
    </row>
    <row r="970" spans="2:22" s="126" customFormat="1">
      <c r="B970" s="120"/>
      <c r="C970" s="120"/>
      <c r="D970" s="121"/>
      <c r="E970" s="127"/>
      <c r="F970" s="121"/>
      <c r="G970" s="121"/>
      <c r="H970" s="121"/>
      <c r="I970" s="122"/>
      <c r="J970" s="122"/>
      <c r="K970" s="122"/>
      <c r="L970" s="122"/>
      <c r="M970" s="122"/>
      <c r="N970" s="122"/>
      <c r="O970" s="122"/>
      <c r="P970" s="122"/>
      <c r="Q970" s="122"/>
      <c r="R970" s="122"/>
      <c r="S970" s="122"/>
      <c r="T970" s="122"/>
      <c r="U970" s="122"/>
      <c r="V970" s="122"/>
    </row>
    <row r="971" spans="2:22" s="126" customFormat="1">
      <c r="B971" s="120"/>
      <c r="C971" s="120"/>
      <c r="D971" s="121"/>
      <c r="E971" s="127"/>
      <c r="F971" s="121"/>
      <c r="G971" s="121"/>
      <c r="H971" s="121"/>
      <c r="I971" s="122"/>
      <c r="J971" s="122"/>
      <c r="K971" s="122"/>
      <c r="L971" s="122"/>
      <c r="M971" s="122"/>
      <c r="N971" s="122"/>
      <c r="O971" s="122"/>
      <c r="P971" s="122"/>
      <c r="Q971" s="122"/>
      <c r="R971" s="122"/>
      <c r="S971" s="122"/>
      <c r="T971" s="122"/>
      <c r="U971" s="122"/>
      <c r="V971" s="122"/>
    </row>
    <row r="972" spans="2:22" s="126" customFormat="1">
      <c r="B972" s="120"/>
      <c r="C972" s="120"/>
      <c r="D972" s="121"/>
      <c r="E972" s="127"/>
      <c r="F972" s="121"/>
      <c r="G972" s="121"/>
      <c r="H972" s="121"/>
      <c r="I972" s="122"/>
      <c r="J972" s="122"/>
      <c r="K972" s="122"/>
      <c r="L972" s="122"/>
      <c r="M972" s="122"/>
      <c r="N972" s="122"/>
      <c r="O972" s="122"/>
      <c r="P972" s="122"/>
      <c r="Q972" s="122"/>
      <c r="R972" s="122"/>
      <c r="S972" s="122"/>
      <c r="T972" s="122"/>
      <c r="U972" s="122"/>
      <c r="V972" s="122"/>
    </row>
    <row r="973" spans="2:22" s="126" customFormat="1">
      <c r="B973" s="120"/>
      <c r="C973" s="120"/>
      <c r="D973" s="121"/>
      <c r="E973" s="127"/>
      <c r="F973" s="121"/>
      <c r="G973" s="121"/>
      <c r="H973" s="121"/>
      <c r="I973" s="122"/>
      <c r="J973" s="122"/>
      <c r="K973" s="122"/>
      <c r="L973" s="122"/>
      <c r="M973" s="122"/>
      <c r="N973" s="122"/>
      <c r="O973" s="122"/>
      <c r="P973" s="122"/>
      <c r="Q973" s="122"/>
      <c r="R973" s="122"/>
      <c r="S973" s="122"/>
      <c r="T973" s="122"/>
      <c r="U973" s="122"/>
      <c r="V973" s="122"/>
    </row>
    <row r="974" spans="2:22" s="126" customFormat="1">
      <c r="B974" s="120"/>
      <c r="C974" s="120"/>
      <c r="D974" s="121"/>
      <c r="E974" s="127"/>
      <c r="F974" s="121"/>
      <c r="G974" s="121"/>
      <c r="H974" s="121"/>
      <c r="I974" s="122"/>
      <c r="J974" s="122"/>
      <c r="K974" s="122"/>
      <c r="L974" s="122"/>
      <c r="M974" s="122"/>
      <c r="N974" s="122"/>
      <c r="O974" s="122"/>
      <c r="P974" s="122"/>
      <c r="Q974" s="122"/>
      <c r="R974" s="122"/>
      <c r="S974" s="122"/>
      <c r="T974" s="122"/>
      <c r="U974" s="122"/>
      <c r="V974" s="122"/>
    </row>
    <row r="975" spans="2:22" s="126" customFormat="1">
      <c r="B975" s="120"/>
      <c r="C975" s="120"/>
      <c r="D975" s="121"/>
      <c r="E975" s="127"/>
      <c r="F975" s="121"/>
      <c r="G975" s="121"/>
      <c r="H975" s="121"/>
      <c r="I975" s="122"/>
      <c r="J975" s="122"/>
      <c r="K975" s="122"/>
      <c r="L975" s="122"/>
      <c r="M975" s="122"/>
      <c r="N975" s="122"/>
      <c r="O975" s="122"/>
      <c r="P975" s="122"/>
      <c r="Q975" s="122"/>
      <c r="R975" s="122"/>
      <c r="S975" s="122"/>
      <c r="T975" s="122"/>
      <c r="U975" s="122"/>
      <c r="V975" s="122"/>
    </row>
    <row r="976" spans="2:22" s="126" customFormat="1">
      <c r="B976" s="120"/>
      <c r="C976" s="120"/>
      <c r="D976" s="121"/>
      <c r="E976" s="127"/>
      <c r="F976" s="121"/>
      <c r="G976" s="121"/>
      <c r="H976" s="121"/>
      <c r="I976" s="122"/>
      <c r="J976" s="122"/>
      <c r="K976" s="122"/>
      <c r="L976" s="122"/>
      <c r="M976" s="122"/>
      <c r="N976" s="122"/>
      <c r="O976" s="122"/>
      <c r="P976" s="122"/>
      <c r="Q976" s="122"/>
      <c r="R976" s="122"/>
      <c r="S976" s="122"/>
      <c r="T976" s="122"/>
      <c r="U976" s="122"/>
      <c r="V976" s="122"/>
    </row>
    <row r="977" spans="2:22" s="126" customFormat="1">
      <c r="B977" s="120"/>
      <c r="C977" s="120"/>
      <c r="D977" s="121"/>
      <c r="E977" s="127"/>
      <c r="F977" s="121"/>
      <c r="G977" s="121"/>
      <c r="H977" s="121"/>
      <c r="I977" s="122"/>
      <c r="J977" s="122"/>
      <c r="K977" s="122"/>
      <c r="L977" s="122"/>
      <c r="M977" s="122"/>
      <c r="N977" s="122"/>
      <c r="O977" s="122"/>
      <c r="P977" s="122"/>
      <c r="Q977" s="122"/>
      <c r="R977" s="122"/>
      <c r="S977" s="122"/>
      <c r="T977" s="122"/>
      <c r="U977" s="122"/>
      <c r="V977" s="122"/>
    </row>
    <row r="978" spans="2:22" s="126" customFormat="1">
      <c r="B978" s="120"/>
      <c r="C978" s="120"/>
      <c r="D978" s="121"/>
      <c r="E978" s="127"/>
      <c r="F978" s="121"/>
      <c r="G978" s="121"/>
      <c r="H978" s="121"/>
      <c r="I978" s="122"/>
      <c r="J978" s="122"/>
      <c r="K978" s="122"/>
      <c r="L978" s="122"/>
      <c r="M978" s="122"/>
      <c r="N978" s="122"/>
      <c r="O978" s="122"/>
      <c r="P978" s="122"/>
      <c r="Q978" s="122"/>
      <c r="R978" s="122"/>
      <c r="S978" s="122"/>
      <c r="T978" s="122"/>
      <c r="U978" s="122"/>
      <c r="V978" s="122"/>
    </row>
    <row r="979" spans="2:22" s="126" customFormat="1">
      <c r="B979" s="120"/>
      <c r="C979" s="120"/>
      <c r="D979" s="121"/>
      <c r="E979" s="127"/>
      <c r="F979" s="121"/>
      <c r="G979" s="121"/>
      <c r="H979" s="121"/>
      <c r="I979" s="122"/>
      <c r="J979" s="122"/>
      <c r="K979" s="122"/>
      <c r="L979" s="122"/>
      <c r="M979" s="122"/>
      <c r="N979" s="122"/>
      <c r="O979" s="122"/>
      <c r="P979" s="122"/>
      <c r="Q979" s="122"/>
      <c r="R979" s="122"/>
      <c r="S979" s="122"/>
      <c r="T979" s="122"/>
      <c r="U979" s="122"/>
      <c r="V979" s="122"/>
    </row>
    <row r="980" spans="2:22" s="126" customFormat="1">
      <c r="B980" s="120"/>
      <c r="C980" s="120"/>
      <c r="D980" s="121"/>
      <c r="E980" s="127"/>
      <c r="F980" s="121"/>
      <c r="G980" s="121"/>
      <c r="H980" s="121"/>
      <c r="I980" s="122"/>
      <c r="J980" s="122"/>
      <c r="K980" s="122"/>
      <c r="L980" s="122"/>
      <c r="M980" s="122"/>
      <c r="N980" s="122"/>
      <c r="O980" s="122"/>
      <c r="P980" s="122"/>
      <c r="Q980" s="122"/>
      <c r="R980" s="122"/>
      <c r="S980" s="122"/>
      <c r="T980" s="122"/>
      <c r="U980" s="122"/>
      <c r="V980" s="122"/>
    </row>
    <row r="981" spans="2:22" s="126" customFormat="1">
      <c r="B981" s="120"/>
      <c r="C981" s="120"/>
      <c r="D981" s="121"/>
      <c r="E981" s="127"/>
      <c r="F981" s="121"/>
      <c r="G981" s="121"/>
      <c r="H981" s="121"/>
      <c r="I981" s="122"/>
      <c r="J981" s="122"/>
      <c r="K981" s="122"/>
      <c r="L981" s="122"/>
      <c r="M981" s="122"/>
      <c r="N981" s="122"/>
      <c r="O981" s="122"/>
      <c r="P981" s="122"/>
      <c r="Q981" s="122"/>
      <c r="R981" s="122"/>
      <c r="S981" s="122"/>
      <c r="T981" s="122"/>
      <c r="U981" s="122"/>
      <c r="V981" s="122"/>
    </row>
    <row r="982" spans="2:22" s="126" customFormat="1">
      <c r="B982" s="120"/>
      <c r="C982" s="120"/>
      <c r="D982" s="121"/>
      <c r="E982" s="127"/>
      <c r="F982" s="121"/>
      <c r="G982" s="121"/>
      <c r="H982" s="121"/>
      <c r="I982" s="122"/>
      <c r="J982" s="122"/>
      <c r="K982" s="122"/>
      <c r="L982" s="122"/>
      <c r="M982" s="122"/>
      <c r="N982" s="122"/>
      <c r="O982" s="122"/>
      <c r="P982" s="122"/>
      <c r="Q982" s="122"/>
      <c r="R982" s="122"/>
      <c r="S982" s="122"/>
      <c r="T982" s="122"/>
      <c r="U982" s="122"/>
      <c r="V982" s="122"/>
    </row>
    <row r="983" spans="2:22" s="126" customFormat="1">
      <c r="B983" s="120"/>
      <c r="C983" s="120"/>
      <c r="D983" s="121"/>
      <c r="E983" s="127"/>
      <c r="F983" s="121"/>
      <c r="G983" s="121"/>
      <c r="H983" s="121"/>
      <c r="I983" s="122"/>
      <c r="J983" s="122"/>
      <c r="K983" s="122"/>
      <c r="L983" s="122"/>
      <c r="M983" s="122"/>
      <c r="N983" s="122"/>
      <c r="O983" s="122"/>
      <c r="P983" s="122"/>
      <c r="Q983" s="122"/>
      <c r="R983" s="122"/>
      <c r="S983" s="122"/>
      <c r="T983" s="122"/>
      <c r="U983" s="122"/>
      <c r="V983" s="122"/>
    </row>
    <row r="984" spans="2:22" s="126" customFormat="1">
      <c r="B984" s="120"/>
      <c r="C984" s="120"/>
      <c r="D984" s="121"/>
      <c r="E984" s="127"/>
      <c r="F984" s="121"/>
      <c r="G984" s="121"/>
      <c r="H984" s="121"/>
      <c r="I984" s="122"/>
      <c r="J984" s="122"/>
      <c r="K984" s="122"/>
      <c r="L984" s="122"/>
      <c r="M984" s="122"/>
      <c r="N984" s="122"/>
      <c r="O984" s="122"/>
      <c r="P984" s="122"/>
      <c r="Q984" s="122"/>
      <c r="R984" s="122"/>
      <c r="S984" s="122"/>
      <c r="T984" s="122"/>
      <c r="U984" s="122"/>
      <c r="V984" s="122"/>
    </row>
    <row r="985" spans="2:22" s="126" customFormat="1">
      <c r="B985" s="120"/>
      <c r="C985" s="120"/>
      <c r="D985" s="121"/>
      <c r="E985" s="127"/>
      <c r="F985" s="121"/>
      <c r="G985" s="121"/>
      <c r="H985" s="121"/>
      <c r="I985" s="122"/>
      <c r="J985" s="122"/>
      <c r="K985" s="122"/>
      <c r="L985" s="122"/>
      <c r="M985" s="122"/>
      <c r="N985" s="122"/>
      <c r="O985" s="122"/>
      <c r="P985" s="122"/>
      <c r="Q985" s="122"/>
      <c r="R985" s="122"/>
      <c r="S985" s="122"/>
      <c r="T985" s="122"/>
      <c r="U985" s="122"/>
      <c r="V985" s="122"/>
    </row>
    <row r="986" spans="2:22" s="126" customFormat="1">
      <c r="B986" s="120"/>
      <c r="C986" s="120"/>
      <c r="D986" s="121"/>
      <c r="E986" s="127"/>
      <c r="F986" s="121"/>
      <c r="G986" s="121"/>
      <c r="H986" s="121"/>
      <c r="I986" s="122"/>
      <c r="J986" s="122"/>
      <c r="K986" s="122"/>
      <c r="L986" s="122"/>
      <c r="M986" s="122"/>
      <c r="N986" s="122"/>
      <c r="O986" s="122"/>
      <c r="P986" s="122"/>
      <c r="Q986" s="122"/>
      <c r="R986" s="122"/>
      <c r="S986" s="122"/>
      <c r="T986" s="122"/>
      <c r="U986" s="122"/>
      <c r="V986" s="122"/>
    </row>
    <row r="987" spans="2:22" s="126" customFormat="1">
      <c r="B987" s="120"/>
      <c r="C987" s="120"/>
      <c r="D987" s="121"/>
      <c r="E987" s="127"/>
      <c r="F987" s="121"/>
      <c r="G987" s="121"/>
      <c r="H987" s="121"/>
      <c r="I987" s="122"/>
      <c r="J987" s="122"/>
      <c r="K987" s="122"/>
      <c r="L987" s="122"/>
      <c r="M987" s="122"/>
      <c r="N987" s="122"/>
      <c r="O987" s="122"/>
      <c r="P987" s="122"/>
      <c r="Q987" s="122"/>
      <c r="R987" s="122"/>
      <c r="S987" s="122"/>
      <c r="T987" s="122"/>
      <c r="U987" s="122"/>
      <c r="V987" s="122"/>
    </row>
    <row r="988" spans="2:22" s="126" customFormat="1">
      <c r="B988" s="120"/>
      <c r="C988" s="120"/>
      <c r="D988" s="121"/>
      <c r="E988" s="127"/>
      <c r="F988" s="121"/>
      <c r="G988" s="121"/>
      <c r="H988" s="121"/>
      <c r="I988" s="122"/>
      <c r="J988" s="122"/>
      <c r="K988" s="122"/>
      <c r="L988" s="122"/>
      <c r="M988" s="122"/>
      <c r="N988" s="122"/>
      <c r="O988" s="122"/>
      <c r="P988" s="122"/>
      <c r="Q988" s="122"/>
      <c r="R988" s="122"/>
      <c r="S988" s="122"/>
      <c r="T988" s="122"/>
      <c r="U988" s="122"/>
      <c r="V988" s="122"/>
    </row>
    <row r="989" spans="2:22" s="126" customFormat="1">
      <c r="B989" s="120"/>
      <c r="C989" s="120"/>
      <c r="D989" s="121"/>
      <c r="E989" s="127"/>
      <c r="F989" s="121"/>
      <c r="G989" s="121"/>
      <c r="H989" s="121"/>
      <c r="I989" s="122"/>
      <c r="J989" s="122"/>
      <c r="K989" s="122"/>
      <c r="L989" s="122"/>
      <c r="M989" s="122"/>
      <c r="N989" s="122"/>
      <c r="O989" s="122"/>
      <c r="P989" s="122"/>
      <c r="Q989" s="122"/>
      <c r="R989" s="122"/>
      <c r="S989" s="122"/>
      <c r="T989" s="122"/>
      <c r="U989" s="122"/>
      <c r="V989" s="122"/>
    </row>
    <row r="990" spans="2:22" s="126" customFormat="1">
      <c r="B990" s="120"/>
      <c r="C990" s="120"/>
      <c r="D990" s="121"/>
      <c r="E990" s="127"/>
      <c r="F990" s="121"/>
      <c r="G990" s="121"/>
      <c r="H990" s="121"/>
      <c r="I990" s="122"/>
      <c r="J990" s="122"/>
      <c r="K990" s="122"/>
      <c r="L990" s="122"/>
      <c r="M990" s="122"/>
      <c r="N990" s="122"/>
      <c r="O990" s="122"/>
      <c r="P990" s="122"/>
      <c r="Q990" s="122"/>
      <c r="R990" s="122"/>
      <c r="S990" s="122"/>
      <c r="T990" s="122"/>
      <c r="U990" s="122"/>
      <c r="V990" s="122"/>
    </row>
    <row r="991" spans="2:22" s="126" customFormat="1">
      <c r="B991" s="120"/>
      <c r="C991" s="120"/>
      <c r="D991" s="121"/>
      <c r="E991" s="127"/>
      <c r="F991" s="121"/>
      <c r="G991" s="121"/>
      <c r="H991" s="121"/>
      <c r="I991" s="122"/>
      <c r="J991" s="122"/>
      <c r="K991" s="122"/>
      <c r="L991" s="122"/>
      <c r="M991" s="122"/>
      <c r="N991" s="122"/>
      <c r="O991" s="122"/>
      <c r="P991" s="122"/>
      <c r="Q991" s="122"/>
      <c r="R991" s="122"/>
      <c r="S991" s="122"/>
      <c r="T991" s="122"/>
      <c r="U991" s="122"/>
      <c r="V991" s="122"/>
    </row>
    <row r="992" spans="2:22" s="126" customFormat="1">
      <c r="B992" s="120"/>
      <c r="C992" s="120"/>
      <c r="D992" s="121"/>
      <c r="E992" s="127"/>
      <c r="F992" s="121"/>
      <c r="G992" s="121"/>
      <c r="H992" s="121"/>
      <c r="I992" s="122"/>
      <c r="J992" s="122"/>
      <c r="K992" s="122"/>
      <c r="L992" s="122"/>
      <c r="M992" s="122"/>
      <c r="N992" s="122"/>
      <c r="O992" s="122"/>
      <c r="P992" s="122"/>
      <c r="Q992" s="122"/>
      <c r="R992" s="122"/>
      <c r="S992" s="122"/>
      <c r="T992" s="122"/>
      <c r="U992" s="122"/>
      <c r="V992" s="122"/>
    </row>
    <row r="993" spans="2:22" s="126" customFormat="1">
      <c r="B993" s="120"/>
      <c r="C993" s="120"/>
      <c r="D993" s="121"/>
      <c r="E993" s="127"/>
      <c r="F993" s="121"/>
      <c r="G993" s="121"/>
      <c r="H993" s="121"/>
      <c r="I993" s="122"/>
      <c r="J993" s="122"/>
      <c r="K993" s="122"/>
      <c r="L993" s="122"/>
      <c r="M993" s="122"/>
      <c r="N993" s="122"/>
      <c r="O993" s="122"/>
      <c r="P993" s="122"/>
      <c r="Q993" s="122"/>
      <c r="R993" s="122"/>
      <c r="S993" s="122"/>
      <c r="T993" s="122"/>
      <c r="U993" s="122"/>
      <c r="V993" s="122"/>
    </row>
    <row r="994" spans="2:22" s="126" customFormat="1">
      <c r="B994" s="120"/>
      <c r="C994" s="120"/>
      <c r="D994" s="121"/>
      <c r="E994" s="127"/>
      <c r="F994" s="121"/>
      <c r="G994" s="121"/>
      <c r="H994" s="121"/>
      <c r="I994" s="122"/>
      <c r="J994" s="122"/>
      <c r="K994" s="122"/>
      <c r="L994" s="122"/>
      <c r="M994" s="122"/>
      <c r="N994" s="122"/>
      <c r="O994" s="122"/>
      <c r="P994" s="122"/>
      <c r="Q994" s="122"/>
      <c r="R994" s="122"/>
      <c r="S994" s="122"/>
      <c r="T994" s="122"/>
      <c r="U994" s="122"/>
      <c r="V994" s="122"/>
    </row>
    <row r="995" spans="2:22" s="126" customFormat="1">
      <c r="B995" s="120"/>
      <c r="C995" s="120"/>
      <c r="D995" s="121"/>
      <c r="E995" s="127"/>
      <c r="F995" s="121"/>
      <c r="G995" s="121"/>
      <c r="H995" s="121"/>
      <c r="I995" s="122"/>
      <c r="J995" s="122"/>
      <c r="K995" s="122"/>
      <c r="L995" s="122"/>
      <c r="M995" s="122"/>
      <c r="N995" s="122"/>
      <c r="O995" s="122"/>
      <c r="P995" s="122"/>
      <c r="Q995" s="122"/>
      <c r="R995" s="122"/>
      <c r="S995" s="122"/>
      <c r="T995" s="122"/>
      <c r="U995" s="122"/>
      <c r="V995" s="122"/>
    </row>
    <row r="996" spans="2:22" s="126" customFormat="1">
      <c r="B996" s="120"/>
      <c r="C996" s="120"/>
      <c r="D996" s="121"/>
      <c r="E996" s="127"/>
      <c r="F996" s="121"/>
      <c r="G996" s="121"/>
      <c r="H996" s="121"/>
      <c r="I996" s="122"/>
      <c r="J996" s="122"/>
      <c r="K996" s="122"/>
      <c r="L996" s="122"/>
      <c r="M996" s="122"/>
      <c r="N996" s="122"/>
      <c r="O996" s="122"/>
      <c r="P996" s="122"/>
      <c r="Q996" s="122"/>
      <c r="R996" s="122"/>
      <c r="S996" s="122"/>
      <c r="T996" s="122"/>
      <c r="U996" s="122"/>
      <c r="V996" s="122"/>
    </row>
    <row r="997" spans="2:22" s="126" customFormat="1">
      <c r="B997" s="120"/>
      <c r="C997" s="120"/>
      <c r="D997" s="121"/>
      <c r="E997" s="127"/>
      <c r="F997" s="121"/>
      <c r="G997" s="121"/>
      <c r="H997" s="121"/>
      <c r="I997" s="122"/>
      <c r="J997" s="122"/>
      <c r="K997" s="122"/>
      <c r="L997" s="122"/>
      <c r="M997" s="122"/>
      <c r="N997" s="122"/>
      <c r="O997" s="122"/>
      <c r="P997" s="122"/>
      <c r="Q997" s="122"/>
      <c r="R997" s="122"/>
      <c r="S997" s="122"/>
      <c r="T997" s="122"/>
      <c r="U997" s="122"/>
      <c r="V997" s="122"/>
    </row>
    <row r="998" spans="2:22" s="126" customFormat="1">
      <c r="B998" s="120"/>
      <c r="C998" s="120"/>
      <c r="D998" s="121"/>
      <c r="E998" s="127"/>
      <c r="F998" s="121"/>
      <c r="G998" s="121"/>
      <c r="H998" s="121"/>
      <c r="I998" s="122"/>
      <c r="J998" s="122"/>
      <c r="K998" s="122"/>
      <c r="L998" s="122"/>
      <c r="M998" s="122"/>
      <c r="N998" s="122"/>
      <c r="O998" s="122"/>
      <c r="P998" s="122"/>
      <c r="Q998" s="122"/>
      <c r="R998" s="122"/>
      <c r="S998" s="122"/>
      <c r="T998" s="122"/>
      <c r="U998" s="122"/>
      <c r="V998" s="122"/>
    </row>
    <row r="999" spans="2:22" s="126" customFormat="1">
      <c r="B999" s="120"/>
      <c r="C999" s="120"/>
      <c r="D999" s="121"/>
      <c r="E999" s="127"/>
      <c r="F999" s="121"/>
      <c r="G999" s="121"/>
      <c r="H999" s="121"/>
      <c r="I999" s="122"/>
      <c r="J999" s="122"/>
      <c r="K999" s="122"/>
      <c r="L999" s="122"/>
      <c r="M999" s="122"/>
      <c r="N999" s="122"/>
      <c r="O999" s="122"/>
      <c r="P999" s="122"/>
      <c r="Q999" s="122"/>
      <c r="R999" s="122"/>
      <c r="S999" s="122"/>
      <c r="T999" s="122"/>
      <c r="U999" s="122"/>
      <c r="V999" s="122"/>
    </row>
    <row r="1000" spans="2:22" s="126" customFormat="1">
      <c r="B1000" s="120"/>
      <c r="C1000" s="120"/>
      <c r="D1000" s="121"/>
      <c r="E1000" s="127"/>
      <c r="F1000" s="121"/>
      <c r="G1000" s="121"/>
      <c r="H1000" s="121"/>
      <c r="I1000" s="122"/>
      <c r="J1000" s="122"/>
      <c r="K1000" s="122"/>
      <c r="L1000" s="122"/>
      <c r="M1000" s="122"/>
      <c r="N1000" s="122"/>
      <c r="O1000" s="122"/>
      <c r="P1000" s="122"/>
      <c r="Q1000" s="122"/>
      <c r="R1000" s="122"/>
      <c r="S1000" s="122"/>
      <c r="T1000" s="122"/>
      <c r="U1000" s="122"/>
      <c r="V1000" s="122"/>
    </row>
    <row r="1001" spans="2:22" s="126" customFormat="1">
      <c r="B1001" s="120"/>
      <c r="C1001" s="120"/>
      <c r="D1001" s="121"/>
      <c r="E1001" s="127"/>
      <c r="F1001" s="121"/>
      <c r="G1001" s="121"/>
      <c r="H1001" s="121"/>
      <c r="I1001" s="122"/>
      <c r="J1001" s="122"/>
      <c r="K1001" s="122"/>
      <c r="L1001" s="122"/>
      <c r="M1001" s="122"/>
      <c r="N1001" s="122"/>
      <c r="O1001" s="122"/>
      <c r="P1001" s="122"/>
      <c r="Q1001" s="122"/>
      <c r="R1001" s="122"/>
      <c r="S1001" s="122"/>
      <c r="T1001" s="122"/>
      <c r="U1001" s="122"/>
      <c r="V1001" s="122"/>
    </row>
    <row r="1002" spans="2:22" s="126" customFormat="1">
      <c r="B1002" s="120"/>
      <c r="C1002" s="120"/>
      <c r="D1002" s="121"/>
      <c r="E1002" s="127"/>
      <c r="F1002" s="121"/>
      <c r="G1002" s="121"/>
      <c r="H1002" s="121"/>
      <c r="I1002" s="122"/>
      <c r="J1002" s="122"/>
      <c r="K1002" s="122"/>
      <c r="L1002" s="122"/>
      <c r="M1002" s="122"/>
      <c r="N1002" s="122"/>
      <c r="O1002" s="122"/>
      <c r="P1002" s="122"/>
      <c r="Q1002" s="122"/>
      <c r="R1002" s="122"/>
      <c r="S1002" s="122"/>
      <c r="T1002" s="122"/>
      <c r="U1002" s="122"/>
      <c r="V1002" s="122"/>
    </row>
    <row r="1003" spans="2:22" s="126" customFormat="1">
      <c r="B1003" s="120"/>
      <c r="C1003" s="120"/>
      <c r="D1003" s="121"/>
      <c r="E1003" s="127"/>
      <c r="F1003" s="121"/>
      <c r="G1003" s="121"/>
      <c r="H1003" s="121"/>
      <c r="I1003" s="122"/>
      <c r="J1003" s="122"/>
      <c r="K1003" s="122"/>
      <c r="L1003" s="122"/>
      <c r="M1003" s="122"/>
      <c r="N1003" s="122"/>
      <c r="O1003" s="122"/>
      <c r="P1003" s="122"/>
      <c r="Q1003" s="122"/>
      <c r="R1003" s="122"/>
      <c r="S1003" s="122"/>
      <c r="T1003" s="122"/>
      <c r="U1003" s="122"/>
      <c r="V1003" s="122"/>
    </row>
    <row r="1004" spans="2:22" s="126" customFormat="1">
      <c r="B1004" s="120"/>
      <c r="C1004" s="120"/>
      <c r="D1004" s="121"/>
      <c r="E1004" s="127"/>
      <c r="F1004" s="121"/>
      <c r="G1004" s="121"/>
      <c r="H1004" s="121"/>
      <c r="I1004" s="122"/>
      <c r="J1004" s="122"/>
      <c r="K1004" s="122"/>
      <c r="L1004" s="122"/>
      <c r="M1004" s="122"/>
      <c r="N1004" s="122"/>
      <c r="O1004" s="122"/>
      <c r="P1004" s="122"/>
      <c r="Q1004" s="122"/>
      <c r="R1004" s="122"/>
      <c r="S1004" s="122"/>
      <c r="T1004" s="122"/>
      <c r="U1004" s="122"/>
      <c r="V1004" s="122"/>
    </row>
    <row r="1005" spans="2:22" s="126" customFormat="1">
      <c r="B1005" s="120"/>
      <c r="C1005" s="120"/>
      <c r="D1005" s="121"/>
      <c r="E1005" s="127"/>
      <c r="F1005" s="121"/>
      <c r="G1005" s="121"/>
      <c r="H1005" s="121"/>
      <c r="I1005" s="122"/>
      <c r="J1005" s="122"/>
      <c r="K1005" s="122"/>
      <c r="L1005" s="122"/>
      <c r="M1005" s="122"/>
      <c r="N1005" s="122"/>
      <c r="O1005" s="122"/>
      <c r="P1005" s="122"/>
      <c r="Q1005" s="122"/>
      <c r="R1005" s="122"/>
      <c r="S1005" s="122"/>
      <c r="T1005" s="122"/>
      <c r="U1005" s="122"/>
      <c r="V1005" s="122"/>
    </row>
    <row r="1006" spans="2:22" s="126" customFormat="1">
      <c r="B1006" s="120"/>
      <c r="C1006" s="120"/>
      <c r="D1006" s="121"/>
      <c r="E1006" s="127"/>
      <c r="F1006" s="121"/>
      <c r="G1006" s="121"/>
      <c r="H1006" s="121"/>
      <c r="I1006" s="122"/>
      <c r="J1006" s="122"/>
      <c r="K1006" s="122"/>
      <c r="L1006" s="122"/>
      <c r="M1006" s="122"/>
      <c r="N1006" s="122"/>
      <c r="O1006" s="122"/>
      <c r="P1006" s="122"/>
      <c r="Q1006" s="122"/>
      <c r="R1006" s="122"/>
      <c r="S1006" s="122"/>
      <c r="T1006" s="122"/>
      <c r="U1006" s="122"/>
      <c r="V1006" s="122"/>
    </row>
    <row r="1007" spans="2:22" s="126" customFormat="1">
      <c r="B1007" s="120"/>
      <c r="C1007" s="120"/>
      <c r="D1007" s="121"/>
      <c r="E1007" s="127"/>
      <c r="F1007" s="121"/>
      <c r="G1007" s="121"/>
      <c r="H1007" s="121"/>
      <c r="I1007" s="122"/>
      <c r="J1007" s="122"/>
      <c r="K1007" s="122"/>
      <c r="L1007" s="122"/>
      <c r="M1007" s="122"/>
      <c r="N1007" s="122"/>
      <c r="O1007" s="122"/>
      <c r="P1007" s="122"/>
      <c r="Q1007" s="122"/>
      <c r="R1007" s="122"/>
      <c r="S1007" s="122"/>
      <c r="T1007" s="122"/>
      <c r="U1007" s="122"/>
      <c r="V1007" s="122"/>
    </row>
    <row r="1008" spans="2:22" s="126" customFormat="1">
      <c r="B1008" s="120"/>
      <c r="C1008" s="120"/>
      <c r="D1008" s="121"/>
      <c r="E1008" s="127"/>
      <c r="F1008" s="121"/>
      <c r="G1008" s="121"/>
      <c r="H1008" s="121"/>
      <c r="I1008" s="122"/>
      <c r="J1008" s="122"/>
      <c r="K1008" s="122"/>
      <c r="L1008" s="122"/>
      <c r="M1008" s="122"/>
      <c r="N1008" s="122"/>
      <c r="O1008" s="122"/>
      <c r="P1008" s="122"/>
      <c r="Q1008" s="122"/>
      <c r="R1008" s="122"/>
      <c r="S1008" s="122"/>
      <c r="T1008" s="122"/>
      <c r="U1008" s="122"/>
      <c r="V1008" s="122"/>
    </row>
    <row r="1009" spans="2:22" s="126" customFormat="1">
      <c r="B1009" s="120"/>
      <c r="C1009" s="120"/>
      <c r="D1009" s="121"/>
      <c r="E1009" s="127"/>
      <c r="F1009" s="121"/>
      <c r="G1009" s="121"/>
      <c r="H1009" s="121"/>
      <c r="I1009" s="122"/>
      <c r="J1009" s="122"/>
      <c r="K1009" s="122"/>
      <c r="L1009" s="122"/>
      <c r="M1009" s="122"/>
      <c r="N1009" s="122"/>
      <c r="O1009" s="122"/>
      <c r="P1009" s="122"/>
      <c r="Q1009" s="122"/>
      <c r="R1009" s="122"/>
      <c r="S1009" s="122"/>
      <c r="T1009" s="122"/>
      <c r="U1009" s="122"/>
      <c r="V1009" s="122"/>
    </row>
    <row r="1010" spans="2:22" s="126" customFormat="1">
      <c r="B1010" s="120"/>
      <c r="C1010" s="120"/>
      <c r="D1010" s="121"/>
      <c r="E1010" s="127"/>
      <c r="F1010" s="121"/>
      <c r="G1010" s="121"/>
      <c r="H1010" s="121"/>
      <c r="I1010" s="122"/>
      <c r="J1010" s="122"/>
      <c r="K1010" s="122"/>
      <c r="L1010" s="122"/>
      <c r="M1010" s="122"/>
      <c r="N1010" s="122"/>
      <c r="O1010" s="122"/>
      <c r="P1010" s="122"/>
      <c r="Q1010" s="122"/>
      <c r="R1010" s="122"/>
      <c r="S1010" s="122"/>
      <c r="T1010" s="122"/>
      <c r="U1010" s="122"/>
      <c r="V1010" s="122"/>
    </row>
    <row r="1011" spans="2:22" s="126" customFormat="1">
      <c r="B1011" s="120"/>
      <c r="C1011" s="120"/>
      <c r="D1011" s="121"/>
      <c r="E1011" s="127"/>
      <c r="F1011" s="121"/>
      <c r="G1011" s="121"/>
      <c r="H1011" s="121"/>
      <c r="I1011" s="122"/>
      <c r="J1011" s="122"/>
      <c r="K1011" s="122"/>
      <c r="L1011" s="122"/>
      <c r="M1011" s="122"/>
      <c r="N1011" s="122"/>
      <c r="O1011" s="122"/>
      <c r="P1011" s="122"/>
      <c r="Q1011" s="122"/>
      <c r="R1011" s="122"/>
      <c r="S1011" s="122"/>
      <c r="T1011" s="122"/>
      <c r="U1011" s="122"/>
      <c r="V1011" s="122"/>
    </row>
    <row r="1012" spans="2:22" s="126" customFormat="1">
      <c r="B1012" s="120"/>
      <c r="C1012" s="120"/>
      <c r="D1012" s="121"/>
      <c r="E1012" s="127"/>
      <c r="F1012" s="121"/>
      <c r="G1012" s="121"/>
      <c r="H1012" s="121"/>
      <c r="I1012" s="122"/>
      <c r="J1012" s="122"/>
      <c r="K1012" s="122"/>
      <c r="L1012" s="122"/>
      <c r="M1012" s="122"/>
      <c r="N1012" s="122"/>
      <c r="O1012" s="122"/>
      <c r="P1012" s="122"/>
      <c r="Q1012" s="122"/>
      <c r="R1012" s="122"/>
      <c r="S1012" s="122"/>
      <c r="T1012" s="122"/>
      <c r="U1012" s="122"/>
      <c r="V1012" s="122"/>
    </row>
    <row r="1013" spans="2:22" s="126" customFormat="1">
      <c r="B1013" s="120"/>
      <c r="C1013" s="120"/>
      <c r="D1013" s="121"/>
      <c r="E1013" s="127"/>
      <c r="F1013" s="121"/>
      <c r="G1013" s="121"/>
      <c r="H1013" s="121"/>
      <c r="I1013" s="122"/>
      <c r="J1013" s="122"/>
      <c r="K1013" s="122"/>
      <c r="L1013" s="122"/>
      <c r="M1013" s="122"/>
      <c r="N1013" s="122"/>
      <c r="O1013" s="122"/>
      <c r="P1013" s="122"/>
      <c r="Q1013" s="122"/>
      <c r="R1013" s="122"/>
      <c r="S1013" s="122"/>
      <c r="T1013" s="122"/>
      <c r="U1013" s="122"/>
      <c r="V1013" s="122"/>
    </row>
    <row r="1014" spans="2:22" s="126" customFormat="1">
      <c r="B1014" s="120"/>
      <c r="C1014" s="120"/>
      <c r="D1014" s="121"/>
      <c r="E1014" s="127"/>
      <c r="F1014" s="121"/>
      <c r="G1014" s="121"/>
      <c r="H1014" s="121"/>
      <c r="I1014" s="122"/>
      <c r="J1014" s="122"/>
      <c r="K1014" s="122"/>
      <c r="L1014" s="122"/>
      <c r="M1014" s="122"/>
      <c r="N1014" s="122"/>
      <c r="O1014" s="122"/>
      <c r="P1014" s="122"/>
      <c r="Q1014" s="122"/>
      <c r="R1014" s="122"/>
      <c r="S1014" s="122"/>
      <c r="T1014" s="122"/>
      <c r="U1014" s="122"/>
      <c r="V1014" s="122"/>
    </row>
    <row r="1015" spans="2:22" s="126" customFormat="1">
      <c r="B1015" s="120"/>
      <c r="C1015" s="120"/>
      <c r="D1015" s="121"/>
      <c r="E1015" s="127"/>
      <c r="F1015" s="121"/>
      <c r="G1015" s="121"/>
      <c r="H1015" s="121"/>
      <c r="I1015" s="122"/>
      <c r="J1015" s="122"/>
      <c r="K1015" s="122"/>
      <c r="L1015" s="122"/>
      <c r="M1015" s="122"/>
      <c r="N1015" s="122"/>
      <c r="O1015" s="122"/>
      <c r="P1015" s="122"/>
      <c r="Q1015" s="122"/>
      <c r="R1015" s="122"/>
      <c r="S1015" s="122"/>
      <c r="T1015" s="122"/>
      <c r="U1015" s="122"/>
      <c r="V1015" s="122"/>
    </row>
    <row r="1016" spans="2:22" s="126" customFormat="1">
      <c r="B1016" s="120"/>
      <c r="C1016" s="120"/>
      <c r="D1016" s="121"/>
      <c r="E1016" s="127"/>
      <c r="F1016" s="121"/>
      <c r="G1016" s="121"/>
      <c r="H1016" s="121"/>
      <c r="I1016" s="122"/>
      <c r="J1016" s="122"/>
      <c r="K1016" s="122"/>
      <c r="L1016" s="122"/>
      <c r="M1016" s="122"/>
      <c r="N1016" s="122"/>
      <c r="O1016" s="122"/>
      <c r="P1016" s="122"/>
      <c r="Q1016" s="122"/>
      <c r="R1016" s="122"/>
      <c r="S1016" s="122"/>
      <c r="T1016" s="122"/>
      <c r="U1016" s="122"/>
      <c r="V1016" s="122"/>
    </row>
    <row r="1017" spans="2:22" s="126" customFormat="1">
      <c r="B1017" s="120"/>
      <c r="C1017" s="120"/>
      <c r="D1017" s="121"/>
      <c r="E1017" s="127"/>
      <c r="F1017" s="121"/>
      <c r="G1017" s="121"/>
      <c r="H1017" s="121"/>
      <c r="I1017" s="122"/>
      <c r="J1017" s="122"/>
      <c r="K1017" s="122"/>
      <c r="L1017" s="122"/>
      <c r="M1017" s="122"/>
      <c r="N1017" s="122"/>
      <c r="O1017" s="122"/>
      <c r="P1017" s="122"/>
      <c r="Q1017" s="122"/>
      <c r="R1017" s="122"/>
      <c r="S1017" s="122"/>
      <c r="T1017" s="122"/>
      <c r="U1017" s="122"/>
      <c r="V1017" s="122"/>
    </row>
    <row r="1018" spans="2:22" s="126" customFormat="1">
      <c r="B1018" s="120"/>
      <c r="C1018" s="120"/>
      <c r="D1018" s="121"/>
      <c r="E1018" s="127"/>
      <c r="F1018" s="121"/>
      <c r="G1018" s="121"/>
      <c r="H1018" s="121"/>
      <c r="I1018" s="122"/>
      <c r="J1018" s="122"/>
      <c r="K1018" s="122"/>
      <c r="L1018" s="122"/>
      <c r="M1018" s="122"/>
      <c r="N1018" s="122"/>
      <c r="O1018" s="122"/>
      <c r="P1018" s="122"/>
      <c r="Q1018" s="122"/>
      <c r="R1018" s="122"/>
      <c r="S1018" s="122"/>
      <c r="T1018" s="122"/>
      <c r="U1018" s="122"/>
      <c r="V1018" s="122"/>
    </row>
    <row r="1019" spans="2:22" s="126" customFormat="1">
      <c r="B1019" s="120"/>
      <c r="C1019" s="120"/>
      <c r="D1019" s="121"/>
      <c r="E1019" s="127"/>
      <c r="F1019" s="121"/>
      <c r="G1019" s="121"/>
      <c r="H1019" s="121"/>
      <c r="I1019" s="122"/>
      <c r="J1019" s="122"/>
      <c r="K1019" s="122"/>
      <c r="L1019" s="122"/>
      <c r="M1019" s="122"/>
      <c r="N1019" s="122"/>
      <c r="O1019" s="122"/>
      <c r="P1019" s="122"/>
      <c r="Q1019" s="122"/>
      <c r="R1019" s="122"/>
      <c r="S1019" s="122"/>
      <c r="T1019" s="122"/>
      <c r="U1019" s="122"/>
      <c r="V1019" s="122"/>
    </row>
    <row r="1020" spans="2:22" s="126" customFormat="1">
      <c r="B1020" s="120"/>
      <c r="C1020" s="120"/>
      <c r="D1020" s="121"/>
      <c r="E1020" s="127"/>
      <c r="F1020" s="121"/>
      <c r="G1020" s="121"/>
      <c r="H1020" s="121"/>
      <c r="I1020" s="122"/>
      <c r="J1020" s="122"/>
      <c r="K1020" s="122"/>
      <c r="L1020" s="122"/>
      <c r="M1020" s="122"/>
      <c r="N1020" s="122"/>
      <c r="O1020" s="122"/>
      <c r="P1020" s="122"/>
      <c r="Q1020" s="122"/>
      <c r="R1020" s="122"/>
      <c r="S1020" s="122"/>
      <c r="T1020" s="122"/>
      <c r="U1020" s="122"/>
      <c r="V1020" s="122"/>
    </row>
    <row r="1021" spans="2:22" s="126" customFormat="1">
      <c r="B1021" s="120"/>
      <c r="C1021" s="120"/>
      <c r="D1021" s="121"/>
      <c r="E1021" s="127"/>
      <c r="F1021" s="121"/>
      <c r="G1021" s="121"/>
      <c r="H1021" s="121"/>
      <c r="I1021" s="122"/>
      <c r="J1021" s="122"/>
      <c r="K1021" s="122"/>
      <c r="L1021" s="122"/>
      <c r="M1021" s="122"/>
      <c r="N1021" s="122"/>
      <c r="O1021" s="122"/>
      <c r="P1021" s="122"/>
      <c r="Q1021" s="122"/>
      <c r="R1021" s="122"/>
      <c r="S1021" s="122"/>
      <c r="T1021" s="122"/>
      <c r="U1021" s="122"/>
      <c r="V1021" s="122"/>
    </row>
    <row r="1022" spans="2:22" s="126" customFormat="1">
      <c r="B1022" s="120"/>
      <c r="C1022" s="120"/>
      <c r="D1022" s="121"/>
      <c r="E1022" s="127"/>
      <c r="F1022" s="121"/>
      <c r="G1022" s="121"/>
      <c r="H1022" s="121"/>
      <c r="I1022" s="122"/>
      <c r="J1022" s="122"/>
      <c r="K1022" s="122"/>
      <c r="L1022" s="122"/>
      <c r="M1022" s="122"/>
      <c r="N1022" s="122"/>
      <c r="O1022" s="122"/>
      <c r="P1022" s="122"/>
      <c r="Q1022" s="122"/>
      <c r="R1022" s="122"/>
      <c r="S1022" s="122"/>
      <c r="T1022" s="122"/>
      <c r="U1022" s="122"/>
      <c r="V1022" s="122"/>
    </row>
    <row r="1023" spans="2:22" s="126" customFormat="1">
      <c r="B1023" s="120"/>
      <c r="C1023" s="120"/>
      <c r="D1023" s="121"/>
      <c r="E1023" s="127"/>
      <c r="F1023" s="121"/>
      <c r="G1023" s="121"/>
      <c r="H1023" s="121"/>
      <c r="I1023" s="122"/>
      <c r="J1023" s="122"/>
      <c r="K1023" s="122"/>
      <c r="L1023" s="122"/>
      <c r="M1023" s="122"/>
      <c r="N1023" s="122"/>
      <c r="O1023" s="122"/>
      <c r="P1023" s="122"/>
      <c r="Q1023" s="122"/>
      <c r="R1023" s="122"/>
      <c r="S1023" s="122"/>
      <c r="T1023" s="122"/>
      <c r="U1023" s="122"/>
      <c r="V1023" s="122"/>
    </row>
    <row r="1024" spans="2:22" s="126" customFormat="1">
      <c r="B1024" s="120"/>
      <c r="C1024" s="120"/>
      <c r="D1024" s="121"/>
      <c r="E1024" s="127"/>
      <c r="F1024" s="121"/>
      <c r="G1024" s="121"/>
      <c r="H1024" s="121"/>
      <c r="I1024" s="122"/>
      <c r="J1024" s="122"/>
      <c r="K1024" s="122"/>
      <c r="L1024" s="122"/>
      <c r="M1024" s="122"/>
      <c r="N1024" s="122"/>
      <c r="O1024" s="122"/>
      <c r="P1024" s="122"/>
      <c r="Q1024" s="122"/>
      <c r="R1024" s="122"/>
      <c r="S1024" s="122"/>
      <c r="T1024" s="122"/>
      <c r="U1024" s="122"/>
      <c r="V1024" s="122"/>
    </row>
    <row r="1025" spans="2:22" s="126" customFormat="1">
      <c r="B1025" s="120"/>
      <c r="C1025" s="120"/>
      <c r="D1025" s="121"/>
      <c r="E1025" s="127"/>
      <c r="F1025" s="121"/>
      <c r="G1025" s="121"/>
      <c r="H1025" s="121"/>
      <c r="I1025" s="122"/>
      <c r="J1025" s="122"/>
      <c r="K1025" s="122"/>
      <c r="L1025" s="122"/>
      <c r="M1025" s="122"/>
      <c r="N1025" s="122"/>
      <c r="O1025" s="122"/>
      <c r="P1025" s="122"/>
      <c r="Q1025" s="122"/>
      <c r="R1025" s="122"/>
      <c r="S1025" s="122"/>
      <c r="T1025" s="122"/>
      <c r="U1025" s="122"/>
      <c r="V1025" s="122"/>
    </row>
    <row r="1026" spans="2:22" s="126" customFormat="1">
      <c r="B1026" s="120"/>
      <c r="C1026" s="120"/>
      <c r="D1026" s="121"/>
      <c r="E1026" s="127"/>
      <c r="F1026" s="121"/>
      <c r="G1026" s="121"/>
      <c r="H1026" s="121"/>
      <c r="I1026" s="122"/>
      <c r="J1026" s="122"/>
      <c r="K1026" s="122"/>
      <c r="L1026" s="122"/>
      <c r="M1026" s="122"/>
      <c r="N1026" s="122"/>
      <c r="O1026" s="122"/>
      <c r="P1026" s="122"/>
      <c r="Q1026" s="122"/>
      <c r="R1026" s="122"/>
      <c r="S1026" s="122"/>
      <c r="T1026" s="122"/>
      <c r="U1026" s="122"/>
      <c r="V1026" s="122"/>
    </row>
    <row r="1027" spans="2:22" s="126" customFormat="1">
      <c r="B1027" s="120"/>
      <c r="C1027" s="120"/>
      <c r="D1027" s="121"/>
      <c r="E1027" s="127"/>
      <c r="F1027" s="121"/>
      <c r="G1027" s="121"/>
      <c r="H1027" s="121"/>
      <c r="I1027" s="122"/>
      <c r="J1027" s="122"/>
      <c r="K1027" s="122"/>
      <c r="L1027" s="122"/>
      <c r="M1027" s="122"/>
      <c r="N1027" s="122"/>
      <c r="O1027" s="122"/>
      <c r="P1027" s="122"/>
      <c r="Q1027" s="122"/>
      <c r="R1027" s="122"/>
      <c r="S1027" s="122"/>
      <c r="T1027" s="122"/>
      <c r="U1027" s="122"/>
      <c r="V1027" s="122"/>
    </row>
    <row r="1028" spans="2:22" s="126" customFormat="1">
      <c r="B1028" s="120"/>
      <c r="C1028" s="120"/>
      <c r="D1028" s="121"/>
      <c r="E1028" s="127"/>
      <c r="F1028" s="121"/>
      <c r="G1028" s="121"/>
      <c r="H1028" s="121"/>
      <c r="I1028" s="122"/>
      <c r="J1028" s="122"/>
      <c r="K1028" s="122"/>
      <c r="L1028" s="122"/>
      <c r="M1028" s="122"/>
      <c r="N1028" s="122"/>
      <c r="O1028" s="122"/>
      <c r="P1028" s="122"/>
      <c r="Q1028" s="122"/>
      <c r="R1028" s="122"/>
      <c r="S1028" s="122"/>
      <c r="T1028" s="122"/>
      <c r="U1028" s="122"/>
      <c r="V1028" s="122"/>
    </row>
    <row r="1029" spans="2:22" s="126" customFormat="1">
      <c r="B1029" s="120"/>
      <c r="C1029" s="120"/>
      <c r="D1029" s="121"/>
      <c r="E1029" s="127"/>
      <c r="F1029" s="121"/>
      <c r="G1029" s="121"/>
      <c r="H1029" s="121"/>
      <c r="I1029" s="122"/>
      <c r="J1029" s="122"/>
      <c r="K1029" s="122"/>
      <c r="L1029" s="122"/>
      <c r="M1029" s="122"/>
      <c r="N1029" s="122"/>
      <c r="O1029" s="122"/>
      <c r="P1029" s="122"/>
      <c r="Q1029" s="122"/>
      <c r="R1029" s="122"/>
      <c r="S1029" s="122"/>
      <c r="T1029" s="122"/>
      <c r="U1029" s="122"/>
      <c r="V1029" s="122"/>
    </row>
    <row r="1030" spans="2:22" s="126" customFormat="1">
      <c r="B1030" s="120"/>
      <c r="C1030" s="120"/>
      <c r="D1030" s="121"/>
      <c r="E1030" s="127"/>
      <c r="F1030" s="121"/>
      <c r="G1030" s="121"/>
      <c r="H1030" s="121"/>
      <c r="I1030" s="122"/>
      <c r="J1030" s="122"/>
      <c r="K1030" s="122"/>
      <c r="L1030" s="122"/>
      <c r="M1030" s="122"/>
      <c r="N1030" s="122"/>
      <c r="O1030" s="122"/>
      <c r="P1030" s="122"/>
      <c r="Q1030" s="122"/>
      <c r="R1030" s="122"/>
      <c r="S1030" s="122"/>
      <c r="T1030" s="122"/>
      <c r="U1030" s="122"/>
      <c r="V1030" s="122"/>
    </row>
    <row r="1031" spans="2:22" s="126" customFormat="1">
      <c r="B1031" s="120"/>
      <c r="C1031" s="120"/>
      <c r="D1031" s="121"/>
      <c r="E1031" s="127"/>
      <c r="F1031" s="121"/>
      <c r="G1031" s="121"/>
      <c r="H1031" s="121"/>
      <c r="I1031" s="122"/>
      <c r="J1031" s="122"/>
      <c r="K1031" s="122"/>
      <c r="L1031" s="122"/>
      <c r="M1031" s="122"/>
      <c r="N1031" s="122"/>
      <c r="O1031" s="122"/>
      <c r="P1031" s="122"/>
      <c r="Q1031" s="122"/>
      <c r="R1031" s="122"/>
      <c r="S1031" s="122"/>
      <c r="T1031" s="122"/>
      <c r="U1031" s="122"/>
      <c r="V1031" s="122"/>
    </row>
    <row r="1032" spans="2:22" s="126" customFormat="1">
      <c r="B1032" s="120"/>
      <c r="C1032" s="120"/>
      <c r="D1032" s="121"/>
      <c r="E1032" s="127"/>
      <c r="F1032" s="121"/>
      <c r="G1032" s="121"/>
      <c r="H1032" s="121"/>
      <c r="I1032" s="122"/>
      <c r="J1032" s="122"/>
      <c r="K1032" s="122"/>
      <c r="L1032" s="122"/>
      <c r="M1032" s="122"/>
      <c r="N1032" s="122"/>
      <c r="O1032" s="122"/>
      <c r="P1032" s="122"/>
      <c r="Q1032" s="122"/>
      <c r="R1032" s="122"/>
      <c r="S1032" s="122"/>
      <c r="T1032" s="122"/>
      <c r="U1032" s="122"/>
      <c r="V1032" s="122"/>
    </row>
    <row r="1033" spans="2:22" s="126" customFormat="1">
      <c r="B1033" s="120"/>
      <c r="C1033" s="120"/>
      <c r="D1033" s="121"/>
      <c r="E1033" s="127"/>
      <c r="F1033" s="121"/>
      <c r="G1033" s="121"/>
      <c r="H1033" s="121"/>
      <c r="I1033" s="122"/>
      <c r="J1033" s="122"/>
      <c r="K1033" s="122"/>
      <c r="L1033" s="122"/>
      <c r="M1033" s="122"/>
      <c r="N1033" s="122"/>
      <c r="O1033" s="122"/>
      <c r="P1033" s="122"/>
      <c r="Q1033" s="122"/>
      <c r="R1033" s="122"/>
      <c r="S1033" s="122"/>
      <c r="T1033" s="122"/>
      <c r="U1033" s="122"/>
      <c r="V1033" s="122"/>
    </row>
    <row r="1034" spans="2:22" s="126" customFormat="1">
      <c r="B1034" s="120"/>
      <c r="C1034" s="120"/>
      <c r="D1034" s="121"/>
      <c r="E1034" s="127"/>
      <c r="F1034" s="121"/>
      <c r="G1034" s="121"/>
      <c r="H1034" s="121"/>
      <c r="I1034" s="122"/>
      <c r="J1034" s="122"/>
      <c r="K1034" s="122"/>
      <c r="L1034" s="122"/>
      <c r="M1034" s="122"/>
      <c r="N1034" s="122"/>
      <c r="O1034" s="122"/>
      <c r="P1034" s="122"/>
      <c r="Q1034" s="122"/>
      <c r="R1034" s="122"/>
      <c r="S1034" s="122"/>
      <c r="T1034" s="122"/>
      <c r="U1034" s="122"/>
      <c r="V1034" s="122"/>
    </row>
    <row r="1035" spans="2:22" s="126" customFormat="1">
      <c r="B1035" s="120"/>
      <c r="C1035" s="120"/>
      <c r="D1035" s="121"/>
      <c r="E1035" s="127"/>
      <c r="F1035" s="121"/>
      <c r="G1035" s="121"/>
      <c r="H1035" s="121"/>
      <c r="I1035" s="122"/>
      <c r="J1035" s="122"/>
      <c r="K1035" s="122"/>
      <c r="L1035" s="122"/>
      <c r="M1035" s="122"/>
      <c r="N1035" s="122"/>
      <c r="O1035" s="122"/>
      <c r="P1035" s="122"/>
      <c r="Q1035" s="122"/>
      <c r="R1035" s="122"/>
      <c r="S1035" s="122"/>
      <c r="T1035" s="122"/>
      <c r="U1035" s="122"/>
      <c r="V1035" s="122"/>
    </row>
    <row r="1036" spans="2:22" s="126" customFormat="1">
      <c r="B1036" s="120"/>
      <c r="C1036" s="120"/>
      <c r="D1036" s="121"/>
      <c r="E1036" s="127"/>
      <c r="F1036" s="121"/>
      <c r="G1036" s="121"/>
      <c r="H1036" s="121"/>
      <c r="I1036" s="122"/>
      <c r="J1036" s="122"/>
      <c r="K1036" s="122"/>
      <c r="L1036" s="122"/>
      <c r="M1036" s="122"/>
      <c r="N1036" s="122"/>
      <c r="O1036" s="122"/>
      <c r="P1036" s="122"/>
      <c r="Q1036" s="122"/>
      <c r="R1036" s="122"/>
      <c r="S1036" s="122"/>
      <c r="T1036" s="122"/>
      <c r="U1036" s="122"/>
      <c r="V1036" s="122"/>
    </row>
    <row r="1037" spans="2:22" s="126" customFormat="1">
      <c r="B1037" s="120"/>
      <c r="C1037" s="120"/>
      <c r="D1037" s="121"/>
      <c r="E1037" s="127"/>
      <c r="F1037" s="121"/>
      <c r="G1037" s="121"/>
      <c r="H1037" s="121"/>
      <c r="I1037" s="122"/>
      <c r="J1037" s="122"/>
      <c r="K1037" s="122"/>
      <c r="L1037" s="122"/>
      <c r="M1037" s="122"/>
      <c r="N1037" s="122"/>
      <c r="O1037" s="122"/>
      <c r="P1037" s="122"/>
      <c r="Q1037" s="122"/>
      <c r="R1037" s="122"/>
      <c r="S1037" s="122"/>
      <c r="T1037" s="122"/>
      <c r="U1037" s="122"/>
      <c r="V1037" s="122"/>
    </row>
    <row r="1038" spans="2:22" s="126" customFormat="1">
      <c r="B1038" s="120"/>
      <c r="C1038" s="120"/>
      <c r="D1038" s="121"/>
      <c r="E1038" s="127"/>
      <c r="F1038" s="121"/>
      <c r="G1038" s="121"/>
      <c r="H1038" s="121"/>
      <c r="I1038" s="122"/>
      <c r="J1038" s="122"/>
      <c r="K1038" s="122"/>
      <c r="L1038" s="122"/>
      <c r="M1038" s="122"/>
      <c r="N1038" s="122"/>
      <c r="O1038" s="122"/>
      <c r="P1038" s="122"/>
      <c r="Q1038" s="122"/>
      <c r="R1038" s="122"/>
      <c r="S1038" s="122"/>
      <c r="T1038" s="122"/>
      <c r="U1038" s="122"/>
      <c r="V1038" s="122"/>
    </row>
    <row r="1039" spans="2:22" s="126" customFormat="1">
      <c r="B1039" s="120"/>
      <c r="C1039" s="120"/>
      <c r="D1039" s="121"/>
      <c r="E1039" s="127"/>
      <c r="F1039" s="121"/>
      <c r="G1039" s="121"/>
      <c r="H1039" s="121"/>
      <c r="I1039" s="122"/>
      <c r="J1039" s="122"/>
      <c r="K1039" s="122"/>
      <c r="L1039" s="122"/>
      <c r="M1039" s="122"/>
      <c r="N1039" s="122"/>
      <c r="O1039" s="122"/>
      <c r="P1039" s="122"/>
      <c r="Q1039" s="122"/>
      <c r="R1039" s="122"/>
      <c r="S1039" s="122"/>
      <c r="T1039" s="122"/>
      <c r="U1039" s="122"/>
      <c r="V1039" s="122"/>
    </row>
    <row r="1040" spans="2:22" s="126" customFormat="1">
      <c r="B1040" s="120"/>
      <c r="C1040" s="120"/>
      <c r="D1040" s="121"/>
      <c r="E1040" s="127"/>
      <c r="F1040" s="121"/>
      <c r="G1040" s="121"/>
      <c r="H1040" s="121"/>
      <c r="I1040" s="122"/>
      <c r="J1040" s="122"/>
      <c r="K1040" s="122"/>
      <c r="L1040" s="122"/>
      <c r="M1040" s="122"/>
      <c r="N1040" s="122"/>
      <c r="O1040" s="122"/>
      <c r="P1040" s="122"/>
      <c r="Q1040" s="122"/>
      <c r="R1040" s="122"/>
      <c r="S1040" s="122"/>
      <c r="T1040" s="122"/>
      <c r="U1040" s="122"/>
      <c r="V1040" s="122"/>
    </row>
    <row r="1041" spans="2:22" s="126" customFormat="1">
      <c r="B1041" s="120"/>
      <c r="C1041" s="120"/>
      <c r="D1041" s="121"/>
      <c r="E1041" s="127"/>
      <c r="F1041" s="121"/>
      <c r="G1041" s="121"/>
      <c r="H1041" s="121"/>
      <c r="I1041" s="122"/>
      <c r="J1041" s="122"/>
      <c r="K1041" s="122"/>
      <c r="L1041" s="122"/>
      <c r="M1041" s="122"/>
      <c r="N1041" s="122"/>
      <c r="O1041" s="122"/>
      <c r="P1041" s="122"/>
      <c r="Q1041" s="122"/>
      <c r="R1041" s="122"/>
      <c r="S1041" s="122"/>
      <c r="T1041" s="122"/>
      <c r="U1041" s="122"/>
      <c r="V1041" s="122"/>
    </row>
    <row r="1042" spans="2:22" s="126" customFormat="1">
      <c r="B1042" s="120"/>
      <c r="C1042" s="120"/>
      <c r="D1042" s="121"/>
      <c r="E1042" s="127"/>
      <c r="F1042" s="121"/>
      <c r="G1042" s="121"/>
      <c r="H1042" s="121"/>
      <c r="I1042" s="122"/>
      <c r="J1042" s="122"/>
      <c r="K1042" s="122"/>
      <c r="L1042" s="122"/>
      <c r="M1042" s="122"/>
      <c r="N1042" s="122"/>
      <c r="O1042" s="122"/>
      <c r="P1042" s="122"/>
      <c r="Q1042" s="122"/>
      <c r="R1042" s="122"/>
      <c r="S1042" s="122"/>
      <c r="T1042" s="122"/>
      <c r="U1042" s="122"/>
      <c r="V1042" s="122"/>
    </row>
    <row r="1043" spans="2:22" s="126" customFormat="1">
      <c r="B1043" s="120"/>
      <c r="C1043" s="120"/>
      <c r="D1043" s="121"/>
      <c r="E1043" s="127"/>
      <c r="F1043" s="121"/>
      <c r="G1043" s="121"/>
      <c r="H1043" s="121"/>
      <c r="I1043" s="122"/>
      <c r="J1043" s="122"/>
      <c r="K1043" s="122"/>
      <c r="L1043" s="122"/>
      <c r="M1043" s="122"/>
      <c r="N1043" s="122"/>
      <c r="O1043" s="122"/>
      <c r="P1043" s="122"/>
      <c r="Q1043" s="122"/>
      <c r="R1043" s="122"/>
      <c r="S1043" s="122"/>
      <c r="T1043" s="122"/>
      <c r="U1043" s="122"/>
      <c r="V1043" s="122"/>
    </row>
    <row r="1044" spans="2:22" s="126" customFormat="1">
      <c r="B1044" s="120"/>
      <c r="C1044" s="120"/>
      <c r="D1044" s="121"/>
      <c r="E1044" s="127"/>
      <c r="F1044" s="121"/>
      <c r="G1044" s="121"/>
      <c r="H1044" s="121"/>
      <c r="I1044" s="122"/>
      <c r="J1044" s="122"/>
      <c r="K1044" s="122"/>
      <c r="L1044" s="122"/>
      <c r="M1044" s="122"/>
      <c r="N1044" s="122"/>
      <c r="O1044" s="122"/>
      <c r="P1044" s="122"/>
      <c r="Q1044" s="122"/>
      <c r="R1044" s="122"/>
      <c r="S1044" s="122"/>
      <c r="T1044" s="122"/>
      <c r="U1044" s="122"/>
      <c r="V1044" s="122"/>
    </row>
    <row r="1045" spans="2:22" s="126" customFormat="1">
      <c r="B1045" s="120"/>
      <c r="C1045" s="120"/>
      <c r="D1045" s="121"/>
      <c r="E1045" s="127"/>
      <c r="F1045" s="121"/>
      <c r="G1045" s="121"/>
      <c r="H1045" s="121"/>
      <c r="I1045" s="122"/>
      <c r="J1045" s="122"/>
      <c r="K1045" s="122"/>
      <c r="L1045" s="122"/>
      <c r="M1045" s="122"/>
      <c r="N1045" s="122"/>
      <c r="O1045" s="122"/>
      <c r="P1045" s="122"/>
      <c r="Q1045" s="122"/>
      <c r="R1045" s="122"/>
      <c r="S1045" s="122"/>
      <c r="T1045" s="122"/>
      <c r="U1045" s="122"/>
      <c r="V1045" s="122"/>
    </row>
    <row r="1046" spans="2:22" s="126" customFormat="1">
      <c r="B1046" s="120"/>
      <c r="C1046" s="120"/>
      <c r="D1046" s="121"/>
      <c r="E1046" s="127"/>
      <c r="F1046" s="121"/>
      <c r="G1046" s="121"/>
      <c r="H1046" s="121"/>
      <c r="I1046" s="122"/>
      <c r="J1046" s="122"/>
      <c r="K1046" s="122"/>
      <c r="L1046" s="122"/>
      <c r="M1046" s="122"/>
      <c r="N1046" s="122"/>
      <c r="O1046" s="122"/>
      <c r="P1046" s="122"/>
      <c r="Q1046" s="122"/>
      <c r="R1046" s="122"/>
      <c r="S1046" s="122"/>
      <c r="T1046" s="122"/>
      <c r="U1046" s="122"/>
      <c r="V1046" s="122"/>
    </row>
    <row r="1047" spans="2:22" s="126" customFormat="1">
      <c r="B1047" s="120"/>
      <c r="C1047" s="120"/>
      <c r="D1047" s="121"/>
      <c r="E1047" s="127"/>
      <c r="F1047" s="121"/>
      <c r="G1047" s="121"/>
      <c r="H1047" s="121"/>
      <c r="I1047" s="122"/>
      <c r="J1047" s="122"/>
      <c r="K1047" s="122"/>
      <c r="L1047" s="122"/>
      <c r="M1047" s="122"/>
      <c r="N1047" s="122"/>
      <c r="O1047" s="122"/>
      <c r="P1047" s="122"/>
      <c r="Q1047" s="122"/>
      <c r="R1047" s="122"/>
      <c r="S1047" s="122"/>
      <c r="T1047" s="122"/>
      <c r="U1047" s="122"/>
      <c r="V1047" s="122"/>
    </row>
    <row r="1048" spans="2:22" s="126" customFormat="1">
      <c r="B1048" s="120"/>
      <c r="C1048" s="120"/>
      <c r="D1048" s="121"/>
      <c r="E1048" s="127"/>
      <c r="F1048" s="121"/>
      <c r="G1048" s="121"/>
      <c r="H1048" s="121"/>
      <c r="I1048" s="122"/>
      <c r="J1048" s="122"/>
      <c r="K1048" s="122"/>
      <c r="L1048" s="122"/>
      <c r="M1048" s="122"/>
      <c r="N1048" s="122"/>
      <c r="O1048" s="122"/>
      <c r="P1048" s="122"/>
      <c r="Q1048" s="122"/>
      <c r="R1048" s="122"/>
      <c r="S1048" s="122"/>
      <c r="T1048" s="122"/>
      <c r="U1048" s="122"/>
      <c r="V1048" s="122"/>
    </row>
    <row r="1049" spans="2:22" s="126" customFormat="1">
      <c r="B1049" s="120"/>
      <c r="C1049" s="120"/>
      <c r="D1049" s="121"/>
      <c r="E1049" s="127"/>
      <c r="F1049" s="121"/>
      <c r="G1049" s="121"/>
      <c r="H1049" s="121"/>
      <c r="I1049" s="122"/>
      <c r="J1049" s="122"/>
      <c r="K1049" s="122"/>
      <c r="L1049" s="122"/>
      <c r="M1049" s="122"/>
      <c r="N1049" s="122"/>
      <c r="O1049" s="122"/>
      <c r="P1049" s="122"/>
      <c r="Q1049" s="122"/>
      <c r="R1049" s="122"/>
      <c r="S1049" s="122"/>
      <c r="T1049" s="122"/>
      <c r="U1049" s="122"/>
      <c r="V1049" s="122"/>
    </row>
    <row r="1050" spans="2:22" s="126" customFormat="1">
      <c r="B1050" s="120"/>
      <c r="C1050" s="120"/>
      <c r="D1050" s="121"/>
      <c r="E1050" s="127"/>
      <c r="F1050" s="121"/>
      <c r="G1050" s="121"/>
      <c r="H1050" s="121"/>
      <c r="I1050" s="122"/>
      <c r="J1050" s="122"/>
      <c r="K1050" s="122"/>
      <c r="L1050" s="122"/>
      <c r="M1050" s="122"/>
      <c r="N1050" s="122"/>
      <c r="O1050" s="122"/>
      <c r="P1050" s="122"/>
      <c r="Q1050" s="122"/>
      <c r="R1050" s="122"/>
      <c r="S1050" s="122"/>
      <c r="T1050" s="122"/>
      <c r="U1050" s="122"/>
      <c r="V1050" s="122"/>
    </row>
    <row r="1051" spans="2:22" s="126" customFormat="1">
      <c r="B1051" s="120"/>
      <c r="C1051" s="120"/>
      <c r="D1051" s="121"/>
      <c r="E1051" s="127"/>
      <c r="F1051" s="121"/>
      <c r="G1051" s="121"/>
      <c r="H1051" s="121"/>
      <c r="I1051" s="122"/>
      <c r="J1051" s="122"/>
      <c r="K1051" s="122"/>
      <c r="L1051" s="122"/>
      <c r="M1051" s="122"/>
      <c r="N1051" s="122"/>
      <c r="O1051" s="122"/>
      <c r="P1051" s="122"/>
      <c r="Q1051" s="122"/>
      <c r="R1051" s="122"/>
      <c r="S1051" s="122"/>
      <c r="T1051" s="122"/>
      <c r="U1051" s="122"/>
      <c r="V1051" s="122"/>
    </row>
    <row r="1052" spans="2:22" s="126" customFormat="1">
      <c r="B1052" s="120"/>
      <c r="C1052" s="120"/>
      <c r="D1052" s="121"/>
      <c r="E1052" s="127"/>
      <c r="F1052" s="121"/>
      <c r="G1052" s="121"/>
      <c r="H1052" s="121"/>
      <c r="I1052" s="122"/>
      <c r="J1052" s="122"/>
      <c r="K1052" s="122"/>
      <c r="L1052" s="122"/>
      <c r="M1052" s="122"/>
      <c r="N1052" s="122"/>
      <c r="O1052" s="122"/>
      <c r="P1052" s="122"/>
      <c r="Q1052" s="122"/>
      <c r="R1052" s="122"/>
      <c r="S1052" s="122"/>
      <c r="T1052" s="122"/>
      <c r="U1052" s="122"/>
      <c r="V1052" s="122"/>
    </row>
    <row r="1053" spans="2:22" s="126" customFormat="1">
      <c r="B1053" s="120"/>
      <c r="C1053" s="120"/>
      <c r="D1053" s="121"/>
      <c r="E1053" s="127"/>
      <c r="F1053" s="121"/>
      <c r="G1053" s="121"/>
      <c r="H1053" s="121"/>
      <c r="I1053" s="122"/>
      <c r="J1053" s="122"/>
      <c r="K1053" s="122"/>
      <c r="L1053" s="122"/>
      <c r="M1053" s="122"/>
      <c r="N1053" s="122"/>
      <c r="O1053" s="122"/>
      <c r="P1053" s="122"/>
      <c r="Q1053" s="122"/>
      <c r="R1053" s="122"/>
      <c r="S1053" s="122"/>
      <c r="T1053" s="122"/>
      <c r="U1053" s="122"/>
      <c r="V1053" s="122"/>
    </row>
    <row r="1054" spans="2:22" s="126" customFormat="1">
      <c r="B1054" s="120"/>
      <c r="C1054" s="120"/>
      <c r="D1054" s="121"/>
      <c r="E1054" s="127"/>
      <c r="F1054" s="121"/>
      <c r="G1054" s="121"/>
      <c r="H1054" s="121"/>
      <c r="I1054" s="122"/>
      <c r="J1054" s="122"/>
      <c r="K1054" s="122"/>
      <c r="L1054" s="122"/>
      <c r="M1054" s="122"/>
      <c r="N1054" s="122"/>
      <c r="O1054" s="122"/>
      <c r="P1054" s="122"/>
      <c r="Q1054" s="122"/>
      <c r="R1054" s="122"/>
      <c r="S1054" s="122"/>
      <c r="T1054" s="122"/>
      <c r="U1054" s="122"/>
      <c r="V1054" s="122"/>
    </row>
    <row r="1055" spans="2:22" s="126" customFormat="1">
      <c r="B1055" s="120"/>
      <c r="C1055" s="120"/>
      <c r="D1055" s="121"/>
      <c r="E1055" s="127"/>
      <c r="F1055" s="121"/>
      <c r="G1055" s="121"/>
      <c r="H1055" s="121"/>
      <c r="I1055" s="122"/>
      <c r="J1055" s="122"/>
      <c r="K1055" s="122"/>
      <c r="L1055" s="122"/>
      <c r="M1055" s="122"/>
      <c r="N1055" s="122"/>
      <c r="O1055" s="122"/>
      <c r="P1055" s="122"/>
      <c r="Q1055" s="122"/>
      <c r="R1055" s="122"/>
      <c r="S1055" s="122"/>
      <c r="T1055" s="122"/>
      <c r="U1055" s="122"/>
      <c r="V1055" s="122"/>
    </row>
    <row r="1056" spans="2:22" s="126" customFormat="1">
      <c r="B1056" s="120"/>
      <c r="C1056" s="120"/>
      <c r="D1056" s="121"/>
      <c r="E1056" s="127"/>
      <c r="F1056" s="121"/>
      <c r="G1056" s="121"/>
      <c r="H1056" s="121"/>
      <c r="I1056" s="122"/>
      <c r="J1056" s="122"/>
      <c r="K1056" s="122"/>
      <c r="L1056" s="122"/>
      <c r="M1056" s="122"/>
      <c r="N1056" s="122"/>
      <c r="O1056" s="122"/>
      <c r="P1056" s="122"/>
      <c r="Q1056" s="122"/>
      <c r="R1056" s="122"/>
      <c r="S1056" s="122"/>
      <c r="T1056" s="122"/>
      <c r="U1056" s="122"/>
      <c r="V1056" s="122"/>
    </row>
    <row r="1057" spans="2:22" s="126" customFormat="1">
      <c r="B1057" s="120"/>
      <c r="C1057" s="120"/>
      <c r="D1057" s="121"/>
      <c r="E1057" s="127"/>
      <c r="F1057" s="121"/>
      <c r="G1057" s="121"/>
      <c r="H1057" s="121"/>
      <c r="I1057" s="122"/>
      <c r="J1057" s="122"/>
      <c r="K1057" s="122"/>
      <c r="L1057" s="122"/>
      <c r="M1057" s="122"/>
      <c r="N1057" s="122"/>
      <c r="O1057" s="122"/>
      <c r="P1057" s="122"/>
      <c r="Q1057" s="122"/>
      <c r="R1057" s="122"/>
      <c r="S1057" s="122"/>
      <c r="T1057" s="122"/>
      <c r="U1057" s="122"/>
      <c r="V1057" s="122"/>
    </row>
    <row r="1058" spans="2:22" s="126" customFormat="1">
      <c r="B1058" s="120"/>
      <c r="C1058" s="120"/>
      <c r="D1058" s="121"/>
      <c r="E1058" s="127"/>
      <c r="F1058" s="121"/>
      <c r="G1058" s="121"/>
      <c r="H1058" s="121"/>
      <c r="I1058" s="122"/>
      <c r="J1058" s="122"/>
      <c r="K1058" s="122"/>
      <c r="L1058" s="122"/>
      <c r="M1058" s="122"/>
      <c r="N1058" s="122"/>
      <c r="O1058" s="122"/>
      <c r="P1058" s="122"/>
      <c r="Q1058" s="122"/>
      <c r="R1058" s="122"/>
      <c r="S1058" s="122"/>
      <c r="T1058" s="122"/>
      <c r="U1058" s="122"/>
      <c r="V1058" s="122"/>
    </row>
    <row r="1059" spans="2:22" s="126" customFormat="1">
      <c r="B1059" s="120"/>
      <c r="C1059" s="120"/>
      <c r="D1059" s="121"/>
      <c r="E1059" s="127"/>
      <c r="F1059" s="121"/>
      <c r="G1059" s="121"/>
      <c r="H1059" s="121"/>
      <c r="I1059" s="122"/>
      <c r="J1059" s="122"/>
      <c r="K1059" s="122"/>
      <c r="L1059" s="122"/>
      <c r="M1059" s="122"/>
      <c r="N1059" s="122"/>
      <c r="O1059" s="122"/>
      <c r="P1059" s="122"/>
      <c r="Q1059" s="122"/>
      <c r="R1059" s="122"/>
      <c r="S1059" s="122"/>
      <c r="T1059" s="122"/>
      <c r="U1059" s="122"/>
      <c r="V1059" s="122"/>
    </row>
    <row r="1060" spans="2:22" s="126" customFormat="1">
      <c r="B1060" s="120"/>
      <c r="C1060" s="120"/>
      <c r="D1060" s="121"/>
      <c r="E1060" s="127"/>
      <c r="F1060" s="121"/>
      <c r="G1060" s="121"/>
      <c r="H1060" s="121"/>
      <c r="I1060" s="122"/>
      <c r="J1060" s="122"/>
      <c r="K1060" s="122"/>
      <c r="L1060" s="122"/>
      <c r="M1060" s="122"/>
      <c r="N1060" s="122"/>
      <c r="O1060" s="122"/>
      <c r="P1060" s="122"/>
      <c r="Q1060" s="122"/>
      <c r="R1060" s="122"/>
      <c r="S1060" s="122"/>
      <c r="T1060" s="122"/>
      <c r="U1060" s="122"/>
      <c r="V1060" s="122"/>
    </row>
    <row r="1061" spans="2:22" s="126" customFormat="1">
      <c r="B1061" s="120"/>
      <c r="C1061" s="120"/>
      <c r="D1061" s="121"/>
      <c r="E1061" s="127"/>
      <c r="F1061" s="121"/>
      <c r="G1061" s="121"/>
      <c r="H1061" s="121"/>
      <c r="I1061" s="122"/>
      <c r="J1061" s="122"/>
      <c r="K1061" s="122"/>
      <c r="L1061" s="122"/>
      <c r="M1061" s="122"/>
      <c r="N1061" s="122"/>
      <c r="O1061" s="122"/>
      <c r="P1061" s="122"/>
      <c r="Q1061" s="122"/>
      <c r="R1061" s="122"/>
      <c r="S1061" s="122"/>
      <c r="T1061" s="122"/>
      <c r="U1061" s="122"/>
      <c r="V1061" s="122"/>
    </row>
    <row r="1062" spans="2:22" s="126" customFormat="1">
      <c r="B1062" s="120"/>
      <c r="C1062" s="120"/>
      <c r="D1062" s="121"/>
      <c r="E1062" s="127"/>
      <c r="F1062" s="121"/>
      <c r="G1062" s="121"/>
      <c r="H1062" s="121"/>
      <c r="I1062" s="122"/>
      <c r="J1062" s="122"/>
      <c r="K1062" s="122"/>
      <c r="L1062" s="122"/>
      <c r="M1062" s="122"/>
      <c r="N1062" s="122"/>
      <c r="O1062" s="122"/>
      <c r="P1062" s="122"/>
      <c r="Q1062" s="122"/>
      <c r="R1062" s="122"/>
      <c r="S1062" s="122"/>
      <c r="T1062" s="122"/>
      <c r="U1062" s="122"/>
      <c r="V1062" s="122"/>
    </row>
    <row r="1063" spans="2:22" s="126" customFormat="1">
      <c r="B1063" s="120"/>
      <c r="C1063" s="120"/>
      <c r="D1063" s="121"/>
      <c r="E1063" s="127"/>
      <c r="F1063" s="121"/>
      <c r="G1063" s="121"/>
      <c r="H1063" s="121"/>
      <c r="I1063" s="122"/>
      <c r="J1063" s="122"/>
      <c r="K1063" s="122"/>
      <c r="L1063" s="122"/>
      <c r="M1063" s="122"/>
      <c r="N1063" s="122"/>
      <c r="O1063" s="122"/>
      <c r="P1063" s="122"/>
      <c r="Q1063" s="122"/>
      <c r="R1063" s="122"/>
      <c r="S1063" s="122"/>
      <c r="T1063" s="122"/>
      <c r="U1063" s="122"/>
      <c r="V1063" s="122"/>
    </row>
    <row r="1064" spans="2:22" s="126" customFormat="1">
      <c r="B1064" s="120"/>
      <c r="C1064" s="120"/>
      <c r="D1064" s="121"/>
      <c r="E1064" s="127"/>
      <c r="F1064" s="121"/>
      <c r="G1064" s="121"/>
      <c r="H1064" s="121"/>
      <c r="I1064" s="122"/>
      <c r="J1064" s="122"/>
      <c r="K1064" s="122"/>
      <c r="L1064" s="122"/>
      <c r="M1064" s="122"/>
      <c r="N1064" s="122"/>
      <c r="O1064" s="122"/>
      <c r="P1064" s="122"/>
      <c r="Q1064" s="122"/>
      <c r="R1064" s="122"/>
      <c r="S1064" s="122"/>
      <c r="T1064" s="122"/>
      <c r="U1064" s="122"/>
      <c r="V1064" s="122"/>
    </row>
    <row r="1065" spans="2:22" s="126" customFormat="1">
      <c r="B1065" s="120"/>
      <c r="C1065" s="120"/>
      <c r="D1065" s="121"/>
      <c r="E1065" s="127"/>
      <c r="F1065" s="121"/>
      <c r="G1065" s="121"/>
      <c r="H1065" s="121"/>
      <c r="I1065" s="122"/>
      <c r="J1065" s="122"/>
      <c r="K1065" s="122"/>
      <c r="L1065" s="122"/>
      <c r="M1065" s="122"/>
      <c r="N1065" s="122"/>
      <c r="O1065" s="122"/>
      <c r="P1065" s="122"/>
      <c r="Q1065" s="122"/>
      <c r="R1065" s="122"/>
      <c r="S1065" s="122"/>
      <c r="T1065" s="122"/>
      <c r="U1065" s="122"/>
      <c r="V1065" s="122"/>
    </row>
    <row r="1066" spans="2:22" s="126" customFormat="1">
      <c r="B1066" s="120"/>
      <c r="C1066" s="120"/>
      <c r="D1066" s="121"/>
      <c r="E1066" s="127"/>
      <c r="F1066" s="121"/>
      <c r="G1066" s="121"/>
      <c r="H1066" s="121"/>
      <c r="I1066" s="122"/>
      <c r="J1066" s="122"/>
      <c r="K1066" s="122"/>
      <c r="L1066" s="122"/>
      <c r="M1066" s="122"/>
      <c r="N1066" s="122"/>
      <c r="O1066" s="122"/>
      <c r="P1066" s="122"/>
      <c r="Q1066" s="122"/>
      <c r="R1066" s="122"/>
      <c r="S1066" s="122"/>
      <c r="T1066" s="122"/>
      <c r="U1066" s="122"/>
      <c r="V1066" s="122"/>
    </row>
    <row r="1067" spans="2:22" s="126" customFormat="1">
      <c r="B1067" s="120"/>
      <c r="C1067" s="120"/>
      <c r="D1067" s="121"/>
      <c r="E1067" s="127"/>
      <c r="F1067" s="121"/>
      <c r="G1067" s="121"/>
      <c r="H1067" s="121"/>
      <c r="I1067" s="122"/>
      <c r="J1067" s="122"/>
      <c r="K1067" s="122"/>
      <c r="L1067" s="122"/>
      <c r="M1067" s="122"/>
      <c r="N1067" s="122"/>
      <c r="O1067" s="122"/>
      <c r="P1067" s="122"/>
      <c r="Q1067" s="122"/>
      <c r="R1067" s="122"/>
      <c r="S1067" s="122"/>
      <c r="T1067" s="122"/>
      <c r="U1067" s="122"/>
      <c r="V1067" s="122"/>
    </row>
    <row r="1068" spans="2:22" s="126" customFormat="1">
      <c r="B1068" s="120"/>
      <c r="C1068" s="120"/>
      <c r="D1068" s="121"/>
      <c r="E1068" s="127"/>
      <c r="F1068" s="121"/>
      <c r="G1068" s="121"/>
      <c r="H1068" s="121"/>
      <c r="I1068" s="122"/>
      <c r="J1068" s="122"/>
      <c r="K1068" s="122"/>
      <c r="L1068" s="122"/>
      <c r="M1068" s="122"/>
      <c r="N1068" s="122"/>
      <c r="O1068" s="122"/>
      <c r="P1068" s="122"/>
      <c r="Q1068" s="122"/>
      <c r="R1068" s="122"/>
      <c r="S1068" s="122"/>
      <c r="T1068" s="122"/>
      <c r="U1068" s="122"/>
      <c r="V1068" s="122"/>
    </row>
    <row r="1069" spans="2:22" s="126" customFormat="1">
      <c r="B1069" s="120"/>
      <c r="C1069" s="120"/>
      <c r="D1069" s="121"/>
      <c r="E1069" s="127"/>
      <c r="F1069" s="121"/>
      <c r="G1069" s="121"/>
      <c r="H1069" s="121"/>
      <c r="I1069" s="122"/>
      <c r="J1069" s="122"/>
      <c r="K1069" s="122"/>
      <c r="L1069" s="122"/>
      <c r="M1069" s="122"/>
      <c r="N1069" s="122"/>
      <c r="O1069" s="122"/>
      <c r="P1069" s="122"/>
      <c r="Q1069" s="122"/>
      <c r="R1069" s="122"/>
      <c r="S1069" s="122"/>
      <c r="T1069" s="122"/>
      <c r="U1069" s="122"/>
      <c r="V1069" s="122"/>
    </row>
    <row r="1070" spans="2:22" s="126" customFormat="1">
      <c r="B1070" s="120"/>
      <c r="C1070" s="120"/>
      <c r="D1070" s="121"/>
      <c r="E1070" s="127"/>
      <c r="F1070" s="121"/>
      <c r="G1070" s="121"/>
      <c r="H1070" s="121"/>
      <c r="I1070" s="122"/>
      <c r="J1070" s="122"/>
      <c r="K1070" s="122"/>
      <c r="L1070" s="122"/>
      <c r="M1070" s="122"/>
      <c r="N1070" s="122"/>
      <c r="O1070" s="122"/>
      <c r="P1070" s="122"/>
      <c r="Q1070" s="122"/>
      <c r="R1070" s="122"/>
      <c r="S1070" s="122"/>
      <c r="T1070" s="122"/>
      <c r="U1070" s="122"/>
      <c r="V1070" s="122"/>
    </row>
    <row r="1071" spans="2:22" s="126" customFormat="1">
      <c r="B1071" s="120"/>
      <c r="C1071" s="120"/>
      <c r="D1071" s="121"/>
      <c r="E1071" s="127"/>
      <c r="F1071" s="121"/>
      <c r="G1071" s="121"/>
      <c r="H1071" s="121"/>
      <c r="I1071" s="122"/>
      <c r="J1071" s="122"/>
      <c r="K1071" s="122"/>
      <c r="L1071" s="122"/>
      <c r="M1071" s="122"/>
      <c r="N1071" s="122"/>
      <c r="O1071" s="122"/>
      <c r="P1071" s="122"/>
      <c r="Q1071" s="122"/>
      <c r="R1071" s="122"/>
      <c r="S1071" s="122"/>
      <c r="T1071" s="122"/>
      <c r="U1071" s="122"/>
      <c r="V1071" s="122"/>
    </row>
    <row r="1072" spans="2:22" s="126" customFormat="1">
      <c r="B1072" s="120"/>
      <c r="C1072" s="120"/>
      <c r="D1072" s="121"/>
      <c r="E1072" s="127"/>
      <c r="F1072" s="121"/>
      <c r="G1072" s="121"/>
      <c r="H1072" s="121"/>
      <c r="I1072" s="122"/>
      <c r="J1072" s="122"/>
      <c r="K1072" s="122"/>
      <c r="L1072" s="122"/>
      <c r="M1072" s="122"/>
      <c r="N1072" s="122"/>
      <c r="O1072" s="122"/>
      <c r="P1072" s="122"/>
      <c r="Q1072" s="122"/>
      <c r="R1072" s="122"/>
      <c r="S1072" s="122"/>
      <c r="T1072" s="122"/>
      <c r="U1072" s="122"/>
      <c r="V1072" s="122"/>
    </row>
    <row r="1073" spans="2:22" s="126" customFormat="1">
      <c r="B1073" s="120"/>
      <c r="C1073" s="120"/>
      <c r="D1073" s="121"/>
      <c r="E1073" s="127"/>
      <c r="F1073" s="121"/>
      <c r="G1073" s="121"/>
      <c r="H1073" s="121"/>
      <c r="I1073" s="122"/>
      <c r="J1073" s="122"/>
      <c r="K1073" s="122"/>
      <c r="L1073" s="122"/>
      <c r="M1073" s="122"/>
      <c r="N1073" s="122"/>
      <c r="O1073" s="122"/>
      <c r="P1073" s="122"/>
      <c r="Q1073" s="122"/>
      <c r="R1073" s="122"/>
      <c r="S1073" s="122"/>
      <c r="T1073" s="122"/>
      <c r="U1073" s="122"/>
      <c r="V1073" s="122"/>
    </row>
    <row r="1074" spans="2:22" s="126" customFormat="1">
      <c r="B1074" s="120"/>
      <c r="C1074" s="120"/>
      <c r="D1074" s="121"/>
      <c r="E1074" s="127"/>
      <c r="F1074" s="121"/>
      <c r="G1074" s="121"/>
      <c r="H1074" s="121"/>
      <c r="I1074" s="122"/>
      <c r="J1074" s="122"/>
      <c r="K1074" s="122"/>
      <c r="L1074" s="122"/>
      <c r="M1074" s="122"/>
      <c r="N1074" s="122"/>
      <c r="O1074" s="122"/>
      <c r="P1074" s="122"/>
      <c r="Q1074" s="122"/>
      <c r="R1074" s="122"/>
      <c r="S1074" s="122"/>
      <c r="T1074" s="122"/>
      <c r="U1074" s="122"/>
      <c r="V1074" s="122"/>
    </row>
    <row r="1075" spans="2:22" s="126" customFormat="1">
      <c r="B1075" s="120"/>
      <c r="C1075" s="120"/>
      <c r="D1075" s="121"/>
      <c r="E1075" s="127"/>
      <c r="F1075" s="121"/>
      <c r="G1075" s="121"/>
      <c r="H1075" s="121"/>
      <c r="I1075" s="122"/>
      <c r="J1075" s="122"/>
      <c r="K1075" s="122"/>
      <c r="L1075" s="122"/>
      <c r="M1075" s="122"/>
      <c r="N1075" s="122"/>
      <c r="O1075" s="122"/>
      <c r="P1075" s="122"/>
      <c r="Q1075" s="122"/>
      <c r="R1075" s="122"/>
      <c r="S1075" s="122"/>
      <c r="T1075" s="122"/>
      <c r="U1075" s="122"/>
      <c r="V1075" s="122"/>
    </row>
    <row r="1076" spans="2:22" s="126" customFormat="1">
      <c r="B1076" s="120"/>
      <c r="C1076" s="120"/>
      <c r="D1076" s="121"/>
      <c r="E1076" s="127"/>
      <c r="F1076" s="121"/>
      <c r="G1076" s="121"/>
      <c r="H1076" s="121"/>
      <c r="I1076" s="122"/>
      <c r="J1076" s="122"/>
      <c r="K1076" s="122"/>
      <c r="L1076" s="122"/>
      <c r="M1076" s="122"/>
      <c r="N1076" s="122"/>
      <c r="O1076" s="122"/>
      <c r="P1076" s="122"/>
      <c r="Q1076" s="122"/>
      <c r="R1076" s="122"/>
      <c r="S1076" s="122"/>
      <c r="T1076" s="122"/>
      <c r="U1076" s="122"/>
      <c r="V1076" s="122"/>
    </row>
    <row r="1077" spans="2:22" s="126" customFormat="1">
      <c r="B1077" s="120"/>
      <c r="C1077" s="120"/>
      <c r="D1077" s="121"/>
      <c r="E1077" s="127"/>
      <c r="F1077" s="121"/>
      <c r="G1077" s="121"/>
      <c r="H1077" s="121"/>
      <c r="I1077" s="122"/>
      <c r="J1077" s="122"/>
      <c r="K1077" s="122"/>
      <c r="L1077" s="122"/>
      <c r="M1077" s="122"/>
      <c r="N1077" s="122"/>
      <c r="O1077" s="122"/>
      <c r="P1077" s="122"/>
      <c r="Q1077" s="122"/>
      <c r="R1077" s="122"/>
      <c r="S1077" s="122"/>
      <c r="T1077" s="122"/>
      <c r="U1077" s="122"/>
      <c r="V1077" s="122"/>
    </row>
    <row r="1078" spans="2:22" s="126" customFormat="1">
      <c r="B1078" s="120"/>
      <c r="C1078" s="120"/>
      <c r="D1078" s="121"/>
      <c r="E1078" s="127"/>
      <c r="F1078" s="121"/>
      <c r="G1078" s="121"/>
      <c r="H1078" s="121"/>
      <c r="I1078" s="122"/>
      <c r="J1078" s="122"/>
      <c r="K1078" s="122"/>
      <c r="L1078" s="122"/>
      <c r="M1078" s="122"/>
      <c r="N1078" s="122"/>
      <c r="O1078" s="122"/>
      <c r="P1078" s="122"/>
      <c r="Q1078" s="122"/>
      <c r="R1078" s="122"/>
      <c r="S1078" s="122"/>
      <c r="T1078" s="122"/>
      <c r="U1078" s="122"/>
      <c r="V1078" s="122"/>
    </row>
    <row r="1079" spans="2:22" s="126" customFormat="1">
      <c r="B1079" s="120"/>
      <c r="C1079" s="120"/>
      <c r="D1079" s="121"/>
      <c r="E1079" s="127"/>
      <c r="F1079" s="121"/>
      <c r="G1079" s="121"/>
      <c r="H1079" s="121"/>
      <c r="I1079" s="122"/>
      <c r="J1079" s="122"/>
      <c r="K1079" s="122"/>
      <c r="L1079" s="122"/>
      <c r="M1079" s="122"/>
      <c r="N1079" s="122"/>
      <c r="O1079" s="122"/>
      <c r="P1079" s="122"/>
      <c r="Q1079" s="122"/>
      <c r="R1079" s="122"/>
      <c r="S1079" s="122"/>
      <c r="T1079" s="122"/>
      <c r="U1079" s="122"/>
      <c r="V1079" s="122"/>
    </row>
    <row r="1080" spans="2:22" s="126" customFormat="1">
      <c r="B1080" s="120"/>
      <c r="C1080" s="120"/>
      <c r="D1080" s="121"/>
      <c r="E1080" s="127"/>
      <c r="F1080" s="121"/>
      <c r="G1080" s="121"/>
      <c r="H1080" s="121"/>
      <c r="I1080" s="122"/>
      <c r="J1080" s="122"/>
      <c r="K1080" s="122"/>
      <c r="L1080" s="122"/>
      <c r="M1080" s="122"/>
      <c r="N1080" s="122"/>
      <c r="O1080" s="122"/>
      <c r="P1080" s="122"/>
      <c r="Q1080" s="122"/>
      <c r="R1080" s="122"/>
      <c r="S1080" s="122"/>
      <c r="T1080" s="122"/>
      <c r="U1080" s="122"/>
      <c r="V1080" s="122"/>
    </row>
    <row r="1081" spans="2:22" s="126" customFormat="1">
      <c r="B1081" s="120"/>
      <c r="C1081" s="120"/>
      <c r="D1081" s="121"/>
      <c r="E1081" s="127"/>
      <c r="F1081" s="121"/>
      <c r="G1081" s="121"/>
      <c r="H1081" s="121"/>
      <c r="I1081" s="122"/>
      <c r="J1081" s="122"/>
      <c r="K1081" s="122"/>
      <c r="L1081" s="122"/>
      <c r="M1081" s="122"/>
      <c r="N1081" s="122"/>
      <c r="O1081" s="122"/>
      <c r="P1081" s="122"/>
      <c r="Q1081" s="122"/>
      <c r="R1081" s="122"/>
      <c r="S1081" s="122"/>
      <c r="T1081" s="122"/>
      <c r="U1081" s="122"/>
      <c r="V1081" s="122"/>
    </row>
    <row r="1082" spans="2:22" s="126" customFormat="1">
      <c r="B1082" s="120"/>
      <c r="C1082" s="120"/>
      <c r="D1082" s="121"/>
      <c r="E1082" s="127"/>
      <c r="F1082" s="121"/>
      <c r="G1082" s="121"/>
      <c r="H1082" s="121"/>
      <c r="I1082" s="122"/>
      <c r="J1082" s="122"/>
      <c r="K1082" s="122"/>
      <c r="L1082" s="122"/>
      <c r="M1082" s="122"/>
      <c r="N1082" s="122"/>
      <c r="O1082" s="122"/>
      <c r="P1082" s="122"/>
      <c r="Q1082" s="122"/>
      <c r="R1082" s="122"/>
      <c r="S1082" s="122"/>
      <c r="T1082" s="122"/>
      <c r="U1082" s="122"/>
      <c r="V1082" s="122"/>
    </row>
    <row r="1083" spans="2:22" s="126" customFormat="1">
      <c r="B1083" s="120"/>
      <c r="C1083" s="120"/>
      <c r="D1083" s="121"/>
      <c r="E1083" s="127"/>
      <c r="F1083" s="121"/>
      <c r="G1083" s="121"/>
      <c r="H1083" s="121"/>
      <c r="I1083" s="122"/>
      <c r="J1083" s="122"/>
      <c r="K1083" s="122"/>
      <c r="L1083" s="122"/>
      <c r="M1083" s="122"/>
      <c r="N1083" s="122"/>
      <c r="O1083" s="122"/>
      <c r="P1083" s="122"/>
      <c r="Q1083" s="122"/>
      <c r="R1083" s="122"/>
      <c r="S1083" s="122"/>
      <c r="T1083" s="122"/>
      <c r="U1083" s="122"/>
      <c r="V1083" s="122"/>
    </row>
    <row r="1084" spans="2:22" s="126" customFormat="1">
      <c r="B1084" s="120"/>
      <c r="C1084" s="120"/>
      <c r="D1084" s="121"/>
      <c r="E1084" s="127"/>
      <c r="F1084" s="121"/>
      <c r="G1084" s="121"/>
      <c r="H1084" s="121"/>
      <c r="I1084" s="122"/>
      <c r="J1084" s="122"/>
      <c r="K1084" s="122"/>
      <c r="L1084" s="122"/>
      <c r="M1084" s="122"/>
      <c r="N1084" s="122"/>
      <c r="O1084" s="122"/>
      <c r="P1084" s="122"/>
      <c r="Q1084" s="122"/>
      <c r="R1084" s="122"/>
      <c r="S1084" s="122"/>
      <c r="T1084" s="122"/>
      <c r="U1084" s="122"/>
      <c r="V1084" s="122"/>
    </row>
    <row r="1085" spans="2:22" s="126" customFormat="1">
      <c r="B1085" s="120"/>
      <c r="C1085" s="120"/>
      <c r="D1085" s="121"/>
      <c r="E1085" s="127"/>
      <c r="F1085" s="121"/>
      <c r="G1085" s="121"/>
      <c r="H1085" s="121"/>
      <c r="I1085" s="122"/>
      <c r="J1085" s="122"/>
      <c r="K1085" s="122"/>
      <c r="L1085" s="122"/>
      <c r="M1085" s="122"/>
      <c r="N1085" s="122"/>
      <c r="O1085" s="122"/>
      <c r="P1085" s="122"/>
      <c r="Q1085" s="122"/>
      <c r="R1085" s="122"/>
      <c r="S1085" s="122"/>
      <c r="T1085" s="122"/>
      <c r="U1085" s="122"/>
      <c r="V1085" s="122"/>
    </row>
    <row r="1086" spans="2:22" s="126" customFormat="1">
      <c r="B1086" s="120"/>
      <c r="C1086" s="120"/>
      <c r="D1086" s="121"/>
      <c r="E1086" s="127"/>
      <c r="F1086" s="121"/>
      <c r="G1086" s="121"/>
      <c r="H1086" s="121"/>
      <c r="I1086" s="122"/>
      <c r="J1086" s="122"/>
      <c r="K1086" s="122"/>
      <c r="L1086" s="122"/>
      <c r="M1086" s="122"/>
      <c r="N1086" s="122"/>
      <c r="O1086" s="122"/>
      <c r="P1086" s="122"/>
      <c r="Q1086" s="122"/>
      <c r="R1086" s="122"/>
      <c r="S1086" s="122"/>
      <c r="T1086" s="122"/>
      <c r="U1086" s="122"/>
      <c r="V1086" s="122"/>
    </row>
    <row r="1087" spans="2:22" s="126" customFormat="1">
      <c r="B1087" s="120"/>
      <c r="C1087" s="120"/>
      <c r="D1087" s="121"/>
      <c r="E1087" s="127"/>
      <c r="F1087" s="121"/>
      <c r="G1087" s="121"/>
      <c r="H1087" s="121"/>
      <c r="I1087" s="122"/>
      <c r="J1087" s="122"/>
      <c r="K1087" s="122"/>
      <c r="L1087" s="122"/>
      <c r="M1087" s="122"/>
      <c r="N1087" s="122"/>
      <c r="O1087" s="122"/>
      <c r="P1087" s="122"/>
      <c r="Q1087" s="122"/>
      <c r="R1087" s="122"/>
      <c r="S1087" s="122"/>
      <c r="T1087" s="122"/>
      <c r="U1087" s="122"/>
      <c r="V1087" s="122"/>
    </row>
    <row r="1088" spans="2:22" s="126" customFormat="1">
      <c r="B1088" s="120"/>
      <c r="C1088" s="120"/>
      <c r="D1088" s="121"/>
      <c r="E1088" s="127"/>
      <c r="F1088" s="121"/>
      <c r="G1088" s="121"/>
      <c r="H1088" s="121"/>
      <c r="I1088" s="122"/>
      <c r="J1088" s="122"/>
      <c r="K1088" s="122"/>
      <c r="L1088" s="122"/>
      <c r="M1088" s="122"/>
      <c r="N1088" s="122"/>
      <c r="O1088" s="122"/>
      <c r="P1088" s="122"/>
      <c r="Q1088" s="122"/>
      <c r="R1088" s="122"/>
      <c r="S1088" s="122"/>
      <c r="T1088" s="122"/>
      <c r="U1088" s="122"/>
      <c r="V1088" s="122"/>
    </row>
    <row r="1089" spans="2:22" s="126" customFormat="1">
      <c r="B1089" s="120"/>
      <c r="C1089" s="120"/>
      <c r="D1089" s="121"/>
      <c r="E1089" s="127"/>
      <c r="F1089" s="121"/>
      <c r="G1089" s="121"/>
      <c r="H1089" s="121"/>
      <c r="I1089" s="122"/>
      <c r="J1089" s="122"/>
      <c r="K1089" s="122"/>
      <c r="L1089" s="122"/>
      <c r="M1089" s="122"/>
      <c r="N1089" s="122"/>
      <c r="O1089" s="122"/>
      <c r="P1089" s="122"/>
      <c r="Q1089" s="122"/>
      <c r="R1089" s="122"/>
      <c r="S1089" s="122"/>
      <c r="T1089" s="122"/>
      <c r="U1089" s="122"/>
      <c r="V1089" s="122"/>
    </row>
    <row r="1090" spans="2:22" s="126" customFormat="1">
      <c r="B1090" s="120"/>
      <c r="C1090" s="120"/>
      <c r="D1090" s="121"/>
      <c r="E1090" s="127"/>
      <c r="F1090" s="121"/>
      <c r="G1090" s="121"/>
      <c r="H1090" s="121"/>
      <c r="I1090" s="122"/>
      <c r="J1090" s="122"/>
      <c r="K1090" s="122"/>
      <c r="L1090" s="122"/>
      <c r="M1090" s="122"/>
      <c r="N1090" s="122"/>
      <c r="O1090" s="122"/>
      <c r="P1090" s="122"/>
      <c r="Q1090" s="122"/>
      <c r="R1090" s="122"/>
      <c r="S1090" s="122"/>
      <c r="T1090" s="122"/>
      <c r="U1090" s="122"/>
      <c r="V1090" s="122"/>
    </row>
    <row r="1091" spans="2:22" s="126" customFormat="1">
      <c r="B1091" s="120"/>
      <c r="C1091" s="120"/>
      <c r="D1091" s="121"/>
      <c r="E1091" s="127"/>
      <c r="F1091" s="121"/>
      <c r="G1091" s="121"/>
      <c r="H1091" s="121"/>
      <c r="I1091" s="122"/>
      <c r="J1091" s="122"/>
      <c r="K1091" s="122"/>
      <c r="L1091" s="122"/>
      <c r="M1091" s="122"/>
      <c r="N1091" s="122"/>
      <c r="O1091" s="122"/>
      <c r="P1091" s="122"/>
      <c r="Q1091" s="122"/>
      <c r="R1091" s="122"/>
      <c r="S1091" s="122"/>
      <c r="T1091" s="122"/>
      <c r="U1091" s="122"/>
      <c r="V1091" s="122"/>
    </row>
    <row r="1092" spans="2:22" s="126" customFormat="1">
      <c r="B1092" s="120"/>
      <c r="C1092" s="120"/>
      <c r="D1092" s="121"/>
      <c r="E1092" s="127"/>
      <c r="F1092" s="121"/>
      <c r="G1092" s="121"/>
      <c r="H1092" s="121"/>
      <c r="I1092" s="122"/>
      <c r="J1092" s="122"/>
      <c r="K1092" s="122"/>
      <c r="L1092" s="122"/>
      <c r="M1092" s="122"/>
      <c r="N1092" s="122"/>
      <c r="O1092" s="122"/>
      <c r="P1092" s="122"/>
      <c r="Q1092" s="122"/>
      <c r="R1092" s="122"/>
      <c r="S1092" s="122"/>
      <c r="T1092" s="122"/>
      <c r="U1092" s="122"/>
      <c r="V1092" s="122"/>
    </row>
    <row r="1093" spans="2:22" s="126" customFormat="1">
      <c r="B1093" s="120"/>
      <c r="C1093" s="120"/>
      <c r="D1093" s="121"/>
      <c r="E1093" s="127"/>
      <c r="F1093" s="121"/>
      <c r="G1093" s="121"/>
      <c r="H1093" s="121"/>
      <c r="I1093" s="122"/>
      <c r="J1093" s="122"/>
      <c r="K1093" s="122"/>
      <c r="L1093" s="122"/>
      <c r="M1093" s="122"/>
      <c r="N1093" s="122"/>
      <c r="O1093" s="122"/>
      <c r="P1093" s="122"/>
      <c r="Q1093" s="122"/>
      <c r="R1093" s="122"/>
      <c r="S1093" s="122"/>
      <c r="T1093" s="122"/>
      <c r="U1093" s="122"/>
      <c r="V1093" s="122"/>
    </row>
    <row r="1094" spans="2:22" s="126" customFormat="1">
      <c r="B1094" s="120"/>
      <c r="C1094" s="120"/>
      <c r="D1094" s="121"/>
      <c r="E1094" s="127"/>
      <c r="F1094" s="121"/>
      <c r="G1094" s="121"/>
      <c r="H1094" s="121"/>
      <c r="I1094" s="122"/>
      <c r="J1094" s="122"/>
      <c r="K1094" s="122"/>
      <c r="L1094" s="122"/>
      <c r="M1094" s="122"/>
      <c r="N1094" s="122"/>
      <c r="O1094" s="122"/>
      <c r="P1094" s="122"/>
      <c r="Q1094" s="122"/>
      <c r="R1094" s="122"/>
      <c r="S1094" s="122"/>
      <c r="T1094" s="122"/>
      <c r="U1094" s="122"/>
      <c r="V1094" s="122"/>
    </row>
    <row r="1095" spans="2:22" s="126" customFormat="1">
      <c r="B1095" s="120"/>
      <c r="C1095" s="120"/>
      <c r="D1095" s="121"/>
      <c r="E1095" s="127"/>
      <c r="F1095" s="121"/>
      <c r="G1095" s="121"/>
      <c r="H1095" s="121"/>
      <c r="I1095" s="122"/>
      <c r="J1095" s="122"/>
      <c r="K1095" s="122"/>
      <c r="L1095" s="122"/>
      <c r="M1095" s="122"/>
      <c r="N1095" s="122"/>
      <c r="O1095" s="122"/>
      <c r="P1095" s="122"/>
      <c r="Q1095" s="122"/>
      <c r="R1095" s="122"/>
      <c r="S1095" s="122"/>
      <c r="T1095" s="122"/>
      <c r="U1095" s="122"/>
      <c r="V1095" s="122"/>
    </row>
    <row r="1096" spans="2:22" s="126" customFormat="1">
      <c r="B1096" s="120"/>
      <c r="C1096" s="120"/>
      <c r="D1096" s="121"/>
      <c r="E1096" s="127"/>
      <c r="F1096" s="121"/>
      <c r="G1096" s="121"/>
      <c r="H1096" s="121"/>
      <c r="I1096" s="122"/>
      <c r="J1096" s="122"/>
      <c r="K1096" s="122"/>
      <c r="L1096" s="122"/>
      <c r="M1096" s="122"/>
      <c r="N1096" s="122"/>
      <c r="O1096" s="122"/>
      <c r="P1096" s="122"/>
      <c r="Q1096" s="122"/>
      <c r="R1096" s="122"/>
      <c r="S1096" s="122"/>
      <c r="T1096" s="122"/>
      <c r="U1096" s="122"/>
      <c r="V1096" s="122"/>
    </row>
    <row r="1097" spans="2:22" s="126" customFormat="1">
      <c r="B1097" s="120"/>
      <c r="C1097" s="120"/>
      <c r="D1097" s="121"/>
      <c r="E1097" s="127"/>
      <c r="F1097" s="121"/>
      <c r="G1097" s="121"/>
      <c r="H1097" s="121"/>
      <c r="I1097" s="122"/>
      <c r="J1097" s="122"/>
      <c r="K1097" s="122"/>
      <c r="L1097" s="122"/>
      <c r="M1097" s="122"/>
      <c r="N1097" s="122"/>
      <c r="O1097" s="122"/>
      <c r="P1097" s="122"/>
      <c r="Q1097" s="122"/>
      <c r="R1097" s="122"/>
      <c r="S1097" s="122"/>
      <c r="T1097" s="122"/>
      <c r="U1097" s="122"/>
      <c r="V1097" s="122"/>
    </row>
    <row r="1098" spans="2:22" s="126" customFormat="1">
      <c r="B1098" s="120"/>
      <c r="C1098" s="120"/>
      <c r="D1098" s="121"/>
      <c r="E1098" s="127"/>
      <c r="F1098" s="121"/>
      <c r="G1098" s="121"/>
      <c r="H1098" s="121"/>
      <c r="I1098" s="122"/>
      <c r="J1098" s="122"/>
      <c r="K1098" s="122"/>
      <c r="L1098" s="122"/>
      <c r="M1098" s="122"/>
      <c r="N1098" s="122"/>
      <c r="O1098" s="122"/>
      <c r="P1098" s="122"/>
      <c r="Q1098" s="122"/>
      <c r="R1098" s="122"/>
      <c r="S1098" s="122"/>
      <c r="T1098" s="122"/>
      <c r="U1098" s="122"/>
      <c r="V1098" s="122"/>
    </row>
    <row r="1099" spans="2:22" s="126" customFormat="1">
      <c r="B1099" s="120"/>
      <c r="C1099" s="120"/>
      <c r="D1099" s="121"/>
      <c r="E1099" s="127"/>
      <c r="F1099" s="121"/>
      <c r="G1099" s="121"/>
      <c r="H1099" s="121"/>
      <c r="I1099" s="122"/>
      <c r="J1099" s="122"/>
      <c r="K1099" s="122"/>
      <c r="L1099" s="122"/>
      <c r="M1099" s="122"/>
      <c r="N1099" s="122"/>
      <c r="O1099" s="122"/>
      <c r="P1099" s="122"/>
      <c r="Q1099" s="122"/>
      <c r="R1099" s="122"/>
      <c r="S1099" s="122"/>
      <c r="T1099" s="122"/>
      <c r="U1099" s="122"/>
      <c r="V1099" s="122"/>
    </row>
    <row r="1100" spans="2:22" s="126" customFormat="1">
      <c r="B1100" s="120"/>
      <c r="C1100" s="120"/>
      <c r="D1100" s="121"/>
      <c r="E1100" s="127"/>
      <c r="F1100" s="121"/>
      <c r="G1100" s="121"/>
      <c r="H1100" s="121"/>
      <c r="I1100" s="122"/>
      <c r="J1100" s="122"/>
      <c r="K1100" s="122"/>
      <c r="L1100" s="122"/>
      <c r="M1100" s="122"/>
      <c r="N1100" s="122"/>
      <c r="O1100" s="122"/>
      <c r="P1100" s="122"/>
      <c r="Q1100" s="122"/>
      <c r="R1100" s="122"/>
      <c r="S1100" s="122"/>
      <c r="T1100" s="122"/>
      <c r="U1100" s="122"/>
      <c r="V1100" s="122"/>
    </row>
    <row r="1101" spans="2:22" s="126" customFormat="1">
      <c r="B1101" s="120"/>
      <c r="C1101" s="120"/>
      <c r="D1101" s="121"/>
      <c r="E1101" s="127"/>
      <c r="F1101" s="121"/>
      <c r="G1101" s="121"/>
      <c r="H1101" s="121"/>
      <c r="I1101" s="122"/>
      <c r="J1101" s="122"/>
      <c r="K1101" s="122"/>
      <c r="L1101" s="122"/>
      <c r="M1101" s="122"/>
      <c r="N1101" s="122"/>
      <c r="O1101" s="122"/>
      <c r="P1101" s="122"/>
      <c r="Q1101" s="122"/>
      <c r="R1101" s="122"/>
      <c r="S1101" s="122"/>
      <c r="T1101" s="122"/>
      <c r="U1101" s="122"/>
      <c r="V1101" s="122"/>
    </row>
    <row r="1102" spans="2:22" s="126" customFormat="1">
      <c r="B1102" s="120"/>
      <c r="C1102" s="120"/>
      <c r="D1102" s="121"/>
      <c r="E1102" s="127"/>
      <c r="F1102" s="121"/>
      <c r="G1102" s="121"/>
      <c r="H1102" s="121"/>
      <c r="I1102" s="122"/>
      <c r="J1102" s="122"/>
      <c r="K1102" s="122"/>
      <c r="L1102" s="122"/>
      <c r="M1102" s="122"/>
      <c r="N1102" s="122"/>
      <c r="O1102" s="122"/>
      <c r="P1102" s="122"/>
      <c r="Q1102" s="122"/>
      <c r="R1102" s="122"/>
      <c r="S1102" s="122"/>
      <c r="T1102" s="122"/>
      <c r="U1102" s="122"/>
      <c r="V1102" s="122"/>
    </row>
    <row r="1103" spans="2:22" s="126" customFormat="1">
      <c r="B1103" s="120"/>
      <c r="C1103" s="120"/>
      <c r="D1103" s="121"/>
      <c r="E1103" s="127"/>
      <c r="F1103" s="121"/>
      <c r="G1103" s="121"/>
      <c r="H1103" s="121"/>
      <c r="I1103" s="122"/>
      <c r="J1103" s="122"/>
      <c r="K1103" s="122"/>
      <c r="L1103" s="122"/>
      <c r="M1103" s="122"/>
      <c r="N1103" s="122"/>
      <c r="O1103" s="122"/>
      <c r="P1103" s="122"/>
      <c r="Q1103" s="122"/>
      <c r="R1103" s="122"/>
      <c r="S1103" s="122"/>
      <c r="T1103" s="122"/>
      <c r="U1103" s="122"/>
      <c r="V1103" s="122"/>
    </row>
    <row r="1104" spans="2:22" s="126" customFormat="1">
      <c r="B1104" s="120"/>
      <c r="C1104" s="120"/>
      <c r="D1104" s="121"/>
      <c r="E1104" s="127"/>
      <c r="F1104" s="121"/>
      <c r="G1104" s="121"/>
      <c r="H1104" s="121"/>
      <c r="I1104" s="122"/>
      <c r="J1104" s="122"/>
      <c r="K1104" s="122"/>
      <c r="L1104" s="122"/>
      <c r="M1104" s="122"/>
      <c r="N1104" s="122"/>
      <c r="O1104" s="122"/>
      <c r="P1104" s="122"/>
      <c r="Q1104" s="122"/>
      <c r="R1104" s="122"/>
      <c r="S1104" s="122"/>
      <c r="T1104" s="122"/>
      <c r="U1104" s="122"/>
      <c r="V1104" s="122"/>
    </row>
    <row r="1105" spans="2:22" s="126" customFormat="1">
      <c r="B1105" s="120"/>
      <c r="C1105" s="120"/>
      <c r="D1105" s="121"/>
      <c r="E1105" s="127"/>
      <c r="F1105" s="121"/>
      <c r="G1105" s="121"/>
      <c r="H1105" s="121"/>
      <c r="I1105" s="122"/>
      <c r="J1105" s="122"/>
      <c r="K1105" s="122"/>
      <c r="L1105" s="122"/>
      <c r="M1105" s="122"/>
      <c r="N1105" s="122"/>
      <c r="O1105" s="122"/>
      <c r="P1105" s="122"/>
      <c r="Q1105" s="122"/>
      <c r="R1105" s="122"/>
      <c r="S1105" s="122"/>
      <c r="T1105" s="122"/>
      <c r="U1105" s="122"/>
      <c r="V1105" s="122"/>
    </row>
    <row r="1106" spans="2:22" s="126" customFormat="1">
      <c r="B1106" s="120"/>
      <c r="C1106" s="120"/>
      <c r="D1106" s="121"/>
      <c r="E1106" s="127"/>
      <c r="F1106" s="121"/>
      <c r="G1106" s="121"/>
      <c r="H1106" s="121"/>
      <c r="I1106" s="122"/>
      <c r="J1106" s="122"/>
      <c r="K1106" s="122"/>
      <c r="L1106" s="122"/>
      <c r="M1106" s="122"/>
      <c r="N1106" s="122"/>
      <c r="O1106" s="122"/>
      <c r="P1106" s="122"/>
      <c r="Q1106" s="122"/>
      <c r="R1106" s="122"/>
      <c r="S1106" s="122"/>
      <c r="T1106" s="122"/>
      <c r="U1106" s="122"/>
      <c r="V1106" s="122"/>
    </row>
    <row r="1107" spans="2:22" s="126" customFormat="1">
      <c r="B1107" s="120"/>
      <c r="C1107" s="120"/>
      <c r="D1107" s="121"/>
      <c r="E1107" s="127"/>
      <c r="F1107" s="121"/>
      <c r="G1107" s="121"/>
      <c r="H1107" s="121"/>
      <c r="I1107" s="122"/>
      <c r="J1107" s="122"/>
      <c r="K1107" s="122"/>
      <c r="L1107" s="122"/>
      <c r="M1107" s="122"/>
      <c r="N1107" s="122"/>
      <c r="O1107" s="122"/>
      <c r="P1107" s="122"/>
      <c r="Q1107" s="122"/>
      <c r="R1107" s="122"/>
      <c r="S1107" s="122"/>
      <c r="T1107" s="122"/>
      <c r="U1107" s="122"/>
      <c r="V1107" s="122"/>
    </row>
    <row r="1108" spans="2:22" s="126" customFormat="1">
      <c r="B1108" s="120"/>
      <c r="C1108" s="120"/>
      <c r="D1108" s="121"/>
      <c r="E1108" s="127"/>
      <c r="F1108" s="121"/>
      <c r="G1108" s="121"/>
      <c r="H1108" s="121"/>
      <c r="I1108" s="122"/>
      <c r="J1108" s="122"/>
      <c r="K1108" s="122"/>
      <c r="L1108" s="122"/>
      <c r="M1108" s="122"/>
      <c r="N1108" s="122"/>
      <c r="O1108" s="122"/>
      <c r="P1108" s="122"/>
      <c r="Q1108" s="122"/>
      <c r="R1108" s="122"/>
      <c r="S1108" s="122"/>
      <c r="T1108" s="122"/>
      <c r="U1108" s="122"/>
      <c r="V1108" s="122"/>
    </row>
    <row r="1109" spans="2:22" s="126" customFormat="1">
      <c r="B1109" s="120"/>
      <c r="C1109" s="120"/>
      <c r="D1109" s="121"/>
      <c r="E1109" s="127"/>
      <c r="F1109" s="121"/>
      <c r="G1109" s="121"/>
      <c r="H1109" s="121"/>
      <c r="I1109" s="122"/>
      <c r="J1109" s="122"/>
      <c r="K1109" s="122"/>
      <c r="L1109" s="122"/>
      <c r="M1109" s="122"/>
      <c r="N1109" s="122"/>
      <c r="O1109" s="122"/>
      <c r="P1109" s="122"/>
      <c r="Q1109" s="122"/>
      <c r="R1109" s="122"/>
      <c r="S1109" s="122"/>
      <c r="T1109" s="122"/>
      <c r="U1109" s="122"/>
      <c r="V1109" s="122"/>
    </row>
    <row r="1110" spans="2:22" s="126" customFormat="1">
      <c r="B1110" s="120"/>
      <c r="C1110" s="120"/>
      <c r="D1110" s="121"/>
      <c r="E1110" s="127"/>
      <c r="F1110" s="121"/>
      <c r="G1110" s="121"/>
      <c r="H1110" s="121"/>
      <c r="I1110" s="122"/>
      <c r="J1110" s="122"/>
      <c r="K1110" s="122"/>
      <c r="L1110" s="122"/>
      <c r="M1110" s="122"/>
      <c r="N1110" s="122"/>
      <c r="O1110" s="122"/>
      <c r="P1110" s="122"/>
      <c r="Q1110" s="122"/>
      <c r="R1110" s="122"/>
      <c r="S1110" s="122"/>
      <c r="T1110" s="122"/>
      <c r="U1110" s="122"/>
      <c r="V1110" s="122"/>
    </row>
    <row r="1111" spans="2:22" s="126" customFormat="1">
      <c r="B1111" s="120"/>
      <c r="C1111" s="120"/>
      <c r="D1111" s="121"/>
      <c r="E1111" s="127"/>
      <c r="F1111" s="121"/>
      <c r="G1111" s="121"/>
      <c r="H1111" s="121"/>
      <c r="I1111" s="122"/>
      <c r="J1111" s="122"/>
      <c r="K1111" s="122"/>
      <c r="L1111" s="122"/>
      <c r="M1111" s="122"/>
      <c r="N1111" s="122"/>
      <c r="O1111" s="122"/>
      <c r="P1111" s="122"/>
      <c r="Q1111" s="122"/>
      <c r="R1111" s="122"/>
      <c r="S1111" s="122"/>
      <c r="T1111" s="122"/>
      <c r="U1111" s="122"/>
      <c r="V1111" s="122"/>
    </row>
    <row r="1112" spans="2:22" s="126" customFormat="1">
      <c r="B1112" s="120"/>
      <c r="C1112" s="120"/>
      <c r="D1112" s="121"/>
      <c r="E1112" s="127"/>
      <c r="F1112" s="121"/>
      <c r="G1112" s="121"/>
      <c r="H1112" s="121"/>
      <c r="I1112" s="122"/>
      <c r="J1112" s="122"/>
      <c r="K1112" s="122"/>
      <c r="L1112" s="122"/>
      <c r="M1112" s="122"/>
      <c r="N1112" s="122"/>
      <c r="O1112" s="122"/>
      <c r="P1112" s="122"/>
      <c r="Q1112" s="122"/>
      <c r="R1112" s="122"/>
      <c r="S1112" s="122"/>
      <c r="T1112" s="122"/>
      <c r="U1112" s="122"/>
      <c r="V1112" s="122"/>
    </row>
    <row r="1113" spans="2:22" s="126" customFormat="1">
      <c r="B1113" s="120"/>
      <c r="C1113" s="120"/>
      <c r="D1113" s="121"/>
      <c r="E1113" s="127"/>
      <c r="F1113" s="121"/>
      <c r="G1113" s="121"/>
      <c r="H1113" s="121"/>
      <c r="I1113" s="122"/>
      <c r="J1113" s="122"/>
      <c r="K1113" s="122"/>
      <c r="L1113" s="122"/>
      <c r="M1113" s="122"/>
      <c r="N1113" s="122"/>
      <c r="O1113" s="122"/>
      <c r="P1113" s="122"/>
      <c r="Q1113" s="122"/>
      <c r="R1113" s="122"/>
      <c r="S1113" s="122"/>
      <c r="T1113" s="122"/>
      <c r="U1113" s="122"/>
      <c r="V1113" s="122"/>
    </row>
    <row r="1114" spans="2:22" s="126" customFormat="1">
      <c r="B1114" s="120"/>
      <c r="C1114" s="120"/>
      <c r="D1114" s="121"/>
      <c r="E1114" s="127"/>
      <c r="F1114" s="121"/>
      <c r="G1114" s="121"/>
      <c r="H1114" s="121"/>
      <c r="I1114" s="122"/>
      <c r="J1114" s="122"/>
      <c r="K1114" s="122"/>
      <c r="L1114" s="122"/>
      <c r="M1114" s="122"/>
      <c r="N1114" s="122"/>
      <c r="O1114" s="122"/>
      <c r="P1114" s="122"/>
      <c r="Q1114" s="122"/>
      <c r="R1114" s="122"/>
      <c r="S1114" s="122"/>
      <c r="T1114" s="122"/>
      <c r="U1114" s="122"/>
      <c r="V1114" s="122"/>
    </row>
    <row r="1115" spans="2:22" s="126" customFormat="1">
      <c r="B1115" s="120"/>
      <c r="C1115" s="120"/>
      <c r="D1115" s="121"/>
      <c r="E1115" s="127"/>
      <c r="F1115" s="121"/>
      <c r="G1115" s="121"/>
      <c r="H1115" s="121"/>
      <c r="I1115" s="122"/>
      <c r="J1115" s="122"/>
      <c r="K1115" s="122"/>
      <c r="L1115" s="122"/>
      <c r="M1115" s="122"/>
      <c r="N1115" s="122"/>
      <c r="O1115" s="122"/>
      <c r="P1115" s="122"/>
      <c r="Q1115" s="122"/>
      <c r="R1115" s="122"/>
      <c r="S1115" s="122"/>
      <c r="T1115" s="122"/>
      <c r="U1115" s="122"/>
      <c r="V1115" s="122"/>
    </row>
    <row r="1116" spans="2:22" s="126" customFormat="1">
      <c r="B1116" s="120"/>
      <c r="C1116" s="120"/>
      <c r="D1116" s="121"/>
      <c r="E1116" s="127"/>
      <c r="F1116" s="121"/>
      <c r="G1116" s="121"/>
      <c r="H1116" s="121"/>
      <c r="I1116" s="122"/>
      <c r="J1116" s="122"/>
      <c r="K1116" s="122"/>
      <c r="L1116" s="122"/>
      <c r="M1116" s="122"/>
      <c r="N1116" s="122"/>
      <c r="O1116" s="122"/>
      <c r="P1116" s="122"/>
      <c r="Q1116" s="122"/>
      <c r="R1116" s="122"/>
      <c r="S1116" s="122"/>
      <c r="T1116" s="122"/>
      <c r="U1116" s="122"/>
      <c r="V1116" s="122"/>
    </row>
    <row r="1117" spans="2:22" s="126" customFormat="1">
      <c r="B1117" s="120"/>
      <c r="C1117" s="120"/>
      <c r="D1117" s="121"/>
      <c r="E1117" s="127"/>
      <c r="F1117" s="121"/>
      <c r="G1117" s="121"/>
      <c r="H1117" s="121"/>
      <c r="I1117" s="122"/>
      <c r="J1117" s="122"/>
      <c r="K1117" s="122"/>
      <c r="L1117" s="122"/>
      <c r="M1117" s="122"/>
      <c r="N1117" s="122"/>
      <c r="O1117" s="122"/>
      <c r="P1117" s="122"/>
      <c r="Q1117" s="122"/>
      <c r="R1117" s="122"/>
      <c r="S1117" s="122"/>
      <c r="T1117" s="122"/>
      <c r="U1117" s="122"/>
      <c r="V1117" s="122"/>
    </row>
    <row r="1118" spans="2:22" s="126" customFormat="1">
      <c r="B1118" s="120"/>
      <c r="C1118" s="120"/>
      <c r="D1118" s="121"/>
      <c r="E1118" s="127"/>
      <c r="F1118" s="121"/>
      <c r="G1118" s="121"/>
      <c r="H1118" s="121"/>
      <c r="I1118" s="122"/>
      <c r="J1118" s="122"/>
      <c r="K1118" s="122"/>
      <c r="L1118" s="122"/>
      <c r="M1118" s="122"/>
      <c r="N1118" s="122"/>
      <c r="O1118" s="122"/>
      <c r="P1118" s="122"/>
      <c r="Q1118" s="122"/>
      <c r="R1118" s="122"/>
      <c r="S1118" s="122"/>
      <c r="T1118" s="122"/>
      <c r="U1118" s="122"/>
      <c r="V1118" s="122"/>
    </row>
    <row r="1119" spans="2:22" s="126" customFormat="1">
      <c r="B1119" s="120"/>
      <c r="C1119" s="120"/>
      <c r="D1119" s="121"/>
      <c r="E1119" s="127"/>
      <c r="F1119" s="121"/>
      <c r="G1119" s="121"/>
      <c r="H1119" s="121"/>
      <c r="I1119" s="122"/>
      <c r="J1119" s="122"/>
      <c r="K1119" s="122"/>
      <c r="L1119" s="122"/>
      <c r="M1119" s="122"/>
      <c r="N1119" s="122"/>
      <c r="O1119" s="122"/>
      <c r="P1119" s="122"/>
      <c r="Q1119" s="122"/>
      <c r="R1119" s="122"/>
      <c r="S1119" s="122"/>
      <c r="T1119" s="122"/>
      <c r="U1119" s="122"/>
      <c r="V1119" s="122"/>
    </row>
    <row r="1120" spans="2:22" s="126" customFormat="1">
      <c r="B1120" s="120"/>
      <c r="C1120" s="120"/>
      <c r="D1120" s="121"/>
      <c r="E1120" s="127"/>
      <c r="F1120" s="121"/>
      <c r="G1120" s="121"/>
      <c r="H1120" s="121"/>
      <c r="I1120" s="122"/>
      <c r="J1120" s="122"/>
      <c r="K1120" s="122"/>
      <c r="L1120" s="122"/>
      <c r="M1120" s="122"/>
      <c r="N1120" s="122"/>
      <c r="O1120" s="122"/>
      <c r="P1120" s="122"/>
      <c r="Q1120" s="122"/>
      <c r="R1120" s="122"/>
      <c r="S1120" s="122"/>
      <c r="T1120" s="122"/>
      <c r="U1120" s="122"/>
      <c r="V1120" s="122"/>
    </row>
    <row r="1121" spans="2:22" s="126" customFormat="1">
      <c r="B1121" s="120"/>
      <c r="C1121" s="120"/>
      <c r="D1121" s="121"/>
      <c r="E1121" s="127"/>
      <c r="F1121" s="121"/>
      <c r="G1121" s="121"/>
      <c r="H1121" s="121"/>
      <c r="I1121" s="122"/>
      <c r="J1121" s="122"/>
      <c r="K1121" s="122"/>
      <c r="L1121" s="122"/>
      <c r="M1121" s="122"/>
      <c r="N1121" s="122"/>
      <c r="O1121" s="122"/>
      <c r="P1121" s="122"/>
      <c r="Q1121" s="122"/>
      <c r="R1121" s="122"/>
      <c r="S1121" s="122"/>
      <c r="T1121" s="122"/>
      <c r="U1121" s="122"/>
      <c r="V1121" s="122"/>
    </row>
    <row r="1122" spans="2:22" s="126" customFormat="1">
      <c r="B1122" s="120"/>
      <c r="C1122" s="120"/>
      <c r="D1122" s="121"/>
      <c r="E1122" s="127"/>
      <c r="F1122" s="121"/>
      <c r="G1122" s="121"/>
      <c r="H1122" s="121"/>
      <c r="I1122" s="122"/>
      <c r="J1122" s="122"/>
      <c r="K1122" s="122"/>
      <c r="L1122" s="122"/>
      <c r="M1122" s="122"/>
      <c r="N1122" s="122"/>
      <c r="O1122" s="122"/>
      <c r="P1122" s="122"/>
      <c r="Q1122" s="122"/>
      <c r="R1122" s="122"/>
      <c r="S1122" s="122"/>
      <c r="T1122" s="122"/>
      <c r="U1122" s="122"/>
      <c r="V1122" s="122"/>
    </row>
    <row r="1123" spans="2:22" s="126" customFormat="1">
      <c r="B1123" s="120"/>
      <c r="C1123" s="120"/>
      <c r="D1123" s="121"/>
      <c r="E1123" s="127"/>
      <c r="F1123" s="121"/>
      <c r="G1123" s="121"/>
      <c r="H1123" s="121"/>
      <c r="I1123" s="122"/>
      <c r="J1123" s="122"/>
      <c r="K1123" s="122"/>
      <c r="L1123" s="122"/>
      <c r="M1123" s="122"/>
      <c r="N1123" s="122"/>
      <c r="O1123" s="122"/>
      <c r="P1123" s="122"/>
      <c r="Q1123" s="122"/>
      <c r="R1123" s="122"/>
      <c r="S1123" s="122"/>
      <c r="T1123" s="122"/>
      <c r="U1123" s="122"/>
      <c r="V1123" s="122"/>
    </row>
    <row r="1124" spans="2:22" s="126" customFormat="1">
      <c r="B1124" s="120"/>
      <c r="C1124" s="120"/>
      <c r="D1124" s="121"/>
      <c r="E1124" s="127"/>
      <c r="F1124" s="121"/>
      <c r="G1124" s="121"/>
      <c r="H1124" s="121"/>
      <c r="I1124" s="122"/>
      <c r="J1124" s="122"/>
      <c r="K1124" s="122"/>
      <c r="L1124" s="122"/>
      <c r="M1124" s="122"/>
      <c r="N1124" s="122"/>
      <c r="O1124" s="122"/>
      <c r="P1124" s="122"/>
      <c r="Q1124" s="122"/>
      <c r="R1124" s="122"/>
      <c r="S1124" s="122"/>
      <c r="T1124" s="122"/>
      <c r="U1124" s="122"/>
      <c r="V1124" s="122"/>
    </row>
    <row r="1125" spans="2:22" s="126" customFormat="1">
      <c r="B1125" s="120"/>
      <c r="C1125" s="120"/>
      <c r="D1125" s="121"/>
      <c r="E1125" s="127"/>
      <c r="F1125" s="121"/>
      <c r="G1125" s="121"/>
      <c r="H1125" s="121"/>
      <c r="I1125" s="122"/>
      <c r="J1125" s="122"/>
      <c r="K1125" s="122"/>
      <c r="L1125" s="122"/>
      <c r="M1125" s="122"/>
      <c r="N1125" s="122"/>
      <c r="O1125" s="122"/>
      <c r="P1125" s="122"/>
      <c r="Q1125" s="122"/>
      <c r="R1125" s="122"/>
      <c r="S1125" s="122"/>
      <c r="T1125" s="122"/>
      <c r="U1125" s="122"/>
      <c r="V1125" s="122"/>
    </row>
    <row r="1126" spans="2:22" s="126" customFormat="1">
      <c r="B1126" s="120"/>
      <c r="C1126" s="120"/>
      <c r="D1126" s="121"/>
      <c r="E1126" s="127"/>
      <c r="F1126" s="121"/>
      <c r="G1126" s="121"/>
      <c r="H1126" s="121"/>
      <c r="I1126" s="122"/>
      <c r="J1126" s="122"/>
      <c r="K1126" s="122"/>
      <c r="L1126" s="122"/>
      <c r="M1126" s="122"/>
      <c r="N1126" s="122"/>
      <c r="O1126" s="122"/>
      <c r="P1126" s="122"/>
      <c r="Q1126" s="122"/>
      <c r="R1126" s="122"/>
      <c r="S1126" s="122"/>
      <c r="T1126" s="122"/>
      <c r="U1126" s="122"/>
      <c r="V1126" s="122"/>
    </row>
    <row r="1127" spans="2:22" s="126" customFormat="1">
      <c r="B1127" s="120"/>
      <c r="C1127" s="120"/>
      <c r="D1127" s="121"/>
      <c r="E1127" s="127"/>
      <c r="F1127" s="121"/>
      <c r="G1127" s="121"/>
      <c r="H1127" s="121"/>
      <c r="I1127" s="122"/>
      <c r="J1127" s="122"/>
      <c r="K1127" s="122"/>
      <c r="L1127" s="122"/>
      <c r="M1127" s="122"/>
      <c r="N1127" s="122"/>
      <c r="O1127" s="122"/>
      <c r="P1127" s="122"/>
      <c r="Q1127" s="122"/>
      <c r="R1127" s="122"/>
      <c r="S1127" s="122"/>
      <c r="T1127" s="122"/>
      <c r="U1127" s="122"/>
      <c r="V1127" s="122"/>
    </row>
    <row r="1128" spans="2:22" s="126" customFormat="1">
      <c r="B1128" s="120"/>
      <c r="C1128" s="120"/>
      <c r="D1128" s="121"/>
      <c r="E1128" s="127"/>
      <c r="F1128" s="121"/>
      <c r="G1128" s="121"/>
      <c r="H1128" s="121"/>
      <c r="I1128" s="122"/>
      <c r="J1128" s="122"/>
      <c r="K1128" s="122"/>
      <c r="L1128" s="122"/>
      <c r="M1128" s="122"/>
      <c r="N1128" s="122"/>
      <c r="O1128" s="122"/>
      <c r="P1128" s="122"/>
      <c r="Q1128" s="122"/>
      <c r="R1128" s="122"/>
      <c r="S1128" s="122"/>
      <c r="T1128" s="122"/>
      <c r="U1128" s="122"/>
      <c r="V1128" s="122"/>
    </row>
    <row r="1129" spans="2:22" s="126" customFormat="1">
      <c r="B1129" s="120"/>
      <c r="C1129" s="120"/>
      <c r="D1129" s="121"/>
      <c r="E1129" s="127"/>
      <c r="F1129" s="121"/>
      <c r="G1129" s="121"/>
      <c r="H1129" s="121"/>
      <c r="I1129" s="122"/>
      <c r="J1129" s="122"/>
      <c r="K1129" s="122"/>
      <c r="L1129" s="122"/>
      <c r="M1129" s="122"/>
      <c r="N1129" s="122"/>
      <c r="O1129" s="122"/>
      <c r="P1129" s="122"/>
      <c r="Q1129" s="122"/>
      <c r="R1129" s="122"/>
      <c r="S1129" s="122"/>
      <c r="T1129" s="122"/>
      <c r="U1129" s="122"/>
      <c r="V1129" s="122"/>
    </row>
    <row r="1130" spans="2:22" s="126" customFormat="1">
      <c r="B1130" s="120"/>
      <c r="C1130" s="120"/>
      <c r="D1130" s="121"/>
      <c r="E1130" s="127"/>
      <c r="F1130" s="121"/>
      <c r="G1130" s="121"/>
      <c r="H1130" s="121"/>
      <c r="I1130" s="122"/>
      <c r="J1130" s="122"/>
      <c r="K1130" s="122"/>
      <c r="L1130" s="122"/>
      <c r="M1130" s="122"/>
      <c r="N1130" s="122"/>
      <c r="O1130" s="122"/>
      <c r="P1130" s="122"/>
      <c r="Q1130" s="122"/>
      <c r="R1130" s="122"/>
      <c r="S1130" s="122"/>
      <c r="T1130" s="122"/>
      <c r="U1130" s="122"/>
      <c r="V1130" s="122"/>
    </row>
    <row r="1131" spans="2:22" s="126" customFormat="1">
      <c r="B1131" s="120"/>
      <c r="C1131" s="120"/>
      <c r="D1131" s="121"/>
      <c r="E1131" s="127"/>
      <c r="F1131" s="121"/>
      <c r="G1131" s="121"/>
      <c r="H1131" s="121"/>
      <c r="I1131" s="122"/>
      <c r="J1131" s="122"/>
      <c r="K1131" s="122"/>
      <c r="L1131" s="122"/>
      <c r="M1131" s="122"/>
      <c r="N1131" s="122"/>
      <c r="O1131" s="122"/>
      <c r="P1131" s="122"/>
      <c r="Q1131" s="122"/>
      <c r="R1131" s="122"/>
      <c r="S1131" s="122"/>
      <c r="T1131" s="122"/>
      <c r="U1131" s="122"/>
      <c r="V1131" s="122"/>
    </row>
    <row r="1132" spans="2:22" s="126" customFormat="1">
      <c r="B1132" s="120"/>
      <c r="C1132" s="120"/>
      <c r="D1132" s="121"/>
      <c r="E1132" s="127"/>
      <c r="F1132" s="121"/>
      <c r="G1132" s="121"/>
      <c r="H1132" s="121"/>
      <c r="I1132" s="122"/>
      <c r="J1132" s="122"/>
      <c r="K1132" s="122"/>
      <c r="L1132" s="122"/>
      <c r="M1132" s="122"/>
      <c r="N1132" s="122"/>
      <c r="O1132" s="122"/>
      <c r="P1132" s="122"/>
      <c r="Q1132" s="122"/>
      <c r="R1132" s="122"/>
      <c r="S1132" s="122"/>
      <c r="T1132" s="122"/>
      <c r="U1132" s="122"/>
      <c r="V1132" s="122"/>
    </row>
    <row r="1133" spans="2:22" s="126" customFormat="1">
      <c r="B1133" s="120"/>
      <c r="C1133" s="120"/>
      <c r="D1133" s="121"/>
      <c r="E1133" s="127"/>
      <c r="F1133" s="121"/>
      <c r="G1133" s="121"/>
      <c r="H1133" s="121"/>
      <c r="I1133" s="122"/>
      <c r="J1133" s="122"/>
      <c r="K1133" s="122"/>
      <c r="L1133" s="122"/>
      <c r="M1133" s="122"/>
      <c r="N1133" s="122"/>
      <c r="O1133" s="122"/>
      <c r="P1133" s="122"/>
      <c r="Q1133" s="122"/>
      <c r="R1133" s="122"/>
      <c r="S1133" s="122"/>
      <c r="T1133" s="122"/>
      <c r="U1133" s="122"/>
      <c r="V1133" s="122"/>
    </row>
    <row r="1134" spans="2:22" s="126" customFormat="1">
      <c r="B1134" s="120"/>
      <c r="C1134" s="120"/>
      <c r="D1134" s="121"/>
      <c r="E1134" s="127"/>
      <c r="F1134" s="121"/>
      <c r="G1134" s="121"/>
      <c r="H1134" s="121"/>
      <c r="I1134" s="122"/>
      <c r="J1134" s="122"/>
      <c r="K1134" s="122"/>
      <c r="L1134" s="122"/>
      <c r="M1134" s="122"/>
      <c r="N1134" s="122"/>
      <c r="O1134" s="122"/>
      <c r="P1134" s="122"/>
      <c r="Q1134" s="122"/>
      <c r="R1134" s="122"/>
      <c r="S1134" s="122"/>
      <c r="T1134" s="122"/>
      <c r="U1134" s="122"/>
      <c r="V1134" s="122"/>
    </row>
    <row r="1135" spans="2:22" s="126" customFormat="1">
      <c r="B1135" s="120"/>
      <c r="C1135" s="120"/>
      <c r="D1135" s="121"/>
      <c r="E1135" s="127"/>
      <c r="F1135" s="121"/>
      <c r="G1135" s="121"/>
      <c r="H1135" s="121"/>
      <c r="I1135" s="122"/>
      <c r="J1135" s="122"/>
      <c r="K1135" s="122"/>
      <c r="L1135" s="122"/>
      <c r="M1135" s="122"/>
      <c r="N1135" s="122"/>
      <c r="O1135" s="122"/>
      <c r="P1135" s="122"/>
      <c r="Q1135" s="122"/>
      <c r="R1135" s="122"/>
      <c r="S1135" s="122"/>
      <c r="T1135" s="122"/>
      <c r="U1135" s="122"/>
      <c r="V1135" s="122"/>
    </row>
    <row r="1136" spans="2:22" s="126" customFormat="1">
      <c r="B1136" s="120"/>
      <c r="C1136" s="120"/>
      <c r="D1136" s="121"/>
      <c r="E1136" s="127"/>
      <c r="F1136" s="121"/>
      <c r="G1136" s="121"/>
      <c r="H1136" s="121"/>
      <c r="I1136" s="122"/>
      <c r="J1136" s="122"/>
      <c r="K1136" s="122"/>
      <c r="L1136" s="122"/>
      <c r="M1136" s="122"/>
      <c r="N1136" s="122"/>
      <c r="O1136" s="122"/>
      <c r="P1136" s="122"/>
      <c r="Q1136" s="122"/>
      <c r="R1136" s="122"/>
      <c r="S1136" s="122"/>
      <c r="T1136" s="122"/>
      <c r="U1136" s="122"/>
      <c r="V1136" s="122"/>
    </row>
    <row r="1137" spans="2:22" s="126" customFormat="1">
      <c r="B1137" s="120"/>
      <c r="C1137" s="120"/>
      <c r="D1137" s="121"/>
      <c r="E1137" s="127"/>
      <c r="F1137" s="121"/>
      <c r="G1137" s="121"/>
      <c r="H1137" s="121"/>
      <c r="I1137" s="122"/>
      <c r="J1137" s="122"/>
      <c r="K1137" s="122"/>
      <c r="L1137" s="122"/>
      <c r="M1137" s="122"/>
      <c r="N1137" s="122"/>
      <c r="O1137" s="122"/>
      <c r="P1137" s="122"/>
      <c r="Q1137" s="122"/>
      <c r="R1137" s="122"/>
      <c r="S1137" s="122"/>
      <c r="T1137" s="122"/>
      <c r="U1137" s="122"/>
      <c r="V1137" s="122"/>
    </row>
    <row r="1138" spans="2:22" s="126" customFormat="1">
      <c r="B1138" s="120"/>
      <c r="C1138" s="120"/>
      <c r="D1138" s="121"/>
      <c r="E1138" s="127"/>
      <c r="F1138" s="121"/>
      <c r="G1138" s="121"/>
      <c r="H1138" s="121"/>
      <c r="I1138" s="122"/>
      <c r="J1138" s="122"/>
      <c r="K1138" s="122"/>
      <c r="L1138" s="122"/>
      <c r="M1138" s="122"/>
      <c r="N1138" s="122"/>
      <c r="O1138" s="122"/>
      <c r="P1138" s="122"/>
      <c r="Q1138" s="122"/>
      <c r="R1138" s="122"/>
      <c r="S1138" s="122"/>
      <c r="T1138" s="122"/>
      <c r="U1138" s="122"/>
      <c r="V1138" s="122"/>
    </row>
    <row r="1139" spans="2:22" s="126" customFormat="1">
      <c r="B1139" s="120"/>
      <c r="C1139" s="120"/>
      <c r="D1139" s="121"/>
      <c r="E1139" s="127"/>
      <c r="F1139" s="121"/>
      <c r="G1139" s="121"/>
      <c r="H1139" s="121"/>
      <c r="I1139" s="122"/>
      <c r="J1139" s="122"/>
      <c r="K1139" s="122"/>
      <c r="L1139" s="122"/>
      <c r="M1139" s="122"/>
      <c r="N1139" s="122"/>
      <c r="O1139" s="122"/>
      <c r="P1139" s="122"/>
      <c r="Q1139" s="122"/>
      <c r="R1139" s="122"/>
      <c r="S1139" s="122"/>
      <c r="T1139" s="122"/>
      <c r="U1139" s="122"/>
      <c r="V1139" s="122"/>
    </row>
    <row r="1140" spans="2:22" s="126" customFormat="1">
      <c r="B1140" s="120"/>
      <c r="C1140" s="120"/>
      <c r="D1140" s="121"/>
      <c r="E1140" s="127"/>
      <c r="F1140" s="121"/>
      <c r="G1140" s="121"/>
      <c r="H1140" s="121"/>
      <c r="I1140" s="122"/>
      <c r="J1140" s="122"/>
      <c r="K1140" s="122"/>
      <c r="L1140" s="122"/>
      <c r="M1140" s="122"/>
      <c r="N1140" s="122"/>
      <c r="O1140" s="122"/>
      <c r="P1140" s="122"/>
      <c r="Q1140" s="122"/>
      <c r="R1140" s="122"/>
      <c r="S1140" s="122"/>
      <c r="T1140" s="122"/>
      <c r="U1140" s="122"/>
      <c r="V1140" s="122"/>
    </row>
    <row r="1141" spans="2:22" s="126" customFormat="1">
      <c r="B1141" s="120"/>
      <c r="C1141" s="120"/>
      <c r="D1141" s="121"/>
      <c r="E1141" s="127"/>
      <c r="F1141" s="121"/>
      <c r="G1141" s="121"/>
      <c r="H1141" s="121"/>
      <c r="I1141" s="122"/>
      <c r="J1141" s="122"/>
      <c r="K1141" s="122"/>
      <c r="L1141" s="122"/>
      <c r="M1141" s="122"/>
      <c r="N1141" s="122"/>
      <c r="O1141" s="122"/>
      <c r="P1141" s="122"/>
      <c r="Q1141" s="122"/>
      <c r="R1141" s="122"/>
      <c r="S1141" s="122"/>
      <c r="T1141" s="122"/>
      <c r="U1141" s="122"/>
      <c r="V1141" s="122"/>
    </row>
    <row r="1142" spans="2:22" s="126" customFormat="1">
      <c r="B1142" s="120"/>
      <c r="C1142" s="120"/>
      <c r="D1142" s="121"/>
      <c r="E1142" s="127"/>
      <c r="F1142" s="121"/>
      <c r="G1142" s="121"/>
      <c r="H1142" s="121"/>
      <c r="I1142" s="122"/>
      <c r="J1142" s="122"/>
      <c r="K1142" s="122"/>
      <c r="L1142" s="122"/>
      <c r="M1142" s="122"/>
      <c r="N1142" s="122"/>
      <c r="O1142" s="122"/>
      <c r="P1142" s="122"/>
      <c r="Q1142" s="122"/>
      <c r="R1142" s="122"/>
      <c r="S1142" s="122"/>
      <c r="T1142" s="122"/>
      <c r="U1142" s="122"/>
      <c r="V1142" s="122"/>
    </row>
    <row r="1143" spans="2:22" s="126" customFormat="1">
      <c r="B1143" s="120"/>
      <c r="C1143" s="120"/>
      <c r="D1143" s="121"/>
      <c r="E1143" s="127"/>
      <c r="F1143" s="121"/>
      <c r="G1143" s="121"/>
      <c r="H1143" s="121"/>
      <c r="I1143" s="122"/>
      <c r="J1143" s="122"/>
      <c r="K1143" s="122"/>
      <c r="L1143" s="122"/>
      <c r="M1143" s="122"/>
      <c r="N1143" s="122"/>
      <c r="O1143" s="122"/>
      <c r="P1143" s="122"/>
      <c r="Q1143" s="122"/>
      <c r="R1143" s="122"/>
      <c r="S1143" s="122"/>
      <c r="T1143" s="122"/>
      <c r="U1143" s="122"/>
      <c r="V1143" s="122"/>
    </row>
    <row r="1144" spans="2:22" s="126" customFormat="1">
      <c r="B1144" s="120"/>
      <c r="C1144" s="120"/>
      <c r="D1144" s="121"/>
      <c r="E1144" s="127"/>
      <c r="F1144" s="121"/>
      <c r="G1144" s="121"/>
      <c r="H1144" s="121"/>
      <c r="I1144" s="122"/>
      <c r="J1144" s="122"/>
      <c r="K1144" s="122"/>
      <c r="L1144" s="122"/>
      <c r="M1144" s="122"/>
      <c r="N1144" s="122"/>
      <c r="O1144" s="122"/>
      <c r="P1144" s="122"/>
      <c r="Q1144" s="122"/>
      <c r="R1144" s="122"/>
      <c r="S1144" s="122"/>
      <c r="T1144" s="122"/>
      <c r="U1144" s="122"/>
      <c r="V1144" s="122"/>
    </row>
    <row r="1145" spans="2:22" s="126" customFormat="1">
      <c r="B1145" s="120"/>
      <c r="C1145" s="120"/>
      <c r="D1145" s="121"/>
      <c r="E1145" s="127"/>
      <c r="F1145" s="121"/>
      <c r="G1145" s="121"/>
      <c r="H1145" s="121"/>
      <c r="I1145" s="122"/>
      <c r="J1145" s="122"/>
      <c r="K1145" s="122"/>
      <c r="L1145" s="122"/>
      <c r="M1145" s="122"/>
      <c r="N1145" s="122"/>
      <c r="O1145" s="122"/>
      <c r="P1145" s="122"/>
      <c r="Q1145" s="122"/>
      <c r="R1145" s="122"/>
      <c r="S1145" s="122"/>
      <c r="T1145" s="122"/>
      <c r="U1145" s="122"/>
      <c r="V1145" s="122"/>
    </row>
    <row r="1146" spans="2:22" s="126" customFormat="1">
      <c r="B1146" s="120"/>
      <c r="C1146" s="120"/>
      <c r="D1146" s="121"/>
      <c r="E1146" s="127"/>
      <c r="F1146" s="121"/>
      <c r="G1146" s="121"/>
      <c r="H1146" s="121"/>
      <c r="I1146" s="122"/>
      <c r="J1146" s="122"/>
      <c r="K1146" s="122"/>
      <c r="L1146" s="122"/>
      <c r="M1146" s="122"/>
      <c r="N1146" s="122"/>
      <c r="O1146" s="122"/>
      <c r="P1146" s="122"/>
      <c r="Q1146" s="122"/>
      <c r="R1146" s="122"/>
      <c r="S1146" s="122"/>
      <c r="T1146" s="122"/>
      <c r="U1146" s="122"/>
      <c r="V1146" s="122"/>
    </row>
    <row r="1147" spans="2:22" s="126" customFormat="1">
      <c r="B1147" s="120"/>
      <c r="C1147" s="120"/>
      <c r="D1147" s="121"/>
      <c r="E1147" s="127"/>
      <c r="F1147" s="121"/>
      <c r="G1147" s="121"/>
      <c r="H1147" s="121"/>
      <c r="I1147" s="122"/>
      <c r="J1147" s="122"/>
      <c r="K1147" s="122"/>
      <c r="L1147" s="122"/>
      <c r="M1147" s="122"/>
      <c r="N1147" s="122"/>
      <c r="O1147" s="122"/>
      <c r="P1147" s="122"/>
      <c r="Q1147" s="122"/>
      <c r="R1147" s="122"/>
      <c r="S1147" s="122"/>
      <c r="T1147" s="122"/>
      <c r="U1147" s="122"/>
      <c r="V1147" s="122"/>
    </row>
    <row r="1148" spans="2:22" s="126" customFormat="1">
      <c r="B1148" s="120"/>
      <c r="C1148" s="120"/>
      <c r="D1148" s="121"/>
      <c r="E1148" s="127"/>
      <c r="F1148" s="121"/>
      <c r="G1148" s="121"/>
      <c r="H1148" s="121"/>
      <c r="I1148" s="122"/>
      <c r="J1148" s="122"/>
      <c r="K1148" s="122"/>
      <c r="L1148" s="122"/>
      <c r="M1148" s="122"/>
      <c r="N1148" s="122"/>
      <c r="O1148" s="122"/>
      <c r="P1148" s="122"/>
      <c r="Q1148" s="122"/>
      <c r="R1148" s="122"/>
      <c r="S1148" s="122"/>
      <c r="T1148" s="122"/>
      <c r="U1148" s="122"/>
      <c r="V1148" s="122"/>
    </row>
    <row r="1149" spans="2:22" s="126" customFormat="1">
      <c r="B1149" s="120"/>
      <c r="C1149" s="120"/>
      <c r="D1149" s="121"/>
      <c r="E1149" s="127"/>
      <c r="F1149" s="121"/>
      <c r="G1149" s="121"/>
      <c r="H1149" s="121"/>
      <c r="I1149" s="122"/>
      <c r="J1149" s="122"/>
      <c r="K1149" s="122"/>
      <c r="L1149" s="122"/>
      <c r="M1149" s="122"/>
      <c r="N1149" s="122"/>
      <c r="O1149" s="122"/>
      <c r="P1149" s="122"/>
      <c r="Q1149" s="122"/>
      <c r="R1149" s="122"/>
      <c r="S1149" s="122"/>
      <c r="T1149" s="122"/>
      <c r="U1149" s="122"/>
      <c r="V1149" s="122"/>
    </row>
    <row r="1150" spans="2:22" s="126" customFormat="1">
      <c r="B1150" s="120"/>
      <c r="C1150" s="120"/>
      <c r="D1150" s="121"/>
      <c r="E1150" s="127"/>
      <c r="F1150" s="121"/>
      <c r="G1150" s="121"/>
      <c r="H1150" s="121"/>
      <c r="I1150" s="122"/>
      <c r="J1150" s="122"/>
      <c r="K1150" s="122"/>
      <c r="L1150" s="122"/>
      <c r="M1150" s="122"/>
      <c r="N1150" s="122"/>
      <c r="O1150" s="122"/>
      <c r="P1150" s="122"/>
      <c r="Q1150" s="122"/>
      <c r="R1150" s="122"/>
      <c r="S1150" s="122"/>
      <c r="T1150" s="122"/>
      <c r="U1150" s="122"/>
      <c r="V1150" s="122"/>
    </row>
    <row r="1151" spans="2:22" s="126" customFormat="1">
      <c r="B1151" s="120"/>
      <c r="C1151" s="120"/>
      <c r="D1151" s="121"/>
      <c r="E1151" s="127"/>
      <c r="F1151" s="121"/>
      <c r="G1151" s="121"/>
      <c r="H1151" s="121"/>
      <c r="I1151" s="122"/>
      <c r="J1151" s="122"/>
      <c r="K1151" s="122"/>
      <c r="L1151" s="122"/>
      <c r="M1151" s="122"/>
      <c r="N1151" s="122"/>
      <c r="O1151" s="122"/>
      <c r="P1151" s="122"/>
      <c r="Q1151" s="122"/>
      <c r="R1151" s="122"/>
      <c r="S1151" s="122"/>
      <c r="T1151" s="122"/>
      <c r="U1151" s="122"/>
      <c r="V1151" s="122"/>
    </row>
    <row r="1152" spans="2:22" s="126" customFormat="1">
      <c r="B1152" s="120"/>
      <c r="C1152" s="120"/>
      <c r="D1152" s="121"/>
      <c r="E1152" s="127"/>
      <c r="F1152" s="121"/>
      <c r="G1152" s="121"/>
      <c r="H1152" s="121"/>
      <c r="I1152" s="122"/>
      <c r="J1152" s="122"/>
      <c r="K1152" s="122"/>
      <c r="L1152" s="122"/>
      <c r="M1152" s="122"/>
      <c r="N1152" s="122"/>
      <c r="O1152" s="122"/>
      <c r="P1152" s="122"/>
      <c r="Q1152" s="122"/>
      <c r="R1152" s="122"/>
      <c r="S1152" s="122"/>
      <c r="T1152" s="122"/>
      <c r="U1152" s="122"/>
      <c r="V1152" s="122"/>
    </row>
    <row r="1153" spans="2:22" s="126" customFormat="1">
      <c r="B1153" s="120"/>
      <c r="C1153" s="120"/>
      <c r="D1153" s="121"/>
      <c r="E1153" s="127"/>
      <c r="F1153" s="121"/>
      <c r="G1153" s="121"/>
      <c r="H1153" s="121"/>
      <c r="I1153" s="122"/>
      <c r="J1153" s="122"/>
      <c r="K1153" s="122"/>
      <c r="L1153" s="122"/>
      <c r="M1153" s="122"/>
      <c r="N1153" s="122"/>
      <c r="O1153" s="122"/>
      <c r="P1153" s="122"/>
      <c r="Q1153" s="122"/>
      <c r="R1153" s="122"/>
      <c r="S1153" s="122"/>
      <c r="T1153" s="122"/>
      <c r="U1153" s="122"/>
      <c r="V1153" s="122"/>
    </row>
    <row r="1154" spans="2:22" s="126" customFormat="1">
      <c r="B1154" s="120"/>
      <c r="C1154" s="120"/>
      <c r="D1154" s="121"/>
      <c r="E1154" s="127"/>
      <c r="F1154" s="121"/>
      <c r="G1154" s="121"/>
      <c r="H1154" s="121"/>
      <c r="I1154" s="122"/>
      <c r="J1154" s="122"/>
      <c r="K1154" s="122"/>
      <c r="L1154" s="122"/>
      <c r="M1154" s="122"/>
      <c r="N1154" s="122"/>
      <c r="O1154" s="122"/>
      <c r="P1154" s="122"/>
      <c r="Q1154" s="122"/>
      <c r="R1154" s="122"/>
      <c r="S1154" s="122"/>
      <c r="T1154" s="122"/>
      <c r="U1154" s="122"/>
      <c r="V1154" s="122"/>
    </row>
    <row r="1155" spans="2:22" s="126" customFormat="1">
      <c r="B1155" s="120"/>
      <c r="C1155" s="120"/>
      <c r="D1155" s="121"/>
      <c r="E1155" s="127"/>
      <c r="F1155" s="121"/>
      <c r="G1155" s="121"/>
      <c r="H1155" s="121"/>
      <c r="I1155" s="122"/>
      <c r="J1155" s="122"/>
      <c r="K1155" s="122"/>
      <c r="L1155" s="122"/>
      <c r="M1155" s="122"/>
      <c r="N1155" s="122"/>
      <c r="O1155" s="122"/>
      <c r="P1155" s="122"/>
      <c r="Q1155" s="122"/>
      <c r="R1155" s="122"/>
      <c r="S1155" s="122"/>
      <c r="T1155" s="122"/>
      <c r="U1155" s="122"/>
      <c r="V1155" s="122"/>
    </row>
    <row r="1156" spans="2:22" s="126" customFormat="1">
      <c r="B1156" s="120"/>
      <c r="C1156" s="120"/>
      <c r="D1156" s="121"/>
      <c r="E1156" s="127"/>
      <c r="F1156" s="121"/>
      <c r="G1156" s="121"/>
      <c r="H1156" s="121"/>
      <c r="I1156" s="122"/>
      <c r="J1156" s="122"/>
      <c r="K1156" s="122"/>
      <c r="L1156" s="122"/>
      <c r="M1156" s="122"/>
      <c r="N1156" s="122"/>
      <c r="O1156" s="122"/>
      <c r="P1156" s="122"/>
      <c r="Q1156" s="122"/>
      <c r="R1156" s="122"/>
      <c r="S1156" s="122"/>
      <c r="T1156" s="122"/>
      <c r="U1156" s="122"/>
      <c r="V1156" s="122"/>
    </row>
    <row r="1157" spans="2:22" s="126" customFormat="1">
      <c r="B1157" s="120"/>
      <c r="C1157" s="120"/>
      <c r="D1157" s="121"/>
      <c r="E1157" s="127"/>
      <c r="F1157" s="121"/>
      <c r="G1157" s="121"/>
      <c r="H1157" s="121"/>
      <c r="I1157" s="122"/>
      <c r="J1157" s="122"/>
      <c r="K1157" s="122"/>
      <c r="L1157" s="122"/>
      <c r="M1157" s="122"/>
      <c r="N1157" s="122"/>
      <c r="O1157" s="122"/>
      <c r="P1157" s="122"/>
      <c r="Q1157" s="122"/>
      <c r="R1157" s="122"/>
      <c r="S1157" s="122"/>
      <c r="T1157" s="122"/>
      <c r="U1157" s="122"/>
      <c r="V1157" s="122"/>
    </row>
    <row r="1158" spans="2:22" s="126" customFormat="1">
      <c r="B1158" s="120"/>
      <c r="C1158" s="120"/>
      <c r="D1158" s="121"/>
      <c r="E1158" s="127"/>
      <c r="F1158" s="121"/>
      <c r="G1158" s="121"/>
      <c r="H1158" s="121"/>
      <c r="I1158" s="122"/>
      <c r="J1158" s="122"/>
      <c r="K1158" s="122"/>
      <c r="L1158" s="122"/>
      <c r="M1158" s="122"/>
      <c r="N1158" s="122"/>
      <c r="O1158" s="122"/>
      <c r="P1158" s="122"/>
      <c r="Q1158" s="122"/>
      <c r="R1158" s="122"/>
      <c r="S1158" s="122"/>
      <c r="T1158" s="122"/>
      <c r="U1158" s="122"/>
      <c r="V1158" s="122"/>
    </row>
    <row r="1159" spans="2:22" s="126" customFormat="1">
      <c r="B1159" s="120"/>
      <c r="C1159" s="120"/>
      <c r="D1159" s="121"/>
      <c r="E1159" s="127"/>
      <c r="F1159" s="121"/>
      <c r="G1159" s="121"/>
      <c r="H1159" s="121"/>
      <c r="I1159" s="122"/>
      <c r="J1159" s="122"/>
      <c r="K1159" s="122"/>
      <c r="L1159" s="122"/>
      <c r="M1159" s="122"/>
      <c r="N1159" s="122"/>
      <c r="O1159" s="122"/>
      <c r="P1159" s="122"/>
      <c r="Q1159" s="122"/>
      <c r="R1159" s="122"/>
      <c r="S1159" s="122"/>
      <c r="T1159" s="122"/>
      <c r="U1159" s="122"/>
      <c r="V1159" s="122"/>
    </row>
    <row r="1160" spans="2:22" s="126" customFormat="1">
      <c r="B1160" s="120"/>
      <c r="C1160" s="120"/>
      <c r="D1160" s="121"/>
      <c r="E1160" s="127"/>
      <c r="F1160" s="121"/>
      <c r="G1160" s="121"/>
      <c r="H1160" s="121"/>
      <c r="I1160" s="122"/>
      <c r="J1160" s="122"/>
      <c r="K1160" s="122"/>
      <c r="L1160" s="122"/>
      <c r="M1160" s="122"/>
      <c r="N1160" s="122"/>
      <c r="O1160" s="122"/>
      <c r="P1160" s="122"/>
      <c r="Q1160" s="122"/>
      <c r="R1160" s="122"/>
      <c r="S1160" s="122"/>
      <c r="T1160" s="122"/>
      <c r="U1160" s="122"/>
      <c r="V1160" s="122"/>
    </row>
    <row r="1161" spans="2:22" s="126" customFormat="1">
      <c r="B1161" s="120"/>
      <c r="C1161" s="120"/>
      <c r="D1161" s="121"/>
      <c r="E1161" s="127"/>
      <c r="F1161" s="121"/>
      <c r="G1161" s="121"/>
      <c r="H1161" s="121"/>
      <c r="I1161" s="122"/>
      <c r="J1161" s="122"/>
      <c r="K1161" s="122"/>
      <c r="L1161" s="122"/>
      <c r="M1161" s="122"/>
      <c r="N1161" s="122"/>
      <c r="O1161" s="122"/>
      <c r="P1161" s="122"/>
      <c r="Q1161" s="122"/>
      <c r="R1161" s="122"/>
      <c r="S1161" s="122"/>
      <c r="T1161" s="122"/>
      <c r="U1161" s="122"/>
      <c r="V1161" s="122"/>
    </row>
    <row r="1162" spans="2:22" s="126" customFormat="1">
      <c r="B1162" s="120"/>
      <c r="C1162" s="120"/>
      <c r="D1162" s="121"/>
      <c r="E1162" s="127"/>
      <c r="F1162" s="121"/>
      <c r="G1162" s="121"/>
      <c r="H1162" s="121"/>
      <c r="I1162" s="122"/>
      <c r="J1162" s="122"/>
      <c r="K1162" s="122"/>
      <c r="L1162" s="122"/>
      <c r="M1162" s="122"/>
      <c r="N1162" s="122"/>
      <c r="O1162" s="122"/>
      <c r="P1162" s="122"/>
      <c r="Q1162" s="122"/>
      <c r="R1162" s="122"/>
      <c r="S1162" s="122"/>
      <c r="T1162" s="122"/>
      <c r="U1162" s="122"/>
      <c r="V1162" s="122"/>
    </row>
    <row r="1163" spans="2:22" s="126" customFormat="1">
      <c r="B1163" s="120"/>
      <c r="C1163" s="120"/>
      <c r="D1163" s="121"/>
      <c r="E1163" s="127"/>
      <c r="F1163" s="121"/>
      <c r="G1163" s="121"/>
      <c r="H1163" s="121"/>
      <c r="I1163" s="122"/>
      <c r="J1163" s="122"/>
      <c r="K1163" s="122"/>
      <c r="L1163" s="122"/>
      <c r="M1163" s="122"/>
      <c r="N1163" s="122"/>
      <c r="O1163" s="122"/>
      <c r="P1163" s="122"/>
      <c r="Q1163" s="122"/>
      <c r="R1163" s="122"/>
      <c r="S1163" s="122"/>
      <c r="T1163" s="122"/>
      <c r="U1163" s="122"/>
      <c r="V1163" s="122"/>
    </row>
    <row r="1164" spans="2:22" s="126" customFormat="1">
      <c r="B1164" s="120"/>
      <c r="C1164" s="120"/>
      <c r="D1164" s="121"/>
      <c r="E1164" s="127"/>
      <c r="F1164" s="121"/>
      <c r="G1164" s="121"/>
      <c r="H1164" s="121"/>
      <c r="I1164" s="122"/>
      <c r="J1164" s="122"/>
      <c r="K1164" s="122"/>
      <c r="L1164" s="122"/>
      <c r="M1164" s="122"/>
      <c r="N1164" s="122"/>
      <c r="O1164" s="122"/>
      <c r="P1164" s="122"/>
      <c r="Q1164" s="122"/>
      <c r="R1164" s="122"/>
      <c r="S1164" s="122"/>
      <c r="T1164" s="122"/>
      <c r="U1164" s="122"/>
      <c r="V1164" s="122"/>
    </row>
    <row r="1165" spans="2:22" s="126" customFormat="1">
      <c r="B1165" s="120"/>
      <c r="C1165" s="120"/>
      <c r="D1165" s="121"/>
      <c r="E1165" s="127"/>
      <c r="F1165" s="121"/>
      <c r="G1165" s="121"/>
      <c r="H1165" s="121"/>
      <c r="I1165" s="122"/>
      <c r="J1165" s="122"/>
      <c r="K1165" s="122"/>
      <c r="L1165" s="122"/>
      <c r="M1165" s="122"/>
      <c r="N1165" s="122"/>
      <c r="O1165" s="122"/>
      <c r="P1165" s="122"/>
      <c r="Q1165" s="122"/>
      <c r="R1165" s="122"/>
      <c r="S1165" s="122"/>
      <c r="T1165" s="122"/>
      <c r="U1165" s="122"/>
      <c r="V1165" s="122"/>
    </row>
    <row r="1166" spans="2:22" s="126" customFormat="1">
      <c r="B1166" s="120"/>
      <c r="C1166" s="120"/>
      <c r="D1166" s="121"/>
      <c r="E1166" s="127"/>
      <c r="F1166" s="121"/>
      <c r="G1166" s="121"/>
      <c r="H1166" s="121"/>
      <c r="I1166" s="122"/>
      <c r="J1166" s="122"/>
      <c r="K1166" s="122"/>
      <c r="L1166" s="122"/>
      <c r="M1166" s="122"/>
      <c r="N1166" s="122"/>
      <c r="O1166" s="122"/>
      <c r="P1166" s="122"/>
      <c r="Q1166" s="122"/>
      <c r="R1166" s="122"/>
      <c r="S1166" s="122"/>
      <c r="T1166" s="122"/>
      <c r="U1166" s="122"/>
      <c r="V1166" s="122"/>
    </row>
    <row r="1167" spans="2:22" s="126" customFormat="1">
      <c r="B1167" s="120"/>
      <c r="C1167" s="120"/>
      <c r="D1167" s="121"/>
      <c r="E1167" s="127"/>
      <c r="F1167" s="121"/>
      <c r="G1167" s="121"/>
      <c r="H1167" s="121"/>
      <c r="I1167" s="122"/>
      <c r="J1167" s="122"/>
      <c r="K1167" s="122"/>
      <c r="L1167" s="122"/>
      <c r="M1167" s="122"/>
      <c r="N1167" s="122"/>
      <c r="O1167" s="122"/>
      <c r="P1167" s="122"/>
      <c r="Q1167" s="122"/>
      <c r="R1167" s="122"/>
      <c r="S1167" s="122"/>
      <c r="T1167" s="122"/>
      <c r="U1167" s="122"/>
      <c r="V1167" s="122"/>
    </row>
    <row r="1168" spans="2:22" s="126" customFormat="1">
      <c r="B1168" s="120"/>
      <c r="C1168" s="120"/>
      <c r="D1168" s="121"/>
      <c r="E1168" s="127"/>
      <c r="F1168" s="121"/>
      <c r="G1168" s="121"/>
      <c r="H1168" s="121"/>
      <c r="I1168" s="122"/>
      <c r="J1168" s="122"/>
      <c r="K1168" s="122"/>
      <c r="L1168" s="122"/>
      <c r="M1168" s="122"/>
      <c r="N1168" s="122"/>
      <c r="O1168" s="122"/>
      <c r="P1168" s="122"/>
      <c r="Q1168" s="122"/>
      <c r="R1168" s="122"/>
      <c r="S1168" s="122"/>
      <c r="T1168" s="122"/>
      <c r="U1168" s="122"/>
      <c r="V1168" s="122"/>
    </row>
    <row r="1169" spans="2:22" s="126" customFormat="1">
      <c r="B1169" s="120"/>
      <c r="C1169" s="120"/>
      <c r="D1169" s="121"/>
      <c r="E1169" s="127"/>
      <c r="F1169" s="121"/>
      <c r="G1169" s="121"/>
      <c r="H1169" s="121"/>
      <c r="I1169" s="122"/>
      <c r="J1169" s="122"/>
      <c r="K1169" s="122"/>
      <c r="L1169" s="122"/>
      <c r="M1169" s="122"/>
      <c r="N1169" s="122"/>
      <c r="O1169" s="122"/>
      <c r="P1169" s="122"/>
      <c r="Q1169" s="122"/>
      <c r="R1169" s="122"/>
      <c r="S1169" s="122"/>
      <c r="T1169" s="122"/>
      <c r="U1169" s="122"/>
      <c r="V1169" s="122"/>
    </row>
    <row r="1170" spans="2:22" s="126" customFormat="1">
      <c r="B1170" s="120"/>
      <c r="C1170" s="120"/>
      <c r="D1170" s="121"/>
      <c r="E1170" s="127"/>
      <c r="F1170" s="121"/>
      <c r="G1170" s="121"/>
      <c r="H1170" s="121"/>
      <c r="I1170" s="122"/>
      <c r="J1170" s="122"/>
      <c r="K1170" s="122"/>
      <c r="L1170" s="122"/>
      <c r="M1170" s="122"/>
      <c r="N1170" s="122"/>
      <c r="O1170" s="122"/>
      <c r="P1170" s="122"/>
      <c r="Q1170" s="122"/>
      <c r="R1170" s="122"/>
      <c r="S1170" s="122"/>
      <c r="T1170" s="122"/>
      <c r="U1170" s="122"/>
      <c r="V1170" s="122"/>
    </row>
    <row r="1171" spans="2:22" s="126" customFormat="1">
      <c r="B1171" s="120"/>
      <c r="C1171" s="120"/>
      <c r="D1171" s="121"/>
      <c r="E1171" s="127"/>
      <c r="F1171" s="121"/>
      <c r="G1171" s="121"/>
      <c r="H1171" s="121"/>
      <c r="I1171" s="122"/>
      <c r="J1171" s="122"/>
      <c r="K1171" s="122"/>
      <c r="L1171" s="122"/>
      <c r="M1171" s="122"/>
      <c r="N1171" s="122"/>
      <c r="O1171" s="122"/>
      <c r="P1171" s="122"/>
      <c r="Q1171" s="122"/>
      <c r="R1171" s="122"/>
      <c r="S1171" s="122"/>
      <c r="T1171" s="122"/>
      <c r="U1171" s="122"/>
      <c r="V1171" s="122"/>
    </row>
    <row r="1172" spans="2:22" s="126" customFormat="1">
      <c r="B1172" s="120"/>
      <c r="C1172" s="120"/>
      <c r="D1172" s="121"/>
      <c r="E1172" s="127"/>
      <c r="F1172" s="121"/>
      <c r="G1172" s="121"/>
      <c r="H1172" s="121"/>
      <c r="I1172" s="122"/>
      <c r="J1172" s="122"/>
      <c r="K1172" s="122"/>
      <c r="L1172" s="122"/>
      <c r="M1172" s="122"/>
      <c r="N1172" s="122"/>
      <c r="O1172" s="122"/>
      <c r="P1172" s="122"/>
      <c r="Q1172" s="122"/>
      <c r="R1172" s="122"/>
      <c r="S1172" s="122"/>
      <c r="T1172" s="122"/>
      <c r="U1172" s="122"/>
      <c r="V1172" s="122"/>
    </row>
    <row r="1173" spans="2:22" s="126" customFormat="1">
      <c r="B1173" s="120"/>
      <c r="C1173" s="120"/>
      <c r="D1173" s="121"/>
      <c r="E1173" s="127"/>
      <c r="F1173" s="121"/>
      <c r="G1173" s="121"/>
      <c r="H1173" s="121"/>
      <c r="I1173" s="122"/>
      <c r="J1173" s="122"/>
      <c r="K1173" s="122"/>
      <c r="L1173" s="122"/>
      <c r="M1173" s="122"/>
      <c r="N1173" s="122"/>
      <c r="O1173" s="122"/>
      <c r="P1173" s="122"/>
      <c r="Q1173" s="122"/>
      <c r="R1173" s="122"/>
      <c r="S1173" s="122"/>
      <c r="T1173" s="122"/>
      <c r="U1173" s="122"/>
      <c r="V1173" s="122"/>
    </row>
    <row r="1174" spans="2:22" s="126" customFormat="1">
      <c r="B1174" s="120"/>
      <c r="C1174" s="120"/>
      <c r="D1174" s="121"/>
      <c r="E1174" s="127"/>
      <c r="F1174" s="121"/>
      <c r="G1174" s="121"/>
      <c r="H1174" s="121"/>
      <c r="I1174" s="122"/>
      <c r="J1174" s="122"/>
      <c r="K1174" s="122"/>
      <c r="L1174" s="122"/>
      <c r="M1174" s="122"/>
      <c r="N1174" s="122"/>
      <c r="O1174" s="122"/>
      <c r="P1174" s="122"/>
      <c r="Q1174" s="122"/>
      <c r="R1174" s="122"/>
      <c r="S1174" s="122"/>
      <c r="T1174" s="122"/>
      <c r="U1174" s="122"/>
      <c r="V1174" s="122"/>
    </row>
    <row r="1175" spans="2:22" s="126" customFormat="1">
      <c r="B1175" s="120"/>
      <c r="C1175" s="120"/>
      <c r="D1175" s="121"/>
      <c r="E1175" s="127"/>
      <c r="F1175" s="121"/>
      <c r="G1175" s="121"/>
      <c r="H1175" s="121"/>
      <c r="I1175" s="122"/>
      <c r="J1175" s="122"/>
      <c r="K1175" s="122"/>
      <c r="L1175" s="122"/>
      <c r="M1175" s="122"/>
      <c r="N1175" s="122"/>
      <c r="O1175" s="122"/>
      <c r="P1175" s="122"/>
      <c r="Q1175" s="122"/>
      <c r="R1175" s="122"/>
      <c r="S1175" s="122"/>
      <c r="T1175" s="122"/>
      <c r="U1175" s="122"/>
      <c r="V1175" s="122"/>
    </row>
    <row r="1176" spans="2:22" s="126" customFormat="1">
      <c r="B1176" s="120"/>
      <c r="C1176" s="120"/>
      <c r="D1176" s="121"/>
      <c r="E1176" s="127"/>
      <c r="F1176" s="121"/>
      <c r="G1176" s="121"/>
      <c r="H1176" s="121"/>
      <c r="I1176" s="122"/>
      <c r="J1176" s="122"/>
      <c r="K1176" s="122"/>
      <c r="L1176" s="122"/>
      <c r="M1176" s="122"/>
      <c r="N1176" s="122"/>
      <c r="O1176" s="122"/>
      <c r="P1176" s="122"/>
      <c r="Q1176" s="122"/>
      <c r="R1176" s="122"/>
      <c r="S1176" s="122"/>
      <c r="T1176" s="122"/>
      <c r="U1176" s="122"/>
      <c r="V1176" s="122"/>
    </row>
    <row r="1177" spans="2:22" s="126" customFormat="1">
      <c r="B1177" s="120"/>
      <c r="C1177" s="120"/>
      <c r="D1177" s="121"/>
      <c r="E1177" s="127"/>
      <c r="F1177" s="121"/>
      <c r="G1177" s="121"/>
      <c r="H1177" s="121"/>
      <c r="I1177" s="122"/>
      <c r="J1177" s="122"/>
      <c r="K1177" s="122"/>
      <c r="L1177" s="122"/>
      <c r="M1177" s="122"/>
      <c r="N1177" s="122"/>
      <c r="O1177" s="122"/>
      <c r="P1177" s="122"/>
      <c r="Q1177" s="122"/>
      <c r="R1177" s="122"/>
      <c r="S1177" s="122"/>
      <c r="T1177" s="122"/>
      <c r="U1177" s="122"/>
      <c r="V1177" s="122"/>
    </row>
    <row r="1178" spans="2:22" s="126" customFormat="1">
      <c r="B1178" s="120"/>
      <c r="C1178" s="120"/>
      <c r="D1178" s="121"/>
      <c r="E1178" s="127"/>
      <c r="F1178" s="121"/>
      <c r="G1178" s="121"/>
      <c r="H1178" s="121"/>
      <c r="I1178" s="122"/>
      <c r="J1178" s="122"/>
      <c r="K1178" s="122"/>
      <c r="L1178" s="122"/>
      <c r="M1178" s="122"/>
      <c r="N1178" s="122"/>
      <c r="O1178" s="122"/>
      <c r="P1178" s="122"/>
      <c r="Q1178" s="122"/>
      <c r="R1178" s="122"/>
      <c r="S1178" s="122"/>
      <c r="T1178" s="122"/>
      <c r="U1178" s="122"/>
      <c r="V1178" s="122"/>
    </row>
    <row r="1179" spans="2:22" s="126" customFormat="1">
      <c r="B1179" s="120"/>
      <c r="C1179" s="120"/>
      <c r="D1179" s="121"/>
      <c r="E1179" s="127"/>
      <c r="F1179" s="121"/>
      <c r="G1179" s="121"/>
      <c r="H1179" s="121"/>
      <c r="I1179" s="122"/>
      <c r="J1179" s="122"/>
      <c r="K1179" s="122"/>
      <c r="L1179" s="122"/>
      <c r="M1179" s="122"/>
      <c r="N1179" s="122"/>
      <c r="O1179" s="122"/>
      <c r="P1179" s="122"/>
      <c r="Q1179" s="122"/>
      <c r="R1179" s="122"/>
      <c r="S1179" s="122"/>
      <c r="T1179" s="122"/>
      <c r="U1179" s="122"/>
      <c r="V1179" s="122"/>
    </row>
    <row r="1180" spans="2:22" s="126" customFormat="1">
      <c r="B1180" s="120"/>
      <c r="C1180" s="120"/>
      <c r="D1180" s="121"/>
      <c r="E1180" s="127"/>
      <c r="F1180" s="121"/>
      <c r="G1180" s="121"/>
      <c r="H1180" s="121"/>
      <c r="I1180" s="122"/>
      <c r="J1180" s="122"/>
      <c r="K1180" s="122"/>
      <c r="L1180" s="122"/>
      <c r="M1180" s="122"/>
      <c r="N1180" s="122"/>
      <c r="O1180" s="122"/>
      <c r="P1180" s="122"/>
      <c r="Q1180" s="122"/>
      <c r="R1180" s="122"/>
      <c r="S1180" s="122"/>
      <c r="T1180" s="122"/>
      <c r="U1180" s="122"/>
      <c r="V1180" s="122"/>
    </row>
    <row r="1181" spans="2:22" s="126" customFormat="1">
      <c r="B1181" s="120"/>
      <c r="C1181" s="120"/>
      <c r="D1181" s="121"/>
      <c r="E1181" s="127"/>
      <c r="F1181" s="121"/>
      <c r="G1181" s="121"/>
      <c r="H1181" s="121"/>
      <c r="I1181" s="122"/>
      <c r="J1181" s="122"/>
      <c r="K1181" s="122"/>
      <c r="L1181" s="122"/>
      <c r="M1181" s="122"/>
      <c r="N1181" s="122"/>
      <c r="O1181" s="122"/>
      <c r="P1181" s="122"/>
      <c r="Q1181" s="122"/>
      <c r="R1181" s="122"/>
      <c r="S1181" s="122"/>
      <c r="T1181" s="122"/>
      <c r="U1181" s="122"/>
      <c r="V1181" s="122"/>
    </row>
    <row r="1182" spans="2:22" s="126" customFormat="1">
      <c r="B1182" s="120"/>
      <c r="C1182" s="120"/>
      <c r="D1182" s="121"/>
      <c r="E1182" s="127"/>
      <c r="F1182" s="121"/>
      <c r="G1182" s="121"/>
      <c r="H1182" s="121"/>
      <c r="I1182" s="122"/>
      <c r="J1182" s="122"/>
      <c r="K1182" s="122"/>
      <c r="L1182" s="122"/>
      <c r="M1182" s="122"/>
      <c r="N1182" s="122"/>
      <c r="O1182" s="122"/>
      <c r="P1182" s="122"/>
      <c r="Q1182" s="122"/>
      <c r="R1182" s="122"/>
      <c r="S1182" s="122"/>
      <c r="T1182" s="122"/>
      <c r="U1182" s="122"/>
      <c r="V1182" s="122"/>
    </row>
    <row r="1183" spans="2:22" s="126" customFormat="1">
      <c r="B1183" s="120"/>
      <c r="C1183" s="120"/>
      <c r="D1183" s="121"/>
      <c r="E1183" s="127"/>
      <c r="F1183" s="121"/>
      <c r="G1183" s="121"/>
      <c r="H1183" s="121"/>
      <c r="I1183" s="122"/>
      <c r="J1183" s="122"/>
      <c r="K1183" s="122"/>
      <c r="L1183" s="122"/>
      <c r="M1183" s="122"/>
      <c r="N1183" s="122"/>
      <c r="O1183" s="122"/>
      <c r="P1183" s="122"/>
      <c r="Q1183" s="122"/>
      <c r="R1183" s="122"/>
      <c r="S1183" s="122"/>
      <c r="T1183" s="122"/>
      <c r="U1183" s="122"/>
      <c r="V1183" s="122"/>
    </row>
    <row r="1184" spans="2:22" s="126" customFormat="1">
      <c r="B1184" s="120"/>
      <c r="C1184" s="120"/>
      <c r="D1184" s="121"/>
      <c r="E1184" s="127"/>
      <c r="F1184" s="121"/>
      <c r="G1184" s="121"/>
      <c r="H1184" s="121"/>
      <c r="I1184" s="122"/>
      <c r="J1184" s="122"/>
      <c r="K1184" s="122"/>
      <c r="L1184" s="122"/>
      <c r="M1184" s="122"/>
      <c r="N1184" s="122"/>
      <c r="O1184" s="122"/>
      <c r="P1184" s="122"/>
      <c r="Q1184" s="122"/>
      <c r="R1184" s="122"/>
      <c r="S1184" s="122"/>
      <c r="T1184" s="122"/>
      <c r="U1184" s="122"/>
      <c r="V1184" s="122"/>
    </row>
    <row r="1185" spans="2:22" s="126" customFormat="1">
      <c r="B1185" s="120"/>
      <c r="C1185" s="120"/>
      <c r="D1185" s="121"/>
      <c r="E1185" s="127"/>
      <c r="F1185" s="121"/>
      <c r="G1185" s="121"/>
      <c r="H1185" s="121"/>
      <c r="I1185" s="122"/>
      <c r="J1185" s="122"/>
      <c r="K1185" s="122"/>
      <c r="L1185" s="122"/>
      <c r="M1185" s="122"/>
      <c r="N1185" s="122"/>
      <c r="O1185" s="122"/>
      <c r="P1185" s="122"/>
      <c r="Q1185" s="122"/>
      <c r="R1185" s="122"/>
      <c r="S1185" s="122"/>
      <c r="T1185" s="122"/>
      <c r="U1185" s="122"/>
      <c r="V1185" s="122"/>
    </row>
    <row r="1186" spans="2:22" s="126" customFormat="1">
      <c r="B1186" s="120"/>
      <c r="C1186" s="120"/>
      <c r="D1186" s="121"/>
      <c r="E1186" s="127"/>
      <c r="F1186" s="121"/>
      <c r="G1186" s="121"/>
      <c r="H1186" s="121"/>
      <c r="I1186" s="122"/>
      <c r="J1186" s="122"/>
      <c r="K1186" s="122"/>
      <c r="L1186" s="122"/>
      <c r="M1186" s="122"/>
      <c r="N1186" s="122"/>
      <c r="O1186" s="122"/>
      <c r="P1186" s="122"/>
      <c r="Q1186" s="122"/>
      <c r="R1186" s="122"/>
      <c r="S1186" s="122"/>
      <c r="T1186" s="122"/>
      <c r="U1186" s="122"/>
      <c r="V1186" s="122"/>
    </row>
    <row r="1187" spans="2:22" s="126" customFormat="1">
      <c r="B1187" s="120"/>
      <c r="C1187" s="120"/>
      <c r="D1187" s="121"/>
      <c r="E1187" s="127"/>
      <c r="F1187" s="121"/>
      <c r="G1187" s="121"/>
      <c r="H1187" s="121"/>
      <c r="I1187" s="122"/>
      <c r="J1187" s="122"/>
      <c r="K1187" s="122"/>
      <c r="L1187" s="122"/>
      <c r="M1187" s="122"/>
      <c r="N1187" s="122"/>
      <c r="O1187" s="122"/>
      <c r="P1187" s="122"/>
      <c r="Q1187" s="122"/>
      <c r="R1187" s="122"/>
      <c r="S1187" s="122"/>
      <c r="T1187" s="122"/>
      <c r="U1187" s="122"/>
      <c r="V1187" s="122"/>
    </row>
    <row r="1188" spans="2:22" s="126" customFormat="1">
      <c r="B1188" s="120"/>
      <c r="C1188" s="120"/>
      <c r="D1188" s="121"/>
      <c r="E1188" s="127"/>
      <c r="F1188" s="121"/>
      <c r="G1188" s="121"/>
      <c r="H1188" s="121"/>
      <c r="I1188" s="122"/>
      <c r="J1188" s="122"/>
      <c r="K1188" s="122"/>
      <c r="L1188" s="122"/>
      <c r="M1188" s="122"/>
      <c r="N1188" s="122"/>
      <c r="O1188" s="122"/>
      <c r="P1188" s="122"/>
      <c r="Q1188" s="122"/>
      <c r="R1188" s="122"/>
      <c r="S1188" s="122"/>
      <c r="T1188" s="122"/>
      <c r="U1188" s="122"/>
      <c r="V1188" s="122"/>
    </row>
    <row r="1189" spans="2:22" s="126" customFormat="1">
      <c r="B1189" s="120"/>
      <c r="C1189" s="120"/>
      <c r="D1189" s="121"/>
      <c r="E1189" s="127"/>
      <c r="F1189" s="121"/>
      <c r="G1189" s="121"/>
      <c r="H1189" s="121"/>
      <c r="I1189" s="122"/>
      <c r="J1189" s="122"/>
      <c r="K1189" s="122"/>
      <c r="L1189" s="122"/>
      <c r="M1189" s="122"/>
      <c r="N1189" s="122"/>
      <c r="O1189" s="122"/>
      <c r="P1189" s="122"/>
      <c r="Q1189" s="122"/>
      <c r="R1189" s="122"/>
      <c r="S1189" s="122"/>
      <c r="T1189" s="122"/>
      <c r="U1189" s="122"/>
      <c r="V1189" s="122"/>
    </row>
    <row r="1190" spans="2:22" s="126" customFormat="1">
      <c r="B1190" s="120"/>
      <c r="C1190" s="120"/>
      <c r="D1190" s="121"/>
      <c r="E1190" s="127"/>
      <c r="F1190" s="121"/>
      <c r="G1190" s="121"/>
      <c r="H1190" s="121"/>
      <c r="I1190" s="122"/>
      <c r="J1190" s="122"/>
      <c r="K1190" s="122"/>
      <c r="L1190" s="122"/>
      <c r="M1190" s="122"/>
      <c r="N1190" s="122"/>
      <c r="O1190" s="122"/>
      <c r="P1190" s="122"/>
      <c r="Q1190" s="122"/>
      <c r="R1190" s="122"/>
      <c r="S1190" s="122"/>
      <c r="T1190" s="122"/>
      <c r="U1190" s="122"/>
      <c r="V1190" s="122"/>
    </row>
    <row r="1191" spans="2:22" s="126" customFormat="1">
      <c r="B1191" s="120"/>
      <c r="C1191" s="120"/>
      <c r="D1191" s="121"/>
      <c r="E1191" s="127"/>
      <c r="F1191" s="121"/>
      <c r="G1191" s="121"/>
      <c r="H1191" s="121"/>
      <c r="I1191" s="122"/>
      <c r="J1191" s="122"/>
      <c r="K1191" s="122"/>
      <c r="L1191" s="122"/>
      <c r="M1191" s="122"/>
      <c r="N1191" s="122"/>
      <c r="O1191" s="122"/>
      <c r="P1191" s="122"/>
      <c r="Q1191" s="122"/>
      <c r="R1191" s="122"/>
      <c r="S1191" s="122"/>
      <c r="T1191" s="122"/>
      <c r="U1191" s="122"/>
      <c r="V1191" s="122"/>
    </row>
    <row r="1192" spans="2:22" s="126" customFormat="1">
      <c r="B1192" s="120"/>
      <c r="C1192" s="120"/>
      <c r="D1192" s="121"/>
      <c r="E1192" s="127"/>
      <c r="F1192" s="121"/>
      <c r="G1192" s="121"/>
      <c r="H1192" s="121"/>
      <c r="I1192" s="122"/>
      <c r="J1192" s="122"/>
      <c r="K1192" s="122"/>
      <c r="L1192" s="122"/>
      <c r="M1192" s="122"/>
      <c r="N1192" s="122"/>
      <c r="O1192" s="122"/>
      <c r="P1192" s="122"/>
      <c r="Q1192" s="122"/>
      <c r="R1192" s="122"/>
      <c r="S1192" s="122"/>
      <c r="T1192" s="122"/>
      <c r="U1192" s="122"/>
      <c r="V1192" s="122"/>
    </row>
    <row r="1193" spans="2:22" s="126" customFormat="1">
      <c r="B1193" s="120"/>
      <c r="C1193" s="120"/>
      <c r="D1193" s="121"/>
      <c r="E1193" s="127"/>
      <c r="F1193" s="121"/>
      <c r="G1193" s="121"/>
      <c r="H1193" s="121"/>
      <c r="I1193" s="122"/>
      <c r="J1193" s="122"/>
      <c r="K1193" s="122"/>
      <c r="L1193" s="122"/>
      <c r="M1193" s="122"/>
      <c r="N1193" s="122"/>
      <c r="O1193" s="122"/>
      <c r="P1193" s="122"/>
      <c r="Q1193" s="122"/>
      <c r="R1193" s="122"/>
      <c r="S1193" s="122"/>
      <c r="T1193" s="122"/>
      <c r="U1193" s="122"/>
      <c r="V1193" s="122"/>
    </row>
    <row r="1194" spans="2:22" s="126" customFormat="1">
      <c r="B1194" s="120"/>
      <c r="C1194" s="120"/>
      <c r="D1194" s="121"/>
      <c r="E1194" s="127"/>
      <c r="F1194" s="121"/>
      <c r="G1194" s="121"/>
      <c r="H1194" s="121"/>
      <c r="I1194" s="122"/>
      <c r="J1194" s="122"/>
      <c r="K1194" s="122"/>
      <c r="L1194" s="122"/>
      <c r="M1194" s="122"/>
      <c r="N1194" s="122"/>
      <c r="O1194" s="122"/>
      <c r="P1194" s="122"/>
      <c r="Q1194" s="122"/>
      <c r="R1194" s="122"/>
      <c r="S1194" s="122"/>
      <c r="T1194" s="122"/>
      <c r="U1194" s="122"/>
      <c r="V1194" s="122"/>
    </row>
    <row r="1195" spans="2:22" s="126" customFormat="1">
      <c r="B1195" s="120"/>
      <c r="C1195" s="120"/>
      <c r="D1195" s="121"/>
      <c r="E1195" s="127"/>
      <c r="F1195" s="121"/>
      <c r="G1195" s="121"/>
      <c r="H1195" s="121"/>
      <c r="I1195" s="122"/>
      <c r="J1195" s="122"/>
      <c r="K1195" s="122"/>
      <c r="L1195" s="122"/>
      <c r="M1195" s="122"/>
      <c r="N1195" s="122"/>
      <c r="O1195" s="122"/>
      <c r="P1195" s="122"/>
      <c r="Q1195" s="122"/>
      <c r="R1195" s="122"/>
      <c r="S1195" s="122"/>
      <c r="T1195" s="122"/>
      <c r="U1195" s="122"/>
      <c r="V1195" s="122"/>
    </row>
    <row r="1196" spans="2:22" s="126" customFormat="1">
      <c r="B1196" s="120"/>
      <c r="C1196" s="120"/>
      <c r="D1196" s="121"/>
      <c r="E1196" s="127"/>
      <c r="F1196" s="121"/>
      <c r="G1196" s="121"/>
      <c r="H1196" s="121"/>
      <c r="I1196" s="122"/>
      <c r="J1196" s="122"/>
      <c r="K1196" s="122"/>
      <c r="L1196" s="122"/>
      <c r="M1196" s="122"/>
      <c r="N1196" s="122"/>
      <c r="O1196" s="122"/>
      <c r="P1196" s="122"/>
      <c r="Q1196" s="122"/>
      <c r="R1196" s="122"/>
      <c r="S1196" s="122"/>
      <c r="T1196" s="122"/>
      <c r="U1196" s="122"/>
      <c r="V1196" s="122"/>
    </row>
    <row r="1197" spans="2:22" s="126" customFormat="1">
      <c r="B1197" s="120"/>
      <c r="C1197" s="120"/>
      <c r="D1197" s="121"/>
      <c r="E1197" s="127"/>
      <c r="F1197" s="121"/>
      <c r="G1197" s="121"/>
      <c r="H1197" s="121"/>
      <c r="I1197" s="122"/>
      <c r="J1197" s="122"/>
      <c r="K1197" s="122"/>
      <c r="L1197" s="122"/>
      <c r="M1197" s="122"/>
      <c r="N1197" s="122"/>
      <c r="O1197" s="122"/>
      <c r="P1197" s="122"/>
      <c r="Q1197" s="122"/>
      <c r="R1197" s="122"/>
      <c r="S1197" s="122"/>
      <c r="T1197" s="122"/>
      <c r="U1197" s="122"/>
      <c r="V1197" s="122"/>
    </row>
    <row r="1198" spans="2:22" s="126" customFormat="1">
      <c r="B1198" s="120"/>
      <c r="C1198" s="120"/>
      <c r="D1198" s="121"/>
      <c r="E1198" s="127"/>
      <c r="F1198" s="121"/>
      <c r="G1198" s="121"/>
      <c r="H1198" s="121"/>
      <c r="I1198" s="122"/>
      <c r="J1198" s="122"/>
      <c r="K1198" s="122"/>
      <c r="L1198" s="122"/>
      <c r="M1198" s="122"/>
      <c r="N1198" s="122"/>
      <c r="O1198" s="122"/>
      <c r="P1198" s="122"/>
      <c r="Q1198" s="122"/>
      <c r="R1198" s="122"/>
      <c r="S1198" s="122"/>
      <c r="T1198" s="122"/>
      <c r="U1198" s="122"/>
      <c r="V1198" s="122"/>
    </row>
    <row r="1199" spans="2:22" s="126" customFormat="1">
      <c r="B1199" s="120"/>
      <c r="C1199" s="120"/>
      <c r="D1199" s="121"/>
      <c r="E1199" s="127"/>
      <c r="F1199" s="121"/>
      <c r="G1199" s="121"/>
      <c r="H1199" s="121"/>
      <c r="I1199" s="122"/>
      <c r="J1199" s="122"/>
      <c r="K1199" s="122"/>
      <c r="L1199" s="122"/>
      <c r="M1199" s="122"/>
      <c r="N1199" s="122"/>
      <c r="O1199" s="122"/>
      <c r="P1199" s="122"/>
      <c r="Q1199" s="122"/>
      <c r="R1199" s="122"/>
      <c r="S1199" s="122"/>
      <c r="T1199" s="122"/>
      <c r="U1199" s="122"/>
      <c r="V1199" s="122"/>
    </row>
    <row r="1200" spans="2:22" s="126" customFormat="1">
      <c r="B1200" s="120"/>
      <c r="C1200" s="120"/>
      <c r="D1200" s="121"/>
      <c r="E1200" s="127"/>
      <c r="F1200" s="121"/>
      <c r="G1200" s="121"/>
      <c r="H1200" s="121"/>
      <c r="I1200" s="122"/>
      <c r="J1200" s="122"/>
      <c r="K1200" s="122"/>
      <c r="L1200" s="122"/>
      <c r="M1200" s="122"/>
      <c r="N1200" s="122"/>
      <c r="O1200" s="122"/>
      <c r="P1200" s="122"/>
      <c r="Q1200" s="122"/>
      <c r="R1200" s="122"/>
      <c r="S1200" s="122"/>
      <c r="T1200" s="122"/>
      <c r="U1200" s="122"/>
      <c r="V1200" s="122"/>
    </row>
    <row r="1201" spans="2:22" s="126" customFormat="1">
      <c r="B1201" s="120"/>
      <c r="C1201" s="120"/>
      <c r="D1201" s="121"/>
      <c r="E1201" s="127"/>
      <c r="F1201" s="121"/>
      <c r="G1201" s="121"/>
      <c r="H1201" s="121"/>
      <c r="I1201" s="122"/>
      <c r="J1201" s="122"/>
      <c r="K1201" s="122"/>
      <c r="L1201" s="122"/>
      <c r="M1201" s="122"/>
      <c r="N1201" s="122"/>
      <c r="O1201" s="122"/>
      <c r="P1201" s="122"/>
      <c r="Q1201" s="122"/>
      <c r="R1201" s="122"/>
      <c r="S1201" s="122"/>
      <c r="T1201" s="122"/>
      <c r="U1201" s="122"/>
      <c r="V1201" s="122"/>
    </row>
    <row r="1202" spans="2:22" s="126" customFormat="1">
      <c r="B1202" s="120"/>
      <c r="C1202" s="120"/>
      <c r="D1202" s="121"/>
      <c r="E1202" s="127"/>
      <c r="F1202" s="121"/>
      <c r="G1202" s="121"/>
      <c r="H1202" s="121"/>
      <c r="I1202" s="122"/>
      <c r="J1202" s="122"/>
      <c r="K1202" s="122"/>
      <c r="L1202" s="122"/>
      <c r="M1202" s="122"/>
      <c r="N1202" s="122"/>
      <c r="O1202" s="122"/>
      <c r="P1202" s="122"/>
      <c r="Q1202" s="122"/>
      <c r="R1202" s="122"/>
      <c r="S1202" s="122"/>
      <c r="T1202" s="122"/>
      <c r="U1202" s="122"/>
      <c r="V1202" s="122"/>
    </row>
    <row r="1203" spans="2:22" s="126" customFormat="1">
      <c r="B1203" s="120"/>
      <c r="C1203" s="120"/>
      <c r="D1203" s="121"/>
      <c r="E1203" s="127"/>
      <c r="F1203" s="121"/>
      <c r="G1203" s="121"/>
      <c r="H1203" s="121"/>
      <c r="I1203" s="122"/>
      <c r="J1203" s="122"/>
      <c r="K1203" s="122"/>
      <c r="L1203" s="122"/>
      <c r="M1203" s="122"/>
      <c r="N1203" s="122"/>
      <c r="O1203" s="122"/>
      <c r="P1203" s="122"/>
      <c r="Q1203" s="122"/>
      <c r="R1203" s="122"/>
      <c r="S1203" s="122"/>
      <c r="T1203" s="122"/>
      <c r="U1203" s="122"/>
      <c r="V1203" s="122"/>
    </row>
    <row r="1204" spans="2:22" s="126" customFormat="1">
      <c r="B1204" s="120"/>
      <c r="C1204" s="120"/>
      <c r="D1204" s="121"/>
      <c r="E1204" s="127"/>
      <c r="F1204" s="121"/>
      <c r="G1204" s="121"/>
      <c r="H1204" s="121"/>
      <c r="I1204" s="122"/>
      <c r="J1204" s="122"/>
      <c r="K1204" s="122"/>
      <c r="L1204" s="122"/>
      <c r="M1204" s="122"/>
      <c r="N1204" s="122"/>
      <c r="O1204" s="122"/>
      <c r="P1204" s="122"/>
      <c r="Q1204" s="122"/>
      <c r="R1204" s="122"/>
      <c r="S1204" s="122"/>
      <c r="T1204" s="122"/>
      <c r="U1204" s="122"/>
      <c r="V1204" s="122"/>
    </row>
    <row r="1205" spans="2:22" s="126" customFormat="1">
      <c r="B1205" s="120"/>
      <c r="C1205" s="120"/>
      <c r="D1205" s="121"/>
      <c r="E1205" s="127"/>
      <c r="F1205" s="121"/>
      <c r="G1205" s="121"/>
      <c r="H1205" s="121"/>
      <c r="I1205" s="122"/>
      <c r="J1205" s="122"/>
      <c r="K1205" s="122"/>
      <c r="L1205" s="122"/>
      <c r="M1205" s="122"/>
      <c r="N1205" s="122"/>
      <c r="O1205" s="122"/>
      <c r="P1205" s="122"/>
      <c r="Q1205" s="122"/>
      <c r="R1205" s="122"/>
      <c r="S1205" s="122"/>
      <c r="T1205" s="122"/>
      <c r="U1205" s="122"/>
      <c r="V1205" s="122"/>
    </row>
    <row r="1206" spans="2:22" s="126" customFormat="1">
      <c r="B1206" s="120"/>
      <c r="C1206" s="120"/>
      <c r="D1206" s="121"/>
      <c r="E1206" s="127"/>
      <c r="F1206" s="121"/>
      <c r="G1206" s="121"/>
      <c r="H1206" s="121"/>
      <c r="I1206" s="122"/>
      <c r="J1206" s="122"/>
      <c r="K1206" s="122"/>
      <c r="L1206" s="122"/>
      <c r="M1206" s="122"/>
      <c r="N1206" s="122"/>
      <c r="O1206" s="122"/>
      <c r="P1206" s="122"/>
      <c r="Q1206" s="122"/>
      <c r="R1206" s="122"/>
      <c r="S1206" s="122"/>
      <c r="T1206" s="122"/>
      <c r="U1206" s="122"/>
      <c r="V1206" s="122"/>
    </row>
    <row r="1207" spans="2:22" s="126" customFormat="1">
      <c r="B1207" s="120"/>
      <c r="C1207" s="120"/>
      <c r="D1207" s="121"/>
      <c r="E1207" s="127"/>
      <c r="F1207" s="121"/>
      <c r="G1207" s="121"/>
      <c r="H1207" s="121"/>
      <c r="I1207" s="122"/>
      <c r="J1207" s="122"/>
      <c r="K1207" s="122"/>
      <c r="L1207" s="122"/>
      <c r="M1207" s="122"/>
      <c r="N1207" s="122"/>
      <c r="O1207" s="122"/>
      <c r="P1207" s="122"/>
      <c r="Q1207" s="122"/>
      <c r="R1207" s="122"/>
      <c r="S1207" s="122"/>
      <c r="T1207" s="122"/>
      <c r="U1207" s="122"/>
      <c r="V1207" s="122"/>
    </row>
    <row r="1208" spans="2:22" s="126" customFormat="1">
      <c r="B1208" s="120"/>
      <c r="C1208" s="120"/>
      <c r="D1208" s="121"/>
      <c r="E1208" s="127"/>
      <c r="F1208" s="121"/>
      <c r="G1208" s="121"/>
      <c r="H1208" s="121"/>
      <c r="I1208" s="122"/>
      <c r="J1208" s="122"/>
      <c r="K1208" s="122"/>
      <c r="L1208" s="122"/>
      <c r="M1208" s="122"/>
      <c r="N1208" s="122"/>
      <c r="O1208" s="122"/>
      <c r="P1208" s="122"/>
      <c r="Q1208" s="122"/>
      <c r="R1208" s="122"/>
      <c r="S1208" s="122"/>
      <c r="T1208" s="122"/>
      <c r="U1208" s="122"/>
      <c r="V1208" s="122"/>
    </row>
    <row r="1209" spans="2:22" s="126" customFormat="1">
      <c r="B1209" s="120"/>
      <c r="C1209" s="120"/>
      <c r="D1209" s="121"/>
      <c r="E1209" s="127"/>
      <c r="F1209" s="121"/>
      <c r="G1209" s="121"/>
      <c r="H1209" s="121"/>
      <c r="I1209" s="122"/>
      <c r="J1209" s="122"/>
      <c r="K1209" s="122"/>
      <c r="L1209" s="122"/>
      <c r="M1209" s="122"/>
      <c r="N1209" s="122"/>
      <c r="O1209" s="122"/>
      <c r="P1209" s="122"/>
      <c r="Q1209" s="122"/>
      <c r="R1209" s="122"/>
      <c r="S1209" s="122"/>
      <c r="T1209" s="122"/>
      <c r="U1209" s="122"/>
      <c r="V1209" s="122"/>
    </row>
    <row r="1210" spans="2:22" s="126" customFormat="1">
      <c r="B1210" s="120"/>
      <c r="C1210" s="120"/>
      <c r="D1210" s="121"/>
      <c r="E1210" s="127"/>
      <c r="F1210" s="121"/>
      <c r="G1210" s="121"/>
      <c r="H1210" s="121"/>
      <c r="I1210" s="122"/>
      <c r="J1210" s="122"/>
      <c r="K1210" s="122"/>
      <c r="L1210" s="122"/>
      <c r="M1210" s="122"/>
      <c r="N1210" s="122"/>
      <c r="O1210" s="122"/>
      <c r="P1210" s="122"/>
      <c r="Q1210" s="122"/>
      <c r="R1210" s="122"/>
      <c r="S1210" s="122"/>
      <c r="T1210" s="122"/>
      <c r="U1210" s="122"/>
      <c r="V1210" s="122"/>
    </row>
    <row r="1211" spans="2:22" s="126" customFormat="1">
      <c r="B1211" s="120"/>
      <c r="C1211" s="120"/>
      <c r="D1211" s="121"/>
      <c r="E1211" s="127"/>
      <c r="F1211" s="121"/>
      <c r="G1211" s="121"/>
      <c r="H1211" s="121"/>
      <c r="I1211" s="122"/>
      <c r="J1211" s="122"/>
      <c r="K1211" s="122"/>
      <c r="L1211" s="122"/>
      <c r="M1211" s="122"/>
      <c r="N1211" s="122"/>
      <c r="O1211" s="122"/>
      <c r="P1211" s="122"/>
      <c r="Q1211" s="122"/>
      <c r="R1211" s="122"/>
      <c r="S1211" s="122"/>
      <c r="T1211" s="122"/>
      <c r="U1211" s="122"/>
      <c r="V1211" s="122"/>
    </row>
    <row r="1212" spans="2:22" s="126" customFormat="1">
      <c r="B1212" s="120"/>
      <c r="C1212" s="120"/>
      <c r="D1212" s="121"/>
      <c r="E1212" s="127"/>
      <c r="F1212" s="121"/>
      <c r="G1212" s="121"/>
      <c r="H1212" s="121"/>
      <c r="I1212" s="122"/>
      <c r="J1212" s="122"/>
      <c r="K1212" s="122"/>
      <c r="L1212" s="122"/>
      <c r="M1212" s="122"/>
      <c r="N1212" s="122"/>
      <c r="O1212" s="122"/>
      <c r="P1212" s="122"/>
      <c r="Q1212" s="122"/>
      <c r="R1212" s="122"/>
      <c r="S1212" s="122"/>
      <c r="T1212" s="122"/>
      <c r="U1212" s="122"/>
      <c r="V1212" s="122"/>
    </row>
    <row r="1213" spans="2:22" s="126" customFormat="1">
      <c r="B1213" s="120"/>
      <c r="C1213" s="120"/>
      <c r="D1213" s="121"/>
      <c r="E1213" s="127"/>
      <c r="F1213" s="121"/>
      <c r="G1213" s="121"/>
      <c r="H1213" s="121"/>
      <c r="I1213" s="122"/>
      <c r="J1213" s="122"/>
      <c r="K1213" s="122"/>
      <c r="L1213" s="122"/>
      <c r="M1213" s="122"/>
      <c r="N1213" s="122"/>
      <c r="O1213" s="122"/>
      <c r="P1213" s="122"/>
      <c r="Q1213" s="122"/>
      <c r="R1213" s="122"/>
      <c r="S1213" s="122"/>
      <c r="T1213" s="122"/>
      <c r="U1213" s="122"/>
      <c r="V1213" s="122"/>
    </row>
    <row r="1214" spans="2:22" s="126" customFormat="1">
      <c r="B1214" s="120"/>
      <c r="C1214" s="120"/>
      <c r="D1214" s="121"/>
      <c r="E1214" s="127"/>
      <c r="F1214" s="121"/>
      <c r="G1214" s="121"/>
      <c r="H1214" s="121"/>
      <c r="I1214" s="122"/>
      <c r="J1214" s="122"/>
      <c r="K1214" s="122"/>
      <c r="L1214" s="122"/>
      <c r="M1214" s="122"/>
      <c r="N1214" s="122"/>
      <c r="O1214" s="122"/>
      <c r="P1214" s="122"/>
      <c r="Q1214" s="122"/>
      <c r="R1214" s="122"/>
      <c r="S1214" s="122"/>
      <c r="T1214" s="122"/>
      <c r="U1214" s="122"/>
      <c r="V1214" s="122"/>
    </row>
    <row r="1215" spans="2:22" s="126" customFormat="1">
      <c r="B1215" s="120"/>
      <c r="C1215" s="120"/>
      <c r="D1215" s="121"/>
      <c r="E1215" s="127"/>
      <c r="F1215" s="121"/>
      <c r="G1215" s="121"/>
      <c r="H1215" s="121"/>
      <c r="I1215" s="122"/>
      <c r="J1215" s="122"/>
      <c r="K1215" s="122"/>
      <c r="L1215" s="122"/>
      <c r="M1215" s="122"/>
      <c r="N1215" s="122"/>
      <c r="O1215" s="122"/>
      <c r="P1215" s="122"/>
      <c r="Q1215" s="122"/>
      <c r="R1215" s="122"/>
      <c r="S1215" s="122"/>
      <c r="T1215" s="122"/>
      <c r="U1215" s="122"/>
      <c r="V1215" s="122"/>
    </row>
    <row r="1216" spans="2:22" s="126" customFormat="1">
      <c r="B1216" s="120"/>
      <c r="C1216" s="120"/>
      <c r="D1216" s="121"/>
      <c r="E1216" s="127"/>
      <c r="F1216" s="121"/>
      <c r="G1216" s="121"/>
      <c r="H1216" s="121"/>
      <c r="I1216" s="122"/>
      <c r="J1216" s="122"/>
      <c r="K1216" s="122"/>
      <c r="L1216" s="122"/>
      <c r="M1216" s="122"/>
      <c r="N1216" s="122"/>
      <c r="O1216" s="122"/>
      <c r="P1216" s="122"/>
      <c r="Q1216" s="122"/>
      <c r="R1216" s="122"/>
      <c r="S1216" s="122"/>
      <c r="T1216" s="122"/>
      <c r="U1216" s="122"/>
      <c r="V1216" s="122"/>
    </row>
    <row r="1217" spans="2:22" s="126" customFormat="1">
      <c r="B1217" s="120"/>
      <c r="C1217" s="120"/>
      <c r="D1217" s="121"/>
      <c r="E1217" s="127"/>
      <c r="F1217" s="121"/>
      <c r="G1217" s="121"/>
      <c r="H1217" s="121"/>
      <c r="I1217" s="122"/>
      <c r="J1217" s="122"/>
      <c r="K1217" s="122"/>
      <c r="L1217" s="122"/>
      <c r="M1217" s="122"/>
      <c r="N1217" s="122"/>
      <c r="O1217" s="122"/>
      <c r="P1217" s="122"/>
      <c r="Q1217" s="122"/>
      <c r="R1217" s="122"/>
      <c r="S1217" s="122"/>
      <c r="T1217" s="122"/>
      <c r="U1217" s="122"/>
      <c r="V1217" s="122"/>
    </row>
    <row r="1218" spans="2:22" s="126" customFormat="1">
      <c r="B1218" s="120"/>
      <c r="C1218" s="120"/>
      <c r="D1218" s="121"/>
      <c r="E1218" s="127"/>
      <c r="F1218" s="121"/>
      <c r="G1218" s="121"/>
      <c r="H1218" s="121"/>
      <c r="I1218" s="122"/>
      <c r="J1218" s="122"/>
      <c r="K1218" s="122"/>
      <c r="L1218" s="122"/>
      <c r="M1218" s="122"/>
      <c r="N1218" s="122"/>
      <c r="O1218" s="122"/>
      <c r="P1218" s="122"/>
      <c r="Q1218" s="122"/>
      <c r="R1218" s="122"/>
      <c r="S1218" s="122"/>
      <c r="T1218" s="122"/>
      <c r="U1218" s="122"/>
      <c r="V1218" s="122"/>
    </row>
    <row r="1219" spans="2:22" s="126" customFormat="1">
      <c r="B1219" s="120"/>
      <c r="C1219" s="120"/>
      <c r="D1219" s="121"/>
      <c r="E1219" s="127"/>
      <c r="F1219" s="121"/>
      <c r="G1219" s="121"/>
      <c r="H1219" s="121"/>
      <c r="I1219" s="122"/>
      <c r="J1219" s="122"/>
      <c r="K1219" s="122"/>
      <c r="L1219" s="122"/>
      <c r="M1219" s="122"/>
      <c r="N1219" s="122"/>
      <c r="O1219" s="122"/>
      <c r="P1219" s="122"/>
      <c r="Q1219" s="122"/>
      <c r="R1219" s="122"/>
      <c r="S1219" s="122"/>
      <c r="T1219" s="122"/>
      <c r="U1219" s="122"/>
      <c r="V1219" s="122"/>
    </row>
    <row r="1220" spans="2:22" s="126" customFormat="1">
      <c r="B1220" s="120"/>
      <c r="C1220" s="120"/>
      <c r="D1220" s="121"/>
      <c r="E1220" s="127"/>
      <c r="F1220" s="121"/>
      <c r="G1220" s="121"/>
      <c r="H1220" s="121"/>
      <c r="I1220" s="122"/>
      <c r="J1220" s="122"/>
      <c r="K1220" s="122"/>
      <c r="L1220" s="122"/>
      <c r="M1220" s="122"/>
      <c r="N1220" s="122"/>
      <c r="O1220" s="122"/>
      <c r="P1220" s="122"/>
      <c r="Q1220" s="122"/>
      <c r="R1220" s="122"/>
      <c r="S1220" s="122"/>
      <c r="T1220" s="122"/>
      <c r="U1220" s="122"/>
      <c r="V1220" s="122"/>
    </row>
    <row r="1221" spans="2:22" s="126" customFormat="1">
      <c r="B1221" s="120"/>
      <c r="C1221" s="120"/>
      <c r="D1221" s="121"/>
      <c r="E1221" s="127"/>
      <c r="F1221" s="121"/>
      <c r="G1221" s="121"/>
      <c r="H1221" s="121"/>
      <c r="I1221" s="122"/>
      <c r="J1221" s="122"/>
      <c r="K1221" s="122"/>
      <c r="L1221" s="122"/>
      <c r="M1221" s="122"/>
      <c r="N1221" s="122"/>
      <c r="O1221" s="122"/>
      <c r="P1221" s="122"/>
      <c r="Q1221" s="122"/>
      <c r="R1221" s="122"/>
      <c r="S1221" s="122"/>
      <c r="T1221" s="122"/>
      <c r="U1221" s="122"/>
      <c r="V1221" s="122"/>
    </row>
    <row r="1222" spans="2:22" s="126" customFormat="1">
      <c r="B1222" s="120"/>
      <c r="C1222" s="120"/>
      <c r="D1222" s="121"/>
      <c r="E1222" s="127"/>
      <c r="F1222" s="121"/>
      <c r="G1222" s="121"/>
      <c r="H1222" s="121"/>
      <c r="I1222" s="122"/>
      <c r="J1222" s="122"/>
      <c r="K1222" s="122"/>
      <c r="L1222" s="122"/>
      <c r="M1222" s="122"/>
      <c r="N1222" s="122"/>
      <c r="O1222" s="122"/>
      <c r="P1222" s="122"/>
      <c r="Q1222" s="122"/>
      <c r="R1222" s="122"/>
      <c r="S1222" s="122"/>
      <c r="T1222" s="122"/>
      <c r="U1222" s="122"/>
      <c r="V1222" s="122"/>
    </row>
    <row r="1223" spans="2:22" s="126" customFormat="1">
      <c r="B1223" s="120"/>
      <c r="C1223" s="120"/>
      <c r="D1223" s="121"/>
      <c r="E1223" s="127"/>
      <c r="F1223" s="121"/>
      <c r="G1223" s="121"/>
      <c r="H1223" s="121"/>
      <c r="I1223" s="122"/>
      <c r="J1223" s="122"/>
      <c r="K1223" s="122"/>
      <c r="L1223" s="122"/>
      <c r="M1223" s="122"/>
      <c r="N1223" s="122"/>
      <c r="O1223" s="122"/>
      <c r="P1223" s="122"/>
      <c r="Q1223" s="122"/>
      <c r="R1223" s="122"/>
      <c r="S1223" s="122"/>
      <c r="T1223" s="122"/>
      <c r="U1223" s="122"/>
      <c r="V1223" s="122"/>
    </row>
    <row r="1224" spans="2:22" s="126" customFormat="1">
      <c r="B1224" s="120"/>
      <c r="C1224" s="120"/>
      <c r="D1224" s="121"/>
      <c r="E1224" s="127"/>
      <c r="F1224" s="121"/>
      <c r="G1224" s="121"/>
      <c r="H1224" s="121"/>
      <c r="I1224" s="122"/>
      <c r="J1224" s="122"/>
      <c r="K1224" s="122"/>
      <c r="L1224" s="122"/>
      <c r="M1224" s="122"/>
      <c r="N1224" s="122"/>
      <c r="O1224" s="122"/>
      <c r="P1224" s="122"/>
      <c r="Q1224" s="122"/>
      <c r="R1224" s="122"/>
      <c r="S1224" s="122"/>
      <c r="T1224" s="122"/>
      <c r="U1224" s="122"/>
      <c r="V1224" s="122"/>
    </row>
    <row r="1225" spans="2:22" s="126" customFormat="1">
      <c r="B1225" s="120"/>
      <c r="C1225" s="120"/>
      <c r="D1225" s="121"/>
      <c r="E1225" s="127"/>
      <c r="F1225" s="121"/>
      <c r="G1225" s="121"/>
      <c r="H1225" s="121"/>
      <c r="I1225" s="122"/>
      <c r="J1225" s="122"/>
      <c r="K1225" s="122"/>
      <c r="L1225" s="122"/>
      <c r="M1225" s="122"/>
      <c r="N1225" s="122"/>
      <c r="O1225" s="122"/>
      <c r="P1225" s="122"/>
      <c r="Q1225" s="122"/>
      <c r="R1225" s="122"/>
      <c r="S1225" s="122"/>
      <c r="T1225" s="122"/>
      <c r="U1225" s="122"/>
      <c r="V1225" s="122"/>
    </row>
    <row r="1226" spans="2:22" s="126" customFormat="1">
      <c r="B1226" s="120"/>
      <c r="C1226" s="120"/>
      <c r="D1226" s="121"/>
      <c r="E1226" s="127"/>
      <c r="F1226" s="121"/>
      <c r="G1226" s="121"/>
      <c r="H1226" s="121"/>
      <c r="I1226" s="122"/>
      <c r="J1226" s="122"/>
      <c r="K1226" s="122"/>
      <c r="L1226" s="122"/>
      <c r="M1226" s="122"/>
      <c r="N1226" s="122"/>
      <c r="O1226" s="122"/>
      <c r="P1226" s="122"/>
      <c r="Q1226" s="122"/>
      <c r="R1226" s="122"/>
      <c r="S1226" s="122"/>
      <c r="T1226" s="122"/>
      <c r="U1226" s="122"/>
      <c r="V1226" s="122"/>
    </row>
    <row r="1227" spans="2:22" s="126" customFormat="1">
      <c r="B1227" s="120"/>
      <c r="C1227" s="120"/>
      <c r="D1227" s="121"/>
      <c r="E1227" s="127"/>
      <c r="F1227" s="121"/>
      <c r="G1227" s="121"/>
      <c r="H1227" s="121"/>
      <c r="I1227" s="122"/>
      <c r="J1227" s="122"/>
      <c r="K1227" s="122"/>
      <c r="L1227" s="122"/>
      <c r="M1227" s="122"/>
      <c r="N1227" s="122"/>
      <c r="O1227" s="122"/>
      <c r="P1227" s="122"/>
      <c r="Q1227" s="122"/>
      <c r="R1227" s="122"/>
      <c r="S1227" s="122"/>
      <c r="T1227" s="122"/>
      <c r="U1227" s="122"/>
      <c r="V1227" s="122"/>
    </row>
    <row r="1228" spans="2:22" s="126" customFormat="1">
      <c r="B1228" s="120"/>
      <c r="C1228" s="120"/>
      <c r="D1228" s="121"/>
      <c r="E1228" s="127"/>
      <c r="F1228" s="121"/>
      <c r="G1228" s="121"/>
      <c r="H1228" s="121"/>
      <c r="I1228" s="122"/>
      <c r="J1228" s="122"/>
      <c r="K1228" s="122"/>
      <c r="L1228" s="122"/>
      <c r="M1228" s="122"/>
      <c r="N1228" s="122"/>
      <c r="O1228" s="122"/>
      <c r="P1228" s="122"/>
      <c r="Q1228" s="122"/>
      <c r="R1228" s="122"/>
      <c r="S1228" s="122"/>
      <c r="T1228" s="122"/>
      <c r="U1228" s="122"/>
      <c r="V1228" s="122"/>
    </row>
    <row r="1229" spans="2:22" s="126" customFormat="1">
      <c r="B1229" s="120"/>
      <c r="C1229" s="120"/>
      <c r="D1229" s="121"/>
      <c r="E1229" s="127"/>
      <c r="F1229" s="121"/>
      <c r="G1229" s="121"/>
      <c r="H1229" s="121"/>
      <c r="I1229" s="122"/>
      <c r="J1229" s="122"/>
      <c r="K1229" s="122"/>
      <c r="L1229" s="122"/>
      <c r="M1229" s="122"/>
      <c r="N1229" s="122"/>
      <c r="O1229" s="122"/>
      <c r="P1229" s="122"/>
      <c r="Q1229" s="122"/>
      <c r="R1229" s="122"/>
      <c r="S1229" s="122"/>
      <c r="T1229" s="122"/>
      <c r="U1229" s="122"/>
      <c r="V1229" s="122"/>
    </row>
    <row r="1230" spans="2:22" s="126" customFormat="1">
      <c r="B1230" s="120"/>
      <c r="C1230" s="120"/>
      <c r="D1230" s="121"/>
      <c r="E1230" s="127"/>
      <c r="F1230" s="121"/>
      <c r="G1230" s="121"/>
      <c r="H1230" s="121"/>
      <c r="I1230" s="122"/>
      <c r="J1230" s="122"/>
      <c r="K1230" s="122"/>
      <c r="L1230" s="122"/>
      <c r="M1230" s="122"/>
      <c r="N1230" s="122"/>
      <c r="O1230" s="122"/>
      <c r="P1230" s="122"/>
      <c r="Q1230" s="122"/>
      <c r="R1230" s="122"/>
      <c r="S1230" s="122"/>
      <c r="T1230" s="122"/>
      <c r="U1230" s="122"/>
      <c r="V1230" s="122"/>
    </row>
    <row r="1231" spans="2:22" s="126" customFormat="1">
      <c r="B1231" s="120"/>
      <c r="C1231" s="120"/>
      <c r="D1231" s="121"/>
      <c r="E1231" s="127"/>
      <c r="F1231" s="121"/>
      <c r="G1231" s="121"/>
      <c r="H1231" s="121"/>
      <c r="I1231" s="122"/>
      <c r="J1231" s="122"/>
      <c r="K1231" s="122"/>
      <c r="L1231" s="122"/>
      <c r="M1231" s="122"/>
      <c r="N1231" s="122"/>
      <c r="O1231" s="122"/>
      <c r="P1231" s="122"/>
      <c r="Q1231" s="122"/>
      <c r="R1231" s="122"/>
      <c r="S1231" s="122"/>
      <c r="T1231" s="122"/>
      <c r="U1231" s="122"/>
      <c r="V1231" s="122"/>
    </row>
    <row r="1232" spans="2:22" s="126" customFormat="1">
      <c r="B1232" s="120"/>
      <c r="C1232" s="120"/>
      <c r="D1232" s="121"/>
      <c r="E1232" s="127"/>
      <c r="F1232" s="121"/>
      <c r="G1232" s="121"/>
      <c r="H1232" s="121"/>
      <c r="I1232" s="122"/>
      <c r="J1232" s="122"/>
      <c r="K1232" s="122"/>
      <c r="L1232" s="122"/>
      <c r="M1232" s="122"/>
      <c r="N1232" s="122"/>
      <c r="O1232" s="122"/>
      <c r="P1232" s="122"/>
      <c r="Q1232" s="122"/>
      <c r="R1232" s="122"/>
      <c r="S1232" s="122"/>
      <c r="T1232" s="122"/>
      <c r="U1232" s="122"/>
      <c r="V1232" s="122"/>
    </row>
    <row r="1233" spans="2:22" s="126" customFormat="1">
      <c r="B1233" s="120"/>
      <c r="C1233" s="120"/>
      <c r="D1233" s="121"/>
      <c r="E1233" s="127"/>
      <c r="F1233" s="121"/>
      <c r="G1233" s="121"/>
      <c r="H1233" s="121"/>
      <c r="I1233" s="122"/>
      <c r="J1233" s="122"/>
      <c r="K1233" s="122"/>
      <c r="L1233" s="122"/>
      <c r="M1233" s="122"/>
      <c r="N1233" s="122"/>
      <c r="O1233" s="122"/>
      <c r="P1233" s="122"/>
      <c r="Q1233" s="122"/>
      <c r="R1233" s="122"/>
      <c r="S1233" s="122"/>
      <c r="T1233" s="122"/>
      <c r="U1233" s="122"/>
      <c r="V1233" s="122"/>
    </row>
    <row r="1234" spans="2:22" s="126" customFormat="1">
      <c r="B1234" s="120"/>
      <c r="C1234" s="120"/>
      <c r="D1234" s="121"/>
      <c r="E1234" s="127"/>
      <c r="F1234" s="121"/>
      <c r="G1234" s="121"/>
      <c r="H1234" s="121"/>
      <c r="I1234" s="122"/>
      <c r="J1234" s="122"/>
      <c r="K1234" s="122"/>
      <c r="L1234" s="122"/>
      <c r="M1234" s="122"/>
      <c r="N1234" s="122"/>
      <c r="O1234" s="122"/>
      <c r="P1234" s="122"/>
      <c r="Q1234" s="122"/>
      <c r="R1234" s="122"/>
      <c r="S1234" s="122"/>
      <c r="T1234" s="122"/>
      <c r="U1234" s="122"/>
      <c r="V1234" s="122"/>
    </row>
    <row r="1235" spans="2:22" s="126" customFormat="1">
      <c r="B1235" s="120"/>
      <c r="C1235" s="120"/>
      <c r="D1235" s="121"/>
      <c r="E1235" s="127"/>
      <c r="F1235" s="121"/>
      <c r="G1235" s="121"/>
      <c r="H1235" s="121"/>
      <c r="I1235" s="122"/>
      <c r="J1235" s="122"/>
      <c r="K1235" s="122"/>
      <c r="L1235" s="122"/>
      <c r="M1235" s="122"/>
      <c r="N1235" s="122"/>
      <c r="O1235" s="122"/>
      <c r="P1235" s="122"/>
      <c r="Q1235" s="122"/>
      <c r="R1235" s="122"/>
      <c r="S1235" s="122"/>
      <c r="T1235" s="122"/>
      <c r="U1235" s="122"/>
      <c r="V1235" s="122"/>
    </row>
    <row r="1236" spans="2:22" s="126" customFormat="1">
      <c r="B1236" s="120"/>
      <c r="C1236" s="120"/>
      <c r="D1236" s="121"/>
      <c r="E1236" s="127"/>
      <c r="F1236" s="121"/>
      <c r="G1236" s="121"/>
      <c r="H1236" s="121"/>
      <c r="I1236" s="122"/>
      <c r="J1236" s="122"/>
      <c r="K1236" s="122"/>
      <c r="L1236" s="122"/>
      <c r="M1236" s="122"/>
      <c r="N1236" s="122"/>
      <c r="O1236" s="122"/>
      <c r="P1236" s="122"/>
      <c r="Q1236" s="122"/>
      <c r="R1236" s="122"/>
      <c r="S1236" s="122"/>
      <c r="T1236" s="122"/>
      <c r="U1236" s="122"/>
      <c r="V1236" s="122"/>
    </row>
    <row r="1237" spans="2:22" s="126" customFormat="1">
      <c r="B1237" s="120"/>
      <c r="C1237" s="120"/>
      <c r="D1237" s="121"/>
      <c r="E1237" s="127"/>
      <c r="F1237" s="121"/>
      <c r="G1237" s="121"/>
      <c r="H1237" s="121"/>
      <c r="I1237" s="122"/>
      <c r="J1237" s="122"/>
      <c r="K1237" s="122"/>
      <c r="L1237" s="122"/>
      <c r="M1237" s="122"/>
      <c r="N1237" s="122"/>
      <c r="O1237" s="122"/>
      <c r="P1237" s="122"/>
      <c r="Q1237" s="122"/>
      <c r="R1237" s="122"/>
      <c r="S1237" s="122"/>
      <c r="T1237" s="122"/>
      <c r="U1237" s="122"/>
      <c r="V1237" s="122"/>
    </row>
    <row r="1238" spans="2:22" s="126" customFormat="1">
      <c r="B1238" s="120"/>
      <c r="C1238" s="120"/>
      <c r="D1238" s="121"/>
      <c r="E1238" s="127"/>
      <c r="F1238" s="121"/>
      <c r="G1238" s="121"/>
      <c r="H1238" s="121"/>
      <c r="I1238" s="122"/>
      <c r="J1238" s="122"/>
      <c r="K1238" s="122"/>
      <c r="L1238" s="122"/>
      <c r="M1238" s="122"/>
      <c r="N1238" s="122"/>
      <c r="O1238" s="122"/>
      <c r="P1238" s="122"/>
      <c r="Q1238" s="122"/>
      <c r="R1238" s="122"/>
      <c r="S1238" s="122"/>
      <c r="T1238" s="122"/>
      <c r="U1238" s="122"/>
      <c r="V1238" s="122"/>
    </row>
    <row r="1239" spans="2:22" s="126" customFormat="1">
      <c r="B1239" s="120"/>
      <c r="C1239" s="120"/>
      <c r="D1239" s="121"/>
      <c r="E1239" s="127"/>
      <c r="F1239" s="121"/>
      <c r="G1239" s="121"/>
      <c r="H1239" s="121"/>
      <c r="I1239" s="122"/>
      <c r="J1239" s="122"/>
      <c r="K1239" s="122"/>
      <c r="L1239" s="122"/>
      <c r="M1239" s="122"/>
      <c r="N1239" s="122"/>
      <c r="O1239" s="122"/>
      <c r="P1239" s="122"/>
      <c r="Q1239" s="122"/>
      <c r="R1239" s="122"/>
      <c r="S1239" s="122"/>
      <c r="T1239" s="122"/>
      <c r="U1239" s="122"/>
      <c r="V1239" s="122"/>
    </row>
    <row r="1240" spans="2:22" s="126" customFormat="1">
      <c r="B1240" s="120"/>
      <c r="C1240" s="120"/>
      <c r="D1240" s="121"/>
      <c r="E1240" s="127"/>
      <c r="F1240" s="121"/>
      <c r="G1240" s="121"/>
      <c r="H1240" s="121"/>
      <c r="I1240" s="122"/>
      <c r="J1240" s="122"/>
      <c r="K1240" s="122"/>
      <c r="L1240" s="122"/>
      <c r="M1240" s="122"/>
      <c r="N1240" s="122"/>
      <c r="O1240" s="122"/>
      <c r="P1240" s="122"/>
      <c r="Q1240" s="122"/>
      <c r="R1240" s="122"/>
      <c r="S1240" s="122"/>
      <c r="T1240" s="122"/>
      <c r="U1240" s="122"/>
      <c r="V1240" s="122"/>
    </row>
    <row r="1241" spans="2:22" s="126" customFormat="1">
      <c r="B1241" s="120"/>
      <c r="C1241" s="120"/>
      <c r="D1241" s="121"/>
      <c r="E1241" s="127"/>
      <c r="F1241" s="121"/>
      <c r="G1241" s="121"/>
      <c r="H1241" s="121"/>
      <c r="I1241" s="122"/>
      <c r="J1241" s="122"/>
      <c r="K1241" s="122"/>
      <c r="L1241" s="122"/>
      <c r="M1241" s="122"/>
      <c r="N1241" s="122"/>
      <c r="O1241" s="122"/>
      <c r="P1241" s="122"/>
      <c r="Q1241" s="122"/>
      <c r="R1241" s="122"/>
      <c r="S1241" s="122"/>
      <c r="T1241" s="122"/>
      <c r="U1241" s="122"/>
      <c r="V1241" s="122"/>
    </row>
    <row r="1242" spans="2:22" s="126" customFormat="1">
      <c r="B1242" s="120"/>
      <c r="C1242" s="120"/>
      <c r="D1242" s="121"/>
      <c r="E1242" s="127"/>
      <c r="F1242" s="121"/>
      <c r="G1242" s="121"/>
      <c r="H1242" s="121"/>
      <c r="I1242" s="122"/>
      <c r="J1242" s="122"/>
      <c r="K1242" s="122"/>
      <c r="L1242" s="122"/>
      <c r="M1242" s="122"/>
      <c r="N1242" s="122"/>
      <c r="O1242" s="122"/>
      <c r="P1242" s="122"/>
      <c r="Q1242" s="122"/>
      <c r="R1242" s="122"/>
      <c r="S1242" s="122"/>
      <c r="T1242" s="122"/>
      <c r="U1242" s="122"/>
      <c r="V1242" s="122"/>
    </row>
    <row r="1243" spans="2:22" s="126" customFormat="1">
      <c r="B1243" s="120"/>
      <c r="C1243" s="120"/>
      <c r="D1243" s="121"/>
      <c r="E1243" s="127"/>
      <c r="F1243" s="121"/>
      <c r="G1243" s="121"/>
      <c r="H1243" s="121"/>
      <c r="I1243" s="122"/>
      <c r="J1243" s="122"/>
      <c r="K1243" s="122"/>
      <c r="L1243" s="122"/>
      <c r="M1243" s="122"/>
      <c r="N1243" s="122"/>
      <c r="O1243" s="122"/>
      <c r="P1243" s="122"/>
      <c r="Q1243" s="122"/>
      <c r="R1243" s="122"/>
      <c r="S1243" s="122"/>
      <c r="T1243" s="122"/>
      <c r="U1243" s="122"/>
      <c r="V1243" s="122"/>
    </row>
    <row r="1244" spans="2:22" s="126" customFormat="1">
      <c r="B1244" s="120"/>
      <c r="C1244" s="120"/>
      <c r="D1244" s="121"/>
      <c r="E1244" s="127"/>
      <c r="F1244" s="121"/>
      <c r="G1244" s="121"/>
      <c r="H1244" s="121"/>
      <c r="I1244" s="122"/>
      <c r="J1244" s="122"/>
      <c r="K1244" s="122"/>
      <c r="L1244" s="122"/>
      <c r="M1244" s="122"/>
      <c r="N1244" s="122"/>
      <c r="O1244" s="122"/>
      <c r="P1244" s="122"/>
      <c r="Q1244" s="122"/>
      <c r="R1244" s="122"/>
      <c r="S1244" s="122"/>
      <c r="T1244" s="122"/>
      <c r="U1244" s="122"/>
      <c r="V1244" s="122"/>
    </row>
    <row r="1245" spans="2:22" s="126" customFormat="1">
      <c r="B1245" s="120"/>
      <c r="C1245" s="120"/>
      <c r="D1245" s="121"/>
      <c r="E1245" s="127"/>
      <c r="F1245" s="121"/>
      <c r="G1245" s="121"/>
      <c r="H1245" s="121"/>
      <c r="I1245" s="122"/>
      <c r="J1245" s="122"/>
      <c r="K1245" s="122"/>
      <c r="L1245" s="122"/>
      <c r="M1245" s="122"/>
      <c r="N1245" s="122"/>
      <c r="O1245" s="122"/>
      <c r="P1245" s="122"/>
      <c r="Q1245" s="122"/>
      <c r="R1245" s="122"/>
      <c r="S1245" s="122"/>
      <c r="T1245" s="122"/>
      <c r="U1245" s="122"/>
      <c r="V1245" s="122"/>
    </row>
    <row r="1246" spans="2:22" s="126" customFormat="1">
      <c r="B1246" s="120"/>
      <c r="C1246" s="120"/>
      <c r="D1246" s="121"/>
      <c r="E1246" s="127"/>
      <c r="F1246" s="121"/>
      <c r="G1246" s="121"/>
      <c r="H1246" s="121"/>
      <c r="I1246" s="122"/>
      <c r="J1246" s="122"/>
      <c r="K1246" s="122"/>
      <c r="L1246" s="122"/>
      <c r="M1246" s="122"/>
      <c r="N1246" s="122"/>
      <c r="O1246" s="122"/>
      <c r="P1246" s="122"/>
      <c r="Q1246" s="122"/>
      <c r="R1246" s="122"/>
      <c r="S1246" s="122"/>
      <c r="T1246" s="122"/>
      <c r="U1246" s="122"/>
      <c r="V1246" s="122"/>
    </row>
    <row r="1247" spans="2:22" s="126" customFormat="1">
      <c r="B1247" s="120"/>
      <c r="C1247" s="120"/>
      <c r="D1247" s="121"/>
      <c r="E1247" s="127"/>
      <c r="F1247" s="121"/>
      <c r="G1247" s="121"/>
      <c r="H1247" s="121"/>
      <c r="I1247" s="122"/>
      <c r="J1247" s="122"/>
      <c r="K1247" s="122"/>
      <c r="L1247" s="122"/>
      <c r="M1247" s="122"/>
      <c r="N1247" s="122"/>
      <c r="O1247" s="122"/>
      <c r="P1247" s="122"/>
      <c r="Q1247" s="122"/>
      <c r="R1247" s="122"/>
      <c r="S1247" s="122"/>
      <c r="T1247" s="122"/>
      <c r="U1247" s="122"/>
      <c r="V1247" s="122"/>
    </row>
    <row r="1248" spans="2:22" s="126" customFormat="1">
      <c r="B1248" s="120"/>
      <c r="C1248" s="120"/>
      <c r="D1248" s="121"/>
      <c r="E1248" s="127"/>
      <c r="F1248" s="121"/>
      <c r="G1248" s="121"/>
      <c r="H1248" s="121"/>
      <c r="I1248" s="122"/>
      <c r="J1248" s="122"/>
      <c r="K1248" s="122"/>
      <c r="L1248" s="122"/>
      <c r="M1248" s="122"/>
      <c r="N1248" s="122"/>
      <c r="O1248" s="122"/>
      <c r="P1248" s="122"/>
      <c r="Q1248" s="122"/>
      <c r="R1248" s="122"/>
      <c r="S1248" s="122"/>
      <c r="T1248" s="122"/>
      <c r="U1248" s="122"/>
      <c r="V1248" s="122"/>
    </row>
    <row r="1249" spans="2:22" s="126" customFormat="1">
      <c r="B1249" s="120"/>
      <c r="C1249" s="120"/>
      <c r="D1249" s="121"/>
      <c r="E1249" s="127"/>
      <c r="F1249" s="121"/>
      <c r="G1249" s="121"/>
      <c r="H1249" s="121"/>
      <c r="I1249" s="122"/>
      <c r="J1249" s="122"/>
      <c r="K1249" s="122"/>
      <c r="L1249" s="122"/>
      <c r="M1249" s="122"/>
      <c r="N1249" s="122"/>
      <c r="O1249" s="122"/>
      <c r="P1249" s="122"/>
      <c r="Q1249" s="122"/>
      <c r="R1249" s="122"/>
      <c r="S1249" s="122"/>
      <c r="T1249" s="122"/>
      <c r="U1249" s="122"/>
      <c r="V1249" s="122"/>
    </row>
    <row r="1250" spans="2:22" s="126" customFormat="1">
      <c r="B1250" s="120"/>
      <c r="C1250" s="120"/>
      <c r="D1250" s="121"/>
      <c r="E1250" s="127"/>
      <c r="F1250" s="121"/>
      <c r="G1250" s="121"/>
      <c r="H1250" s="121"/>
      <c r="I1250" s="122"/>
      <c r="J1250" s="122"/>
      <c r="K1250" s="122"/>
      <c r="L1250" s="122"/>
      <c r="M1250" s="122"/>
      <c r="N1250" s="122"/>
      <c r="O1250" s="122"/>
      <c r="P1250" s="122"/>
      <c r="Q1250" s="122"/>
      <c r="R1250" s="122"/>
      <c r="S1250" s="122"/>
      <c r="T1250" s="122"/>
      <c r="U1250" s="122"/>
      <c r="V1250" s="122"/>
    </row>
    <row r="1251" spans="2:22" s="126" customFormat="1">
      <c r="B1251" s="120"/>
      <c r="C1251" s="120"/>
      <c r="D1251" s="121"/>
      <c r="E1251" s="127"/>
      <c r="F1251" s="121"/>
      <c r="G1251" s="121"/>
      <c r="H1251" s="121"/>
      <c r="I1251" s="122"/>
      <c r="J1251" s="122"/>
      <c r="K1251" s="122"/>
      <c r="L1251" s="122"/>
      <c r="M1251" s="122"/>
      <c r="N1251" s="122"/>
      <c r="O1251" s="122"/>
      <c r="P1251" s="122"/>
      <c r="Q1251" s="122"/>
      <c r="R1251" s="122"/>
      <c r="S1251" s="122"/>
      <c r="T1251" s="122"/>
      <c r="U1251" s="122"/>
      <c r="V1251" s="122"/>
    </row>
    <row r="1252" spans="2:22" s="126" customFormat="1">
      <c r="B1252" s="120"/>
      <c r="C1252" s="120"/>
      <c r="D1252" s="121"/>
      <c r="E1252" s="127"/>
      <c r="F1252" s="121"/>
      <c r="G1252" s="121"/>
      <c r="H1252" s="121"/>
      <c r="I1252" s="122"/>
      <c r="J1252" s="122"/>
      <c r="K1252" s="122"/>
      <c r="L1252" s="122"/>
      <c r="M1252" s="122"/>
      <c r="N1252" s="122"/>
      <c r="O1252" s="122"/>
      <c r="P1252" s="122"/>
      <c r="Q1252" s="122"/>
      <c r="R1252" s="122"/>
      <c r="S1252" s="122"/>
      <c r="T1252" s="122"/>
      <c r="U1252" s="122"/>
      <c r="V1252" s="122"/>
    </row>
    <row r="1253" spans="2:22" s="126" customFormat="1">
      <c r="B1253" s="120"/>
      <c r="C1253" s="120"/>
      <c r="D1253" s="121"/>
      <c r="E1253" s="127"/>
      <c r="F1253" s="121"/>
      <c r="G1253" s="121"/>
      <c r="H1253" s="121"/>
      <c r="I1253" s="122"/>
      <c r="J1253" s="122"/>
      <c r="K1253" s="122"/>
      <c r="L1253" s="122"/>
      <c r="M1253" s="122"/>
      <c r="N1253" s="122"/>
      <c r="O1253" s="122"/>
      <c r="P1253" s="122"/>
      <c r="Q1253" s="122"/>
      <c r="R1253" s="122"/>
      <c r="S1253" s="122"/>
      <c r="T1253" s="122"/>
      <c r="U1253" s="122"/>
      <c r="V1253" s="122"/>
    </row>
    <row r="1254" spans="2:22" s="126" customFormat="1">
      <c r="B1254" s="120"/>
      <c r="C1254" s="120"/>
      <c r="D1254" s="121"/>
      <c r="E1254" s="127"/>
      <c r="F1254" s="121"/>
      <c r="G1254" s="121"/>
      <c r="H1254" s="121"/>
      <c r="I1254" s="122"/>
      <c r="J1254" s="122"/>
      <c r="K1254" s="122"/>
      <c r="L1254" s="122"/>
      <c r="M1254" s="122"/>
      <c r="N1254" s="122"/>
      <c r="O1254" s="122"/>
      <c r="P1254" s="122"/>
      <c r="Q1254" s="122"/>
      <c r="R1254" s="122"/>
      <c r="S1254" s="122"/>
      <c r="T1254" s="122"/>
      <c r="U1254" s="122"/>
      <c r="V1254" s="122"/>
    </row>
    <row r="1255" spans="2:22" s="126" customFormat="1">
      <c r="B1255" s="120"/>
      <c r="C1255" s="120"/>
      <c r="D1255" s="121"/>
      <c r="E1255" s="127"/>
      <c r="F1255" s="121"/>
      <c r="G1255" s="121"/>
      <c r="H1255" s="121"/>
      <c r="I1255" s="122"/>
      <c r="J1255" s="122"/>
      <c r="K1255" s="122"/>
      <c r="L1255" s="122"/>
      <c r="M1255" s="122"/>
      <c r="N1255" s="122"/>
      <c r="O1255" s="122"/>
      <c r="P1255" s="122"/>
      <c r="Q1255" s="122"/>
      <c r="R1255" s="122"/>
      <c r="S1255" s="122"/>
      <c r="T1255" s="122"/>
      <c r="U1255" s="122"/>
      <c r="V1255" s="122"/>
    </row>
    <row r="1256" spans="2:22" s="126" customFormat="1">
      <c r="B1256" s="120"/>
      <c r="C1256" s="120"/>
      <c r="D1256" s="121"/>
      <c r="E1256" s="127"/>
      <c r="F1256" s="121"/>
      <c r="G1256" s="121"/>
      <c r="H1256" s="121"/>
      <c r="I1256" s="122"/>
      <c r="J1256" s="122"/>
      <c r="K1256" s="122"/>
      <c r="L1256" s="122"/>
      <c r="M1256" s="122"/>
      <c r="N1256" s="122"/>
      <c r="O1256" s="122"/>
      <c r="P1256" s="122"/>
      <c r="Q1256" s="122"/>
      <c r="R1256" s="122"/>
      <c r="S1256" s="122"/>
      <c r="T1256" s="122"/>
      <c r="U1256" s="122"/>
      <c r="V1256" s="122"/>
    </row>
    <row r="1257" spans="2:22" s="126" customFormat="1">
      <c r="B1257" s="120"/>
      <c r="C1257" s="120"/>
      <c r="D1257" s="121"/>
      <c r="E1257" s="127"/>
      <c r="F1257" s="121"/>
      <c r="G1257" s="121"/>
      <c r="H1257" s="121"/>
      <c r="I1257" s="122"/>
      <c r="J1257" s="122"/>
      <c r="K1257" s="122"/>
      <c r="L1257" s="122"/>
      <c r="M1257" s="122"/>
      <c r="N1257" s="122"/>
      <c r="O1257" s="122"/>
      <c r="P1257" s="122"/>
      <c r="Q1257" s="122"/>
      <c r="R1257" s="122"/>
      <c r="S1257" s="122"/>
      <c r="T1257" s="122"/>
      <c r="U1257" s="122"/>
      <c r="V1257" s="122"/>
    </row>
    <row r="1258" spans="2:22" s="126" customFormat="1">
      <c r="B1258" s="120"/>
      <c r="C1258" s="120"/>
      <c r="D1258" s="121"/>
      <c r="E1258" s="127"/>
      <c r="F1258" s="121"/>
      <c r="G1258" s="121"/>
      <c r="H1258" s="121"/>
      <c r="I1258" s="122"/>
      <c r="J1258" s="122"/>
      <c r="K1258" s="122"/>
      <c r="L1258" s="122"/>
      <c r="M1258" s="122"/>
      <c r="N1258" s="122"/>
      <c r="O1258" s="122"/>
      <c r="P1258" s="122"/>
      <c r="Q1258" s="122"/>
      <c r="R1258" s="122"/>
      <c r="S1258" s="122"/>
      <c r="T1258" s="122"/>
      <c r="U1258" s="122"/>
      <c r="V1258" s="122"/>
    </row>
    <row r="1259" spans="2:22" s="126" customFormat="1">
      <c r="B1259" s="120"/>
      <c r="C1259" s="120"/>
      <c r="D1259" s="121"/>
      <c r="E1259" s="127"/>
      <c r="F1259" s="121"/>
      <c r="G1259" s="121"/>
      <c r="H1259" s="121"/>
      <c r="I1259" s="122"/>
      <c r="J1259" s="122"/>
      <c r="K1259" s="122"/>
      <c r="L1259" s="122"/>
      <c r="M1259" s="122"/>
      <c r="N1259" s="122"/>
      <c r="O1259" s="122"/>
      <c r="P1259" s="122"/>
      <c r="Q1259" s="122"/>
      <c r="R1259" s="122"/>
      <c r="S1259" s="122"/>
      <c r="T1259" s="122"/>
      <c r="U1259" s="122"/>
      <c r="V1259" s="122"/>
    </row>
    <row r="1260" spans="2:22" s="126" customFormat="1">
      <c r="B1260" s="120"/>
      <c r="C1260" s="120"/>
      <c r="D1260" s="121"/>
      <c r="E1260" s="127"/>
      <c r="F1260" s="121"/>
      <c r="G1260" s="121"/>
      <c r="H1260" s="121"/>
      <c r="I1260" s="122"/>
      <c r="J1260" s="122"/>
      <c r="K1260" s="122"/>
      <c r="L1260" s="122"/>
      <c r="M1260" s="122"/>
      <c r="N1260" s="122"/>
      <c r="O1260" s="122"/>
      <c r="P1260" s="122"/>
      <c r="Q1260" s="122"/>
      <c r="R1260" s="122"/>
      <c r="S1260" s="122"/>
      <c r="T1260" s="122"/>
      <c r="U1260" s="122"/>
      <c r="V1260" s="122"/>
    </row>
    <row r="1261" spans="2:22" s="126" customFormat="1">
      <c r="B1261" s="120"/>
      <c r="C1261" s="120"/>
      <c r="D1261" s="121"/>
      <c r="E1261" s="127"/>
      <c r="F1261" s="121"/>
      <c r="G1261" s="121"/>
      <c r="H1261" s="121"/>
      <c r="I1261" s="122"/>
      <c r="J1261" s="122"/>
      <c r="K1261" s="122"/>
      <c r="L1261" s="122"/>
      <c r="M1261" s="122"/>
      <c r="N1261" s="122"/>
      <c r="O1261" s="122"/>
      <c r="P1261" s="122"/>
      <c r="Q1261" s="122"/>
      <c r="R1261" s="122"/>
      <c r="S1261" s="122"/>
      <c r="T1261" s="122"/>
      <c r="U1261" s="122"/>
      <c r="V1261" s="122"/>
    </row>
    <row r="1262" spans="2:22" s="126" customFormat="1">
      <c r="B1262" s="120"/>
      <c r="C1262" s="120"/>
      <c r="D1262" s="121"/>
      <c r="E1262" s="127"/>
      <c r="F1262" s="121"/>
      <c r="G1262" s="121"/>
      <c r="H1262" s="121"/>
      <c r="I1262" s="122"/>
      <c r="J1262" s="122"/>
      <c r="K1262" s="122"/>
      <c r="L1262" s="122"/>
      <c r="M1262" s="122"/>
      <c r="N1262" s="122"/>
      <c r="O1262" s="122"/>
      <c r="P1262" s="122"/>
      <c r="Q1262" s="122"/>
      <c r="R1262" s="122"/>
      <c r="S1262" s="122"/>
      <c r="T1262" s="122"/>
      <c r="U1262" s="122"/>
      <c r="V1262" s="122"/>
    </row>
    <row r="1263" spans="2:22" s="126" customFormat="1">
      <c r="B1263" s="120"/>
      <c r="C1263" s="120"/>
      <c r="D1263" s="121"/>
      <c r="E1263" s="127"/>
      <c r="F1263" s="121"/>
      <c r="G1263" s="121"/>
      <c r="H1263" s="121"/>
      <c r="I1263" s="122"/>
      <c r="J1263" s="122"/>
      <c r="K1263" s="122"/>
      <c r="L1263" s="122"/>
      <c r="M1263" s="122"/>
      <c r="N1263" s="122"/>
      <c r="O1263" s="122"/>
      <c r="P1263" s="122"/>
      <c r="Q1263" s="122"/>
      <c r="R1263" s="122"/>
      <c r="S1263" s="122"/>
      <c r="T1263" s="122"/>
      <c r="U1263" s="122"/>
      <c r="V1263" s="122"/>
    </row>
    <row r="1264" spans="2:22" s="126" customFormat="1">
      <c r="B1264" s="120"/>
      <c r="C1264" s="120"/>
      <c r="D1264" s="121"/>
      <c r="E1264" s="127"/>
      <c r="F1264" s="121"/>
      <c r="G1264" s="121"/>
      <c r="H1264" s="121"/>
      <c r="I1264" s="122"/>
      <c r="J1264" s="122"/>
      <c r="K1264" s="122"/>
      <c r="L1264" s="122"/>
      <c r="M1264" s="122"/>
      <c r="N1264" s="122"/>
      <c r="O1264" s="122"/>
      <c r="P1264" s="122"/>
      <c r="Q1264" s="122"/>
      <c r="R1264" s="122"/>
      <c r="S1264" s="122"/>
      <c r="T1264" s="122"/>
      <c r="U1264" s="122"/>
      <c r="V1264" s="122"/>
    </row>
    <row r="1265" spans="2:22" s="126" customFormat="1">
      <c r="B1265" s="120"/>
      <c r="C1265" s="120"/>
      <c r="D1265" s="121"/>
      <c r="E1265" s="127"/>
      <c r="F1265" s="121"/>
      <c r="G1265" s="121"/>
      <c r="H1265" s="121"/>
      <c r="I1265" s="122"/>
      <c r="J1265" s="122"/>
      <c r="K1265" s="122"/>
      <c r="L1265" s="122"/>
      <c r="M1265" s="122"/>
      <c r="N1265" s="122"/>
      <c r="O1265" s="122"/>
      <c r="P1265" s="122"/>
      <c r="Q1265" s="122"/>
      <c r="R1265" s="122"/>
      <c r="S1265" s="122"/>
      <c r="T1265" s="122"/>
      <c r="U1265" s="122"/>
      <c r="V1265" s="122"/>
    </row>
    <row r="1266" spans="2:22" s="126" customFormat="1">
      <c r="B1266" s="120"/>
      <c r="C1266" s="120"/>
      <c r="D1266" s="121"/>
      <c r="E1266" s="127"/>
      <c r="F1266" s="121"/>
      <c r="G1266" s="121"/>
      <c r="H1266" s="121"/>
      <c r="I1266" s="122"/>
      <c r="J1266" s="122"/>
      <c r="K1266" s="122"/>
      <c r="L1266" s="122"/>
      <c r="M1266" s="122"/>
      <c r="N1266" s="122"/>
      <c r="O1266" s="122"/>
      <c r="P1266" s="122"/>
      <c r="Q1266" s="122"/>
      <c r="R1266" s="122"/>
      <c r="S1266" s="122"/>
      <c r="T1266" s="122"/>
      <c r="U1266" s="122"/>
      <c r="V1266" s="122"/>
    </row>
    <row r="1267" spans="2:22" s="126" customFormat="1">
      <c r="B1267" s="120"/>
      <c r="C1267" s="120"/>
      <c r="D1267" s="121"/>
      <c r="E1267" s="127"/>
      <c r="F1267" s="121"/>
      <c r="G1267" s="121"/>
      <c r="H1267" s="121"/>
      <c r="I1267" s="122"/>
      <c r="J1267" s="122"/>
      <c r="K1267" s="122"/>
      <c r="L1267" s="122"/>
      <c r="M1267" s="122"/>
      <c r="N1267" s="122"/>
      <c r="O1267" s="122"/>
      <c r="P1267" s="122"/>
      <c r="Q1267" s="122"/>
      <c r="R1267" s="122"/>
      <c r="S1267" s="122"/>
      <c r="T1267" s="122"/>
      <c r="U1267" s="122"/>
      <c r="V1267" s="122"/>
    </row>
    <row r="1268" spans="2:22" s="126" customFormat="1">
      <c r="B1268" s="120"/>
      <c r="C1268" s="120"/>
      <c r="D1268" s="121"/>
      <c r="E1268" s="127"/>
      <c r="F1268" s="121"/>
      <c r="G1268" s="121"/>
      <c r="H1268" s="121"/>
      <c r="I1268" s="122"/>
      <c r="J1268" s="122"/>
      <c r="K1268" s="122"/>
      <c r="L1268" s="122"/>
      <c r="M1268" s="122"/>
      <c r="N1268" s="122"/>
      <c r="O1268" s="122"/>
      <c r="P1268" s="122"/>
      <c r="Q1268" s="122"/>
      <c r="R1268" s="122"/>
      <c r="S1268" s="122"/>
      <c r="T1268" s="122"/>
      <c r="U1268" s="122"/>
      <c r="V1268" s="122"/>
    </row>
    <row r="1269" spans="2:22" s="126" customFormat="1">
      <c r="B1269" s="120"/>
      <c r="C1269" s="120"/>
      <c r="D1269" s="121"/>
      <c r="E1269" s="127"/>
      <c r="F1269" s="121"/>
      <c r="G1269" s="121"/>
      <c r="H1269" s="121"/>
      <c r="I1269" s="122"/>
      <c r="J1269" s="122"/>
      <c r="K1269" s="122"/>
      <c r="L1269" s="122"/>
      <c r="M1269" s="122"/>
      <c r="N1269" s="122"/>
      <c r="O1269" s="122"/>
      <c r="P1269" s="122"/>
      <c r="Q1269" s="122"/>
      <c r="R1269" s="122"/>
      <c r="S1269" s="122"/>
      <c r="T1269" s="122"/>
      <c r="U1269" s="122"/>
      <c r="V1269" s="122"/>
    </row>
    <row r="1270" spans="2:22" s="126" customFormat="1">
      <c r="B1270" s="120"/>
      <c r="C1270" s="120"/>
      <c r="D1270" s="121"/>
      <c r="E1270" s="127"/>
      <c r="F1270" s="121"/>
      <c r="G1270" s="121"/>
      <c r="H1270" s="121"/>
      <c r="I1270" s="122"/>
      <c r="J1270" s="122"/>
      <c r="K1270" s="122"/>
      <c r="L1270" s="122"/>
      <c r="M1270" s="122"/>
      <c r="N1270" s="122"/>
      <c r="O1270" s="122"/>
      <c r="P1270" s="122"/>
      <c r="Q1270" s="122"/>
      <c r="R1270" s="122"/>
      <c r="S1270" s="122"/>
      <c r="T1270" s="122"/>
      <c r="U1270" s="122"/>
      <c r="V1270" s="122"/>
    </row>
    <row r="1271" spans="2:22" s="126" customFormat="1">
      <c r="B1271" s="120"/>
      <c r="C1271" s="120"/>
      <c r="D1271" s="121"/>
      <c r="E1271" s="127"/>
      <c r="F1271" s="121"/>
      <c r="G1271" s="121"/>
      <c r="H1271" s="121"/>
      <c r="I1271" s="122"/>
      <c r="J1271" s="122"/>
      <c r="K1271" s="122"/>
      <c r="L1271" s="122"/>
      <c r="M1271" s="122"/>
      <c r="N1271" s="122"/>
      <c r="O1271" s="122"/>
      <c r="P1271" s="122"/>
      <c r="Q1271" s="122"/>
      <c r="R1271" s="122"/>
      <c r="S1271" s="122"/>
      <c r="T1271" s="122"/>
      <c r="U1271" s="122"/>
      <c r="V1271" s="122"/>
    </row>
    <row r="1272" spans="2:22" s="126" customFormat="1">
      <c r="B1272" s="120"/>
      <c r="C1272" s="120"/>
      <c r="D1272" s="121"/>
      <c r="E1272" s="127"/>
      <c r="F1272" s="121"/>
      <c r="G1272" s="121"/>
      <c r="H1272" s="121"/>
      <c r="I1272" s="122"/>
      <c r="J1272" s="122"/>
      <c r="K1272" s="122"/>
      <c r="L1272" s="122"/>
      <c r="M1272" s="122"/>
      <c r="N1272" s="122"/>
      <c r="O1272" s="122"/>
      <c r="P1272" s="122"/>
      <c r="Q1272" s="122"/>
      <c r="R1272" s="122"/>
      <c r="S1272" s="122"/>
      <c r="T1272" s="122"/>
      <c r="U1272" s="122"/>
      <c r="V1272" s="122"/>
    </row>
    <row r="1273" spans="2:22" s="126" customFormat="1">
      <c r="B1273" s="120"/>
      <c r="C1273" s="120"/>
      <c r="D1273" s="121"/>
      <c r="E1273" s="127"/>
      <c r="F1273" s="121"/>
      <c r="G1273" s="121"/>
      <c r="H1273" s="121"/>
      <c r="I1273" s="122"/>
      <c r="J1273" s="122"/>
      <c r="K1273" s="122"/>
      <c r="L1273" s="122"/>
      <c r="M1273" s="122"/>
      <c r="N1273" s="122"/>
      <c r="O1273" s="122"/>
      <c r="P1273" s="122"/>
      <c r="Q1273" s="122"/>
      <c r="R1273" s="122"/>
      <c r="S1273" s="122"/>
      <c r="T1273" s="122"/>
      <c r="U1273" s="122"/>
      <c r="V1273" s="122"/>
    </row>
    <row r="1274" spans="2:22" s="126" customFormat="1">
      <c r="B1274" s="120"/>
      <c r="C1274" s="120"/>
      <c r="D1274" s="121"/>
      <c r="E1274" s="127"/>
      <c r="F1274" s="121"/>
      <c r="G1274" s="121"/>
      <c r="H1274" s="121"/>
      <c r="I1274" s="122"/>
      <c r="J1274" s="122"/>
      <c r="K1274" s="122"/>
      <c r="L1274" s="122"/>
      <c r="M1274" s="122"/>
      <c r="N1274" s="122"/>
      <c r="O1274" s="122"/>
      <c r="P1274" s="122"/>
      <c r="Q1274" s="122"/>
      <c r="R1274" s="122"/>
      <c r="S1274" s="122"/>
      <c r="T1274" s="122"/>
      <c r="U1274" s="122"/>
      <c r="V1274" s="122"/>
    </row>
    <row r="1275" spans="2:22" s="126" customFormat="1">
      <c r="B1275" s="120"/>
      <c r="C1275" s="120"/>
      <c r="D1275" s="121"/>
      <c r="E1275" s="127"/>
      <c r="F1275" s="121"/>
      <c r="G1275" s="121"/>
      <c r="H1275" s="121"/>
      <c r="I1275" s="122"/>
      <c r="J1275" s="122"/>
      <c r="K1275" s="122"/>
      <c r="L1275" s="122"/>
      <c r="M1275" s="122"/>
      <c r="N1275" s="122"/>
      <c r="O1275" s="122"/>
      <c r="P1275" s="122"/>
      <c r="Q1275" s="122"/>
      <c r="R1275" s="122"/>
      <c r="S1275" s="122"/>
      <c r="T1275" s="122"/>
      <c r="U1275" s="122"/>
      <c r="V1275" s="122"/>
    </row>
    <row r="1276" spans="2:22" s="126" customFormat="1">
      <c r="B1276" s="120"/>
      <c r="C1276" s="120"/>
      <c r="D1276" s="121"/>
      <c r="E1276" s="127"/>
      <c r="F1276" s="121"/>
      <c r="G1276" s="121"/>
      <c r="H1276" s="121"/>
      <c r="I1276" s="122"/>
      <c r="J1276" s="122"/>
      <c r="K1276" s="122"/>
      <c r="L1276" s="122"/>
      <c r="M1276" s="122"/>
      <c r="N1276" s="122"/>
      <c r="O1276" s="122"/>
      <c r="P1276" s="122"/>
      <c r="Q1276" s="122"/>
      <c r="R1276" s="122"/>
      <c r="S1276" s="122"/>
      <c r="T1276" s="122"/>
      <c r="U1276" s="122"/>
      <c r="V1276" s="122"/>
    </row>
    <row r="1277" spans="2:22" s="126" customFormat="1">
      <c r="B1277" s="120"/>
      <c r="C1277" s="120"/>
      <c r="D1277" s="121"/>
      <c r="E1277" s="127"/>
      <c r="F1277" s="121"/>
      <c r="G1277" s="121"/>
      <c r="H1277" s="121"/>
      <c r="I1277" s="122"/>
      <c r="J1277" s="122"/>
      <c r="K1277" s="122"/>
      <c r="L1277" s="122"/>
      <c r="M1277" s="122"/>
      <c r="N1277" s="122"/>
      <c r="O1277" s="122"/>
      <c r="P1277" s="122"/>
      <c r="Q1277" s="122"/>
      <c r="R1277" s="122"/>
      <c r="S1277" s="122"/>
      <c r="T1277" s="122"/>
      <c r="U1277" s="122"/>
      <c r="V1277" s="122"/>
    </row>
    <row r="1278" spans="2:22" s="126" customFormat="1">
      <c r="B1278" s="120"/>
      <c r="C1278" s="120"/>
      <c r="D1278" s="121"/>
      <c r="E1278" s="127"/>
      <c r="F1278" s="121"/>
      <c r="G1278" s="121"/>
      <c r="H1278" s="121"/>
      <c r="I1278" s="122"/>
      <c r="J1278" s="122"/>
      <c r="K1278" s="122"/>
      <c r="L1278" s="122"/>
      <c r="M1278" s="122"/>
      <c r="N1278" s="122"/>
      <c r="O1278" s="122"/>
      <c r="P1278" s="122"/>
      <c r="Q1278" s="122"/>
      <c r="R1278" s="122"/>
      <c r="S1278" s="122"/>
      <c r="T1278" s="122"/>
      <c r="U1278" s="122"/>
      <c r="V1278" s="122"/>
    </row>
    <row r="1279" spans="2:22" s="126" customFormat="1">
      <c r="B1279" s="120"/>
      <c r="C1279" s="120"/>
      <c r="D1279" s="121"/>
      <c r="E1279" s="127"/>
      <c r="F1279" s="121"/>
      <c r="G1279" s="121"/>
      <c r="H1279" s="121"/>
      <c r="I1279" s="122"/>
      <c r="J1279" s="122"/>
      <c r="K1279" s="122"/>
      <c r="L1279" s="122"/>
      <c r="M1279" s="122"/>
      <c r="N1279" s="122"/>
      <c r="O1279" s="122"/>
      <c r="P1279" s="122"/>
      <c r="Q1279" s="122"/>
      <c r="R1279" s="122"/>
      <c r="S1279" s="122"/>
      <c r="T1279" s="122"/>
      <c r="U1279" s="122"/>
      <c r="V1279" s="122"/>
    </row>
    <row r="1280" spans="2:22" s="126" customFormat="1">
      <c r="B1280" s="120"/>
      <c r="C1280" s="120"/>
      <c r="D1280" s="121"/>
      <c r="E1280" s="127"/>
      <c r="F1280" s="121"/>
      <c r="G1280" s="121"/>
      <c r="H1280" s="121"/>
      <c r="I1280" s="122"/>
      <c r="J1280" s="122"/>
      <c r="K1280" s="122"/>
      <c r="L1280" s="122"/>
      <c r="M1280" s="122"/>
      <c r="N1280" s="122"/>
      <c r="O1280" s="122"/>
      <c r="P1280" s="122"/>
      <c r="Q1280" s="122"/>
      <c r="R1280" s="122"/>
      <c r="S1280" s="122"/>
      <c r="T1280" s="122"/>
      <c r="U1280" s="122"/>
      <c r="V1280" s="122"/>
    </row>
    <row r="1281" spans="2:22" s="126" customFormat="1">
      <c r="B1281" s="120"/>
      <c r="C1281" s="120"/>
      <c r="D1281" s="121"/>
      <c r="E1281" s="127"/>
      <c r="F1281" s="121"/>
      <c r="G1281" s="121"/>
      <c r="H1281" s="121"/>
      <c r="I1281" s="122"/>
      <c r="J1281" s="122"/>
      <c r="K1281" s="122"/>
      <c r="L1281" s="122"/>
      <c r="M1281" s="122"/>
      <c r="N1281" s="122"/>
      <c r="O1281" s="122"/>
      <c r="P1281" s="122"/>
      <c r="Q1281" s="122"/>
      <c r="R1281" s="122"/>
      <c r="S1281" s="122"/>
      <c r="T1281" s="122"/>
      <c r="U1281" s="122"/>
      <c r="V1281" s="122"/>
    </row>
    <row r="1282" spans="2:22" s="126" customFormat="1">
      <c r="B1282" s="120"/>
      <c r="C1282" s="120"/>
      <c r="D1282" s="121"/>
      <c r="E1282" s="127"/>
      <c r="F1282" s="121"/>
      <c r="G1282" s="121"/>
      <c r="H1282" s="121"/>
      <c r="I1282" s="122"/>
      <c r="J1282" s="122"/>
      <c r="K1282" s="122"/>
      <c r="L1282" s="122"/>
      <c r="M1282" s="122"/>
      <c r="N1282" s="122"/>
      <c r="O1282" s="122"/>
      <c r="P1282" s="122"/>
      <c r="Q1282" s="122"/>
      <c r="R1282" s="122"/>
      <c r="S1282" s="122"/>
      <c r="T1282" s="122"/>
      <c r="U1282" s="122"/>
      <c r="V1282" s="122"/>
    </row>
    <row r="1283" spans="2:22" s="126" customFormat="1">
      <c r="B1283" s="120"/>
      <c r="C1283" s="120"/>
      <c r="D1283" s="121"/>
      <c r="E1283" s="127"/>
      <c r="F1283" s="121"/>
      <c r="G1283" s="121"/>
      <c r="H1283" s="121"/>
      <c r="I1283" s="122"/>
      <c r="J1283" s="122"/>
      <c r="K1283" s="122"/>
      <c r="L1283" s="122"/>
      <c r="M1283" s="122"/>
      <c r="N1283" s="122"/>
      <c r="O1283" s="122"/>
      <c r="P1283" s="122"/>
      <c r="Q1283" s="122"/>
      <c r="R1283" s="122"/>
      <c r="S1283" s="122"/>
      <c r="T1283" s="122"/>
      <c r="U1283" s="122"/>
      <c r="V1283" s="122"/>
    </row>
    <row r="1284" spans="2:22" s="126" customFormat="1">
      <c r="B1284" s="120"/>
      <c r="C1284" s="120"/>
      <c r="D1284" s="121"/>
      <c r="E1284" s="127"/>
      <c r="F1284" s="121"/>
      <c r="G1284" s="121"/>
      <c r="H1284" s="121"/>
      <c r="I1284" s="122"/>
      <c r="J1284" s="122"/>
      <c r="K1284" s="122"/>
      <c r="L1284" s="122"/>
      <c r="M1284" s="122"/>
      <c r="N1284" s="122"/>
      <c r="O1284" s="122"/>
      <c r="P1284" s="122"/>
      <c r="Q1284" s="122"/>
      <c r="R1284" s="122"/>
      <c r="S1284" s="122"/>
      <c r="T1284" s="122"/>
      <c r="U1284" s="122"/>
      <c r="V1284" s="122"/>
    </row>
    <row r="1285" spans="2:22" s="126" customFormat="1">
      <c r="B1285" s="120"/>
      <c r="C1285" s="120"/>
      <c r="D1285" s="121"/>
      <c r="E1285" s="127"/>
      <c r="F1285" s="121"/>
      <c r="G1285" s="121"/>
      <c r="H1285" s="121"/>
      <c r="I1285" s="122"/>
      <c r="J1285" s="122"/>
      <c r="K1285" s="122"/>
      <c r="L1285" s="122"/>
      <c r="M1285" s="122"/>
      <c r="N1285" s="122"/>
      <c r="O1285" s="122"/>
      <c r="P1285" s="122"/>
      <c r="Q1285" s="122"/>
      <c r="R1285" s="122"/>
      <c r="S1285" s="122"/>
      <c r="T1285" s="122"/>
      <c r="U1285" s="122"/>
      <c r="V1285" s="122"/>
    </row>
    <row r="1286" spans="2:22" s="126" customFormat="1">
      <c r="B1286" s="120"/>
      <c r="C1286" s="120"/>
      <c r="D1286" s="121"/>
      <c r="E1286" s="127"/>
      <c r="F1286" s="121"/>
      <c r="G1286" s="121"/>
      <c r="H1286" s="121"/>
      <c r="I1286" s="122"/>
      <c r="J1286" s="122"/>
      <c r="K1286" s="122"/>
      <c r="L1286" s="122"/>
      <c r="M1286" s="122"/>
      <c r="N1286" s="122"/>
      <c r="O1286" s="122"/>
      <c r="P1286" s="122"/>
      <c r="Q1286" s="122"/>
      <c r="R1286" s="122"/>
      <c r="S1286" s="122"/>
      <c r="T1286" s="122"/>
      <c r="U1286" s="122"/>
      <c r="V1286" s="122"/>
    </row>
    <row r="1287" spans="2:22" s="126" customFormat="1">
      <c r="B1287" s="120"/>
      <c r="C1287" s="120"/>
      <c r="D1287" s="121"/>
      <c r="E1287" s="127"/>
      <c r="F1287" s="121"/>
      <c r="G1287" s="121"/>
      <c r="H1287" s="121"/>
      <c r="I1287" s="122"/>
      <c r="J1287" s="122"/>
      <c r="K1287" s="122"/>
      <c r="L1287" s="122"/>
      <c r="M1287" s="122"/>
      <c r="N1287" s="122"/>
      <c r="O1287" s="122"/>
      <c r="P1287" s="122"/>
      <c r="Q1287" s="122"/>
      <c r="R1287" s="122"/>
      <c r="S1287" s="122"/>
      <c r="T1287" s="122"/>
      <c r="U1287" s="122"/>
      <c r="V1287" s="122"/>
    </row>
    <row r="1288" spans="2:22" s="126" customFormat="1">
      <c r="B1288" s="120"/>
      <c r="C1288" s="120"/>
      <c r="D1288" s="121"/>
      <c r="E1288" s="127"/>
      <c r="F1288" s="121"/>
      <c r="G1288" s="121"/>
      <c r="H1288" s="121"/>
      <c r="I1288" s="122"/>
      <c r="J1288" s="122"/>
      <c r="K1288" s="122"/>
      <c r="L1288" s="122"/>
      <c r="M1288" s="122"/>
      <c r="N1288" s="122"/>
      <c r="O1288" s="122"/>
      <c r="P1288" s="122"/>
      <c r="Q1288" s="122"/>
      <c r="R1288" s="122"/>
      <c r="S1288" s="122"/>
      <c r="T1288" s="122"/>
      <c r="U1288" s="122"/>
      <c r="V1288" s="122"/>
    </row>
    <row r="1289" spans="2:22" s="126" customFormat="1">
      <c r="B1289" s="120"/>
      <c r="C1289" s="120"/>
      <c r="D1289" s="121"/>
      <c r="E1289" s="127"/>
      <c r="F1289" s="121"/>
      <c r="G1289" s="121"/>
      <c r="H1289" s="121"/>
      <c r="I1289" s="122"/>
      <c r="J1289" s="122"/>
      <c r="K1289" s="122"/>
      <c r="L1289" s="122"/>
      <c r="M1289" s="122"/>
      <c r="N1289" s="122"/>
      <c r="O1289" s="122"/>
      <c r="P1289" s="122"/>
      <c r="Q1289" s="122"/>
      <c r="R1289" s="122"/>
      <c r="S1289" s="122"/>
      <c r="T1289" s="122"/>
      <c r="U1289" s="122"/>
      <c r="V1289" s="122"/>
    </row>
    <row r="1290" spans="2:22" s="126" customFormat="1">
      <c r="B1290" s="120"/>
      <c r="C1290" s="120"/>
      <c r="D1290" s="121"/>
      <c r="E1290" s="127"/>
      <c r="F1290" s="121"/>
      <c r="G1290" s="121"/>
      <c r="H1290" s="121"/>
      <c r="I1290" s="122"/>
      <c r="J1290" s="122"/>
      <c r="K1290" s="122"/>
      <c r="L1290" s="122"/>
      <c r="M1290" s="122"/>
      <c r="N1290" s="122"/>
      <c r="O1290" s="122"/>
      <c r="P1290" s="122"/>
      <c r="Q1290" s="122"/>
      <c r="R1290" s="122"/>
      <c r="S1290" s="122"/>
      <c r="T1290" s="122"/>
      <c r="U1290" s="122"/>
      <c r="V1290" s="122"/>
    </row>
    <row r="1291" spans="2:22" s="126" customFormat="1">
      <c r="B1291" s="120"/>
      <c r="C1291" s="120"/>
      <c r="D1291" s="121"/>
      <c r="E1291" s="127"/>
      <c r="F1291" s="121"/>
      <c r="G1291" s="121"/>
      <c r="H1291" s="121"/>
      <c r="I1291" s="122"/>
      <c r="J1291" s="122"/>
      <c r="K1291" s="122"/>
      <c r="L1291" s="122"/>
      <c r="M1291" s="122"/>
      <c r="N1291" s="122"/>
      <c r="O1291" s="122"/>
      <c r="P1291" s="122"/>
      <c r="Q1291" s="122"/>
      <c r="R1291" s="122"/>
      <c r="S1291" s="122"/>
      <c r="T1291" s="122"/>
      <c r="U1291" s="122"/>
      <c r="V1291" s="122"/>
    </row>
    <row r="1292" spans="2:22" s="126" customFormat="1">
      <c r="B1292" s="120"/>
      <c r="C1292" s="120"/>
      <c r="D1292" s="121"/>
      <c r="E1292" s="127"/>
      <c r="F1292" s="121"/>
      <c r="G1292" s="121"/>
      <c r="H1292" s="121"/>
      <c r="I1292" s="122"/>
      <c r="J1292" s="122"/>
      <c r="K1292" s="122"/>
      <c r="L1292" s="122"/>
      <c r="M1292" s="122"/>
      <c r="N1292" s="122"/>
      <c r="O1292" s="122"/>
      <c r="P1292" s="122"/>
      <c r="Q1292" s="122"/>
      <c r="R1292" s="122"/>
      <c r="S1292" s="122"/>
      <c r="T1292" s="122"/>
      <c r="U1292" s="122"/>
      <c r="V1292" s="122"/>
    </row>
    <row r="1293" spans="2:22" s="126" customFormat="1">
      <c r="B1293" s="120"/>
      <c r="C1293" s="120"/>
      <c r="D1293" s="121"/>
      <c r="E1293" s="127"/>
      <c r="F1293" s="121"/>
      <c r="G1293" s="121"/>
      <c r="H1293" s="121"/>
      <c r="I1293" s="122"/>
      <c r="J1293" s="122"/>
      <c r="K1293" s="122"/>
      <c r="L1293" s="122"/>
      <c r="M1293" s="122"/>
      <c r="N1293" s="122"/>
      <c r="O1293" s="122"/>
      <c r="P1293" s="122"/>
      <c r="Q1293" s="122"/>
      <c r="R1293" s="122"/>
      <c r="S1293" s="122"/>
      <c r="T1293" s="122"/>
      <c r="U1293" s="122"/>
      <c r="V1293" s="122"/>
    </row>
    <row r="1294" spans="2:22" s="126" customFormat="1">
      <c r="B1294" s="120"/>
      <c r="C1294" s="120"/>
      <c r="D1294" s="121"/>
      <c r="E1294" s="127"/>
      <c r="F1294" s="121"/>
      <c r="G1294" s="121"/>
      <c r="H1294" s="121"/>
      <c r="I1294" s="122"/>
      <c r="J1294" s="122"/>
      <c r="K1294" s="122"/>
      <c r="L1294" s="122"/>
      <c r="M1294" s="122"/>
      <c r="N1294" s="122"/>
      <c r="O1294" s="122"/>
      <c r="P1294" s="122"/>
      <c r="Q1294" s="122"/>
      <c r="R1294" s="122"/>
      <c r="S1294" s="122"/>
      <c r="T1294" s="122"/>
      <c r="U1294" s="122"/>
      <c r="V1294" s="122"/>
    </row>
    <row r="1295" spans="2:22" s="126" customFormat="1">
      <c r="B1295" s="120"/>
      <c r="C1295" s="120"/>
      <c r="D1295" s="121"/>
      <c r="E1295" s="127"/>
      <c r="F1295" s="121"/>
      <c r="G1295" s="121"/>
      <c r="H1295" s="121"/>
      <c r="I1295" s="122"/>
      <c r="J1295" s="122"/>
      <c r="K1295" s="122"/>
      <c r="L1295" s="122"/>
      <c r="M1295" s="122"/>
      <c r="N1295" s="122"/>
      <c r="O1295" s="122"/>
      <c r="P1295" s="122"/>
      <c r="Q1295" s="122"/>
      <c r="R1295" s="122"/>
      <c r="S1295" s="122"/>
      <c r="T1295" s="122"/>
      <c r="U1295" s="122"/>
      <c r="V1295" s="122"/>
    </row>
    <row r="1296" spans="2:22" s="126" customFormat="1">
      <c r="B1296" s="120"/>
      <c r="C1296" s="120"/>
      <c r="D1296" s="121"/>
      <c r="E1296" s="127"/>
      <c r="F1296" s="121"/>
      <c r="G1296" s="121"/>
      <c r="H1296" s="121"/>
      <c r="I1296" s="122"/>
      <c r="J1296" s="122"/>
      <c r="K1296" s="122"/>
      <c r="L1296" s="122"/>
      <c r="M1296" s="122"/>
      <c r="N1296" s="122"/>
      <c r="O1296" s="122"/>
      <c r="P1296" s="122"/>
      <c r="Q1296" s="122"/>
      <c r="R1296" s="122"/>
      <c r="S1296" s="122"/>
      <c r="T1296" s="122"/>
      <c r="U1296" s="122"/>
      <c r="V1296" s="122"/>
    </row>
    <row r="1297" spans="2:22" s="126" customFormat="1">
      <c r="B1297" s="120"/>
      <c r="C1297" s="120"/>
      <c r="D1297" s="121"/>
      <c r="E1297" s="127"/>
      <c r="F1297" s="121"/>
      <c r="G1297" s="121"/>
      <c r="H1297" s="121"/>
      <c r="I1297" s="122"/>
      <c r="J1297" s="122"/>
      <c r="K1297" s="122"/>
      <c r="L1297" s="122"/>
      <c r="M1297" s="122"/>
      <c r="N1297" s="122"/>
      <c r="O1297" s="122"/>
      <c r="P1297" s="122"/>
      <c r="Q1297" s="122"/>
      <c r="R1297" s="122"/>
      <c r="S1297" s="122"/>
      <c r="T1297" s="122"/>
      <c r="U1297" s="122"/>
      <c r="V1297" s="122"/>
    </row>
    <row r="1298" spans="2:22" s="126" customFormat="1">
      <c r="B1298" s="120"/>
      <c r="C1298" s="120"/>
      <c r="D1298" s="121"/>
      <c r="E1298" s="127"/>
      <c r="F1298" s="121"/>
      <c r="G1298" s="121"/>
      <c r="H1298" s="121"/>
      <c r="I1298" s="122"/>
      <c r="J1298" s="122"/>
      <c r="K1298" s="122"/>
      <c r="L1298" s="122"/>
      <c r="M1298" s="122"/>
      <c r="N1298" s="122"/>
      <c r="O1298" s="122"/>
      <c r="P1298" s="122"/>
      <c r="Q1298" s="122"/>
      <c r="R1298" s="122"/>
      <c r="S1298" s="122"/>
      <c r="T1298" s="122"/>
      <c r="U1298" s="122"/>
      <c r="V1298" s="122"/>
    </row>
    <row r="1299" spans="2:22" s="126" customFormat="1">
      <c r="B1299" s="120"/>
      <c r="C1299" s="120"/>
      <c r="D1299" s="121"/>
      <c r="E1299" s="127"/>
      <c r="F1299" s="121"/>
      <c r="G1299" s="121"/>
      <c r="H1299" s="121"/>
      <c r="I1299" s="122"/>
      <c r="J1299" s="122"/>
      <c r="K1299" s="122"/>
      <c r="L1299" s="122"/>
      <c r="M1299" s="122"/>
      <c r="N1299" s="122"/>
      <c r="O1299" s="122"/>
      <c r="P1299" s="122"/>
      <c r="Q1299" s="122"/>
      <c r="R1299" s="122"/>
      <c r="S1299" s="122"/>
      <c r="T1299" s="122"/>
      <c r="U1299" s="122"/>
      <c r="V1299" s="122"/>
    </row>
    <row r="1300" spans="2:22" s="126" customFormat="1">
      <c r="B1300" s="120"/>
      <c r="C1300" s="120"/>
      <c r="D1300" s="121"/>
      <c r="E1300" s="127"/>
      <c r="F1300" s="121"/>
      <c r="G1300" s="121"/>
      <c r="H1300" s="121"/>
      <c r="I1300" s="122"/>
      <c r="J1300" s="122"/>
      <c r="K1300" s="122"/>
      <c r="L1300" s="122"/>
      <c r="M1300" s="122"/>
      <c r="N1300" s="122"/>
      <c r="O1300" s="122"/>
      <c r="P1300" s="122"/>
      <c r="Q1300" s="122"/>
      <c r="R1300" s="122"/>
      <c r="S1300" s="122"/>
      <c r="T1300" s="122"/>
      <c r="U1300" s="122"/>
      <c r="V1300" s="122"/>
    </row>
    <row r="1301" spans="2:22" s="126" customFormat="1">
      <c r="B1301" s="120"/>
      <c r="C1301" s="120"/>
      <c r="D1301" s="121"/>
      <c r="E1301" s="127"/>
      <c r="F1301" s="121"/>
      <c r="G1301" s="121"/>
      <c r="H1301" s="121"/>
      <c r="I1301" s="122"/>
      <c r="J1301" s="122"/>
      <c r="K1301" s="122"/>
      <c r="L1301" s="122"/>
      <c r="M1301" s="122"/>
      <c r="N1301" s="122"/>
      <c r="O1301" s="122"/>
      <c r="P1301" s="122"/>
      <c r="Q1301" s="122"/>
      <c r="R1301" s="122"/>
      <c r="S1301" s="122"/>
      <c r="T1301" s="122"/>
      <c r="U1301" s="122"/>
      <c r="V1301" s="122"/>
    </row>
    <row r="1302" spans="2:22" s="126" customFormat="1">
      <c r="B1302" s="120"/>
      <c r="C1302" s="120"/>
      <c r="D1302" s="121"/>
      <c r="E1302" s="127"/>
      <c r="F1302" s="121"/>
      <c r="G1302" s="121"/>
      <c r="H1302" s="121"/>
      <c r="I1302" s="122"/>
      <c r="J1302" s="122"/>
      <c r="K1302" s="122"/>
      <c r="L1302" s="122"/>
      <c r="M1302" s="122"/>
      <c r="N1302" s="122"/>
      <c r="O1302" s="122"/>
      <c r="P1302" s="122"/>
      <c r="Q1302" s="122"/>
      <c r="R1302" s="122"/>
      <c r="S1302" s="122"/>
      <c r="T1302" s="122"/>
      <c r="U1302" s="122"/>
      <c r="V1302" s="122"/>
    </row>
    <row r="1303" spans="2:22" s="126" customFormat="1">
      <c r="B1303" s="120"/>
      <c r="C1303" s="120"/>
      <c r="D1303" s="121"/>
      <c r="E1303" s="127"/>
      <c r="F1303" s="121"/>
      <c r="G1303" s="121"/>
      <c r="H1303" s="121"/>
      <c r="I1303" s="122"/>
      <c r="J1303" s="122"/>
      <c r="K1303" s="122"/>
      <c r="L1303" s="122"/>
      <c r="M1303" s="122"/>
      <c r="N1303" s="122"/>
      <c r="O1303" s="122"/>
      <c r="P1303" s="122"/>
      <c r="Q1303" s="122"/>
      <c r="R1303" s="122"/>
      <c r="S1303" s="122"/>
      <c r="T1303" s="122"/>
      <c r="U1303" s="122"/>
      <c r="V1303" s="122"/>
    </row>
    <row r="1304" spans="2:22" s="126" customFormat="1">
      <c r="B1304" s="120"/>
      <c r="C1304" s="120"/>
      <c r="D1304" s="121"/>
      <c r="E1304" s="127"/>
      <c r="F1304" s="121"/>
      <c r="G1304" s="121"/>
      <c r="H1304" s="121"/>
      <c r="I1304" s="122"/>
      <c r="J1304" s="122"/>
      <c r="K1304" s="122"/>
      <c r="L1304" s="122"/>
      <c r="M1304" s="122"/>
      <c r="N1304" s="122"/>
      <c r="O1304" s="122"/>
      <c r="P1304" s="122"/>
      <c r="Q1304" s="122"/>
      <c r="R1304" s="122"/>
      <c r="S1304" s="122"/>
      <c r="T1304" s="122"/>
      <c r="U1304" s="122"/>
      <c r="V1304" s="122"/>
    </row>
    <row r="1305" spans="2:22" s="126" customFormat="1">
      <c r="B1305" s="120"/>
      <c r="C1305" s="120"/>
      <c r="D1305" s="121"/>
      <c r="E1305" s="127"/>
      <c r="F1305" s="121"/>
      <c r="G1305" s="121"/>
      <c r="H1305" s="121"/>
      <c r="I1305" s="122"/>
      <c r="J1305" s="122"/>
      <c r="K1305" s="122"/>
      <c r="L1305" s="122"/>
      <c r="M1305" s="122"/>
      <c r="N1305" s="122"/>
      <c r="O1305" s="122"/>
      <c r="P1305" s="122"/>
      <c r="Q1305" s="122"/>
      <c r="R1305" s="122"/>
      <c r="S1305" s="122"/>
      <c r="T1305" s="122"/>
      <c r="U1305" s="122"/>
      <c r="V1305" s="122"/>
    </row>
    <row r="1306" spans="2:22" s="126" customFormat="1">
      <c r="B1306" s="120"/>
      <c r="C1306" s="120"/>
      <c r="D1306" s="121"/>
      <c r="E1306" s="127"/>
      <c r="F1306" s="121"/>
      <c r="G1306" s="121"/>
      <c r="H1306" s="121"/>
      <c r="I1306" s="122"/>
      <c r="J1306" s="122"/>
      <c r="K1306" s="122"/>
      <c r="L1306" s="122"/>
      <c r="M1306" s="122"/>
      <c r="N1306" s="122"/>
      <c r="O1306" s="122"/>
      <c r="P1306" s="122"/>
      <c r="Q1306" s="122"/>
      <c r="R1306" s="122"/>
      <c r="S1306" s="122"/>
      <c r="T1306" s="122"/>
      <c r="U1306" s="122"/>
      <c r="V1306" s="122"/>
    </row>
    <row r="1307" spans="2:22" s="126" customFormat="1">
      <c r="B1307" s="120"/>
      <c r="C1307" s="120"/>
      <c r="D1307" s="121"/>
      <c r="E1307" s="127"/>
      <c r="F1307" s="121"/>
      <c r="G1307" s="121"/>
      <c r="H1307" s="121"/>
      <c r="I1307" s="122"/>
      <c r="J1307" s="122"/>
      <c r="K1307" s="122"/>
      <c r="L1307" s="122"/>
      <c r="M1307" s="122"/>
      <c r="N1307" s="122"/>
      <c r="O1307" s="122"/>
      <c r="P1307" s="122"/>
      <c r="Q1307" s="122"/>
      <c r="R1307" s="122"/>
      <c r="S1307" s="122"/>
      <c r="T1307" s="122"/>
      <c r="U1307" s="122"/>
      <c r="V1307" s="122"/>
    </row>
    <row r="1308" spans="2:22" s="126" customFormat="1">
      <c r="B1308" s="120"/>
      <c r="C1308" s="120"/>
      <c r="D1308" s="121"/>
      <c r="E1308" s="127"/>
      <c r="F1308" s="121"/>
      <c r="G1308" s="121"/>
      <c r="H1308" s="121"/>
      <c r="I1308" s="122"/>
      <c r="J1308" s="122"/>
      <c r="K1308" s="122"/>
      <c r="L1308" s="122"/>
      <c r="M1308" s="122"/>
      <c r="N1308" s="122"/>
      <c r="O1308" s="122"/>
      <c r="P1308" s="122"/>
      <c r="Q1308" s="122"/>
      <c r="R1308" s="122"/>
      <c r="S1308" s="122"/>
      <c r="T1308" s="122"/>
      <c r="U1308" s="122"/>
      <c r="V1308" s="122"/>
    </row>
    <row r="1309" spans="2:22" s="126" customFormat="1">
      <c r="B1309" s="120"/>
      <c r="C1309" s="120"/>
      <c r="D1309" s="121"/>
      <c r="E1309" s="127"/>
      <c r="F1309" s="121"/>
      <c r="G1309" s="121"/>
      <c r="H1309" s="121"/>
      <c r="I1309" s="122"/>
      <c r="J1309" s="122"/>
      <c r="K1309" s="122"/>
      <c r="L1309" s="122"/>
      <c r="M1309" s="122"/>
      <c r="N1309" s="122"/>
      <c r="O1309" s="122"/>
      <c r="P1309" s="122"/>
      <c r="Q1309" s="122"/>
      <c r="R1309" s="122"/>
      <c r="S1309" s="122"/>
      <c r="T1309" s="122"/>
      <c r="U1309" s="122"/>
      <c r="V1309" s="122"/>
    </row>
    <row r="1310" spans="2:22" s="126" customFormat="1">
      <c r="B1310" s="120"/>
      <c r="C1310" s="120"/>
      <c r="D1310" s="121"/>
      <c r="E1310" s="127"/>
      <c r="F1310" s="121"/>
      <c r="G1310" s="121"/>
      <c r="H1310" s="121"/>
      <c r="I1310" s="122"/>
      <c r="J1310" s="122"/>
      <c r="K1310" s="122"/>
      <c r="L1310" s="122"/>
      <c r="M1310" s="122"/>
      <c r="N1310" s="122"/>
      <c r="O1310" s="122"/>
      <c r="P1310" s="122"/>
      <c r="Q1310" s="122"/>
      <c r="R1310" s="122"/>
      <c r="S1310" s="122"/>
      <c r="T1310" s="122"/>
      <c r="U1310" s="122"/>
      <c r="V1310" s="122"/>
    </row>
    <row r="1311" spans="2:22" s="126" customFormat="1">
      <c r="B1311" s="120"/>
      <c r="C1311" s="120"/>
      <c r="D1311" s="121"/>
      <c r="E1311" s="127"/>
      <c r="F1311" s="121"/>
      <c r="G1311" s="121"/>
      <c r="H1311" s="121"/>
      <c r="I1311" s="122"/>
      <c r="J1311" s="122"/>
      <c r="K1311" s="122"/>
      <c r="L1311" s="122"/>
      <c r="M1311" s="122"/>
      <c r="N1311" s="122"/>
      <c r="O1311" s="122"/>
      <c r="P1311" s="122"/>
      <c r="Q1311" s="122"/>
      <c r="R1311" s="122"/>
      <c r="S1311" s="122"/>
      <c r="T1311" s="122"/>
      <c r="U1311" s="122"/>
      <c r="V1311" s="122"/>
    </row>
    <row r="1312" spans="2:22" s="126" customFormat="1">
      <c r="B1312" s="120"/>
      <c r="C1312" s="120"/>
      <c r="D1312" s="121"/>
      <c r="E1312" s="127"/>
      <c r="F1312" s="121"/>
      <c r="G1312" s="121"/>
      <c r="H1312" s="121"/>
      <c r="I1312" s="122"/>
      <c r="J1312" s="122"/>
      <c r="K1312" s="122"/>
      <c r="L1312" s="122"/>
      <c r="M1312" s="122"/>
      <c r="N1312" s="122"/>
      <c r="O1312" s="122"/>
      <c r="P1312" s="122"/>
      <c r="Q1312" s="122"/>
      <c r="R1312" s="122"/>
      <c r="S1312" s="122"/>
      <c r="T1312" s="122"/>
      <c r="U1312" s="122"/>
      <c r="V1312" s="122"/>
    </row>
    <row r="1313" spans="2:22" s="126" customFormat="1">
      <c r="B1313" s="120"/>
      <c r="C1313" s="120"/>
      <c r="D1313" s="121"/>
      <c r="E1313" s="127"/>
      <c r="F1313" s="121"/>
      <c r="G1313" s="121"/>
      <c r="H1313" s="121"/>
      <c r="I1313" s="122"/>
      <c r="J1313" s="122"/>
      <c r="K1313" s="122"/>
      <c r="L1313" s="122"/>
      <c r="M1313" s="122"/>
      <c r="N1313" s="122"/>
      <c r="O1313" s="122"/>
      <c r="P1313" s="122"/>
      <c r="Q1313" s="122"/>
      <c r="R1313" s="122"/>
      <c r="S1313" s="122"/>
      <c r="T1313" s="122"/>
      <c r="U1313" s="122"/>
      <c r="V1313" s="122"/>
    </row>
    <row r="1314" spans="2:22" s="126" customFormat="1">
      <c r="B1314" s="120"/>
      <c r="C1314" s="120"/>
      <c r="D1314" s="121"/>
      <c r="E1314" s="127"/>
      <c r="F1314" s="121"/>
      <c r="G1314" s="121"/>
      <c r="H1314" s="121"/>
      <c r="I1314" s="122"/>
      <c r="J1314" s="122"/>
      <c r="K1314" s="122"/>
      <c r="L1314" s="122"/>
      <c r="M1314" s="122"/>
      <c r="N1314" s="122"/>
      <c r="O1314" s="122"/>
      <c r="P1314" s="122"/>
      <c r="Q1314" s="122"/>
      <c r="R1314" s="122"/>
      <c r="S1314" s="122"/>
      <c r="T1314" s="122"/>
      <c r="U1314" s="122"/>
      <c r="V1314" s="122"/>
    </row>
    <row r="1315" spans="2:22" s="126" customFormat="1">
      <c r="B1315" s="120"/>
      <c r="C1315" s="120"/>
      <c r="D1315" s="121"/>
      <c r="E1315" s="127"/>
      <c r="F1315" s="121"/>
      <c r="G1315" s="121"/>
      <c r="H1315" s="121"/>
      <c r="I1315" s="122"/>
      <c r="J1315" s="122"/>
      <c r="K1315" s="122"/>
      <c r="L1315" s="122"/>
      <c r="M1315" s="122"/>
      <c r="N1315" s="122"/>
      <c r="O1315" s="122"/>
      <c r="P1315" s="122"/>
      <c r="Q1315" s="122"/>
      <c r="R1315" s="122"/>
      <c r="S1315" s="122"/>
      <c r="T1315" s="122"/>
      <c r="U1315" s="122"/>
      <c r="V1315" s="122"/>
    </row>
    <row r="1316" spans="2:22" s="126" customFormat="1">
      <c r="B1316" s="120"/>
      <c r="C1316" s="120"/>
      <c r="D1316" s="121"/>
      <c r="E1316" s="127"/>
      <c r="F1316" s="121"/>
      <c r="G1316" s="121"/>
      <c r="H1316" s="121"/>
      <c r="I1316" s="122"/>
      <c r="J1316" s="122"/>
      <c r="K1316" s="122"/>
      <c r="L1316" s="122"/>
      <c r="M1316" s="122"/>
      <c r="N1316" s="122"/>
      <c r="O1316" s="122"/>
      <c r="P1316" s="122"/>
      <c r="Q1316" s="122"/>
      <c r="R1316" s="122"/>
      <c r="S1316" s="122"/>
      <c r="T1316" s="122"/>
      <c r="U1316" s="122"/>
      <c r="V1316" s="122"/>
    </row>
    <row r="1317" spans="2:22" s="126" customFormat="1">
      <c r="B1317" s="120"/>
      <c r="C1317" s="120"/>
      <c r="D1317" s="121"/>
      <c r="E1317" s="127"/>
      <c r="F1317" s="121"/>
      <c r="G1317" s="121"/>
      <c r="H1317" s="121"/>
      <c r="I1317" s="122"/>
      <c r="J1317" s="122"/>
      <c r="K1317" s="122"/>
      <c r="L1317" s="122"/>
      <c r="M1317" s="122"/>
      <c r="N1317" s="122"/>
      <c r="O1317" s="122"/>
      <c r="P1317" s="122"/>
      <c r="Q1317" s="122"/>
      <c r="R1317" s="122"/>
      <c r="S1317" s="122"/>
      <c r="T1317" s="122"/>
      <c r="U1317" s="122"/>
      <c r="V1317" s="122"/>
    </row>
    <row r="1318" spans="2:22" s="126" customFormat="1">
      <c r="B1318" s="120"/>
      <c r="C1318" s="120"/>
      <c r="D1318" s="121"/>
      <c r="E1318" s="127"/>
      <c r="F1318" s="121"/>
      <c r="G1318" s="121"/>
      <c r="H1318" s="121"/>
      <c r="I1318" s="122"/>
      <c r="J1318" s="122"/>
      <c r="K1318" s="122"/>
      <c r="L1318" s="122"/>
      <c r="M1318" s="122"/>
      <c r="N1318" s="122"/>
      <c r="O1318" s="122"/>
      <c r="P1318" s="122"/>
      <c r="Q1318" s="122"/>
      <c r="R1318" s="122"/>
      <c r="S1318" s="122"/>
      <c r="T1318" s="122"/>
      <c r="U1318" s="122"/>
      <c r="V1318" s="122"/>
    </row>
    <row r="1319" spans="2:22" s="126" customFormat="1">
      <c r="B1319" s="120"/>
      <c r="C1319" s="120"/>
      <c r="D1319" s="121"/>
      <c r="E1319" s="127"/>
      <c r="F1319" s="121"/>
      <c r="G1319" s="121"/>
      <c r="H1319" s="121"/>
      <c r="I1319" s="122"/>
      <c r="J1319" s="122"/>
      <c r="K1319" s="122"/>
      <c r="L1319" s="122"/>
      <c r="M1319" s="122"/>
      <c r="N1319" s="122"/>
      <c r="O1319" s="122"/>
      <c r="P1319" s="122"/>
      <c r="Q1319" s="122"/>
      <c r="R1319" s="122"/>
      <c r="S1319" s="122"/>
      <c r="T1319" s="122"/>
      <c r="U1319" s="122"/>
      <c r="V1319" s="122"/>
    </row>
    <row r="1320" spans="2:22" s="126" customFormat="1">
      <c r="B1320" s="120"/>
      <c r="C1320" s="120"/>
      <c r="D1320" s="121"/>
      <c r="E1320" s="127"/>
      <c r="F1320" s="121"/>
      <c r="G1320" s="121"/>
      <c r="H1320" s="121"/>
      <c r="I1320" s="122"/>
      <c r="J1320" s="122"/>
      <c r="K1320" s="122"/>
      <c r="L1320" s="122"/>
      <c r="M1320" s="122"/>
      <c r="N1320" s="122"/>
      <c r="O1320" s="122"/>
      <c r="P1320" s="122"/>
      <c r="Q1320" s="122"/>
      <c r="R1320" s="122"/>
      <c r="S1320" s="122"/>
      <c r="T1320" s="122"/>
      <c r="U1320" s="122"/>
      <c r="V1320" s="122"/>
    </row>
    <row r="1321" spans="2:22" s="126" customFormat="1">
      <c r="B1321" s="120"/>
      <c r="C1321" s="120"/>
      <c r="D1321" s="121"/>
      <c r="E1321" s="127"/>
      <c r="F1321" s="121"/>
      <c r="G1321" s="121"/>
      <c r="H1321" s="121"/>
      <c r="I1321" s="122"/>
      <c r="J1321" s="122"/>
      <c r="K1321" s="122"/>
      <c r="L1321" s="122"/>
      <c r="M1321" s="122"/>
      <c r="N1321" s="122"/>
      <c r="O1321" s="122"/>
      <c r="P1321" s="122"/>
      <c r="Q1321" s="122"/>
      <c r="R1321" s="122"/>
      <c r="S1321" s="122"/>
      <c r="T1321" s="122"/>
      <c r="U1321" s="122"/>
      <c r="V1321" s="122"/>
    </row>
    <row r="1322" spans="2:22" s="126" customFormat="1">
      <c r="B1322" s="120"/>
      <c r="C1322" s="120"/>
      <c r="D1322" s="121"/>
      <c r="E1322" s="127"/>
      <c r="F1322" s="121"/>
      <c r="G1322" s="121"/>
      <c r="H1322" s="121"/>
      <c r="I1322" s="122"/>
      <c r="J1322" s="122"/>
      <c r="K1322" s="122"/>
      <c r="L1322" s="122"/>
      <c r="M1322" s="122"/>
      <c r="N1322" s="122"/>
      <c r="O1322" s="122"/>
      <c r="P1322" s="122"/>
      <c r="Q1322" s="122"/>
      <c r="R1322" s="122"/>
      <c r="S1322" s="122"/>
      <c r="T1322" s="122"/>
      <c r="U1322" s="122"/>
      <c r="V1322" s="122"/>
    </row>
    <row r="1323" spans="2:22" s="126" customFormat="1">
      <c r="B1323" s="120"/>
      <c r="C1323" s="120"/>
      <c r="D1323" s="121"/>
      <c r="E1323" s="127"/>
      <c r="F1323" s="121"/>
      <c r="G1323" s="121"/>
      <c r="H1323" s="121"/>
      <c r="I1323" s="122"/>
      <c r="J1323" s="122"/>
      <c r="K1323" s="122"/>
      <c r="L1323" s="122"/>
      <c r="M1323" s="122"/>
      <c r="N1323" s="122"/>
      <c r="O1323" s="122"/>
      <c r="P1323" s="122"/>
      <c r="Q1323" s="122"/>
      <c r="R1323" s="122"/>
      <c r="S1323" s="122"/>
      <c r="T1323" s="122"/>
      <c r="U1323" s="122"/>
      <c r="V1323" s="122"/>
    </row>
    <row r="1324" spans="2:22" s="126" customFormat="1">
      <c r="B1324" s="120"/>
      <c r="C1324" s="120"/>
      <c r="D1324" s="121"/>
      <c r="E1324" s="127"/>
      <c r="F1324" s="121"/>
      <c r="G1324" s="121"/>
      <c r="H1324" s="121"/>
      <c r="I1324" s="122"/>
      <c r="J1324" s="122"/>
      <c r="K1324" s="122"/>
      <c r="L1324" s="122"/>
      <c r="M1324" s="122"/>
      <c r="N1324" s="122"/>
      <c r="O1324" s="122"/>
      <c r="P1324" s="122"/>
      <c r="Q1324" s="122"/>
      <c r="R1324" s="122"/>
      <c r="S1324" s="122"/>
      <c r="T1324" s="122"/>
      <c r="U1324" s="122"/>
      <c r="V1324" s="122"/>
    </row>
    <row r="1325" spans="2:22" s="126" customFormat="1">
      <c r="B1325" s="120"/>
      <c r="C1325" s="120"/>
      <c r="D1325" s="121"/>
      <c r="E1325" s="127"/>
      <c r="F1325" s="121"/>
      <c r="G1325" s="121"/>
      <c r="H1325" s="121"/>
      <c r="I1325" s="122"/>
      <c r="J1325" s="122"/>
      <c r="K1325" s="122"/>
      <c r="L1325" s="122"/>
      <c r="M1325" s="122"/>
      <c r="N1325" s="122"/>
      <c r="O1325" s="122"/>
      <c r="P1325" s="122"/>
      <c r="Q1325" s="122"/>
      <c r="R1325" s="122"/>
      <c r="S1325" s="122"/>
      <c r="T1325" s="122"/>
      <c r="U1325" s="122"/>
      <c r="V1325" s="122"/>
    </row>
    <row r="1326" spans="2:22" s="126" customFormat="1">
      <c r="B1326" s="120"/>
      <c r="C1326" s="120"/>
      <c r="D1326" s="121"/>
      <c r="E1326" s="127"/>
      <c r="F1326" s="121"/>
      <c r="G1326" s="121"/>
      <c r="H1326" s="121"/>
      <c r="I1326" s="122"/>
      <c r="J1326" s="122"/>
      <c r="K1326" s="122"/>
      <c r="L1326" s="122"/>
      <c r="M1326" s="122"/>
      <c r="N1326" s="122"/>
      <c r="O1326" s="122"/>
      <c r="P1326" s="122"/>
      <c r="Q1326" s="122"/>
      <c r="R1326" s="122"/>
      <c r="S1326" s="122"/>
      <c r="T1326" s="122"/>
      <c r="U1326" s="122"/>
      <c r="V1326" s="122"/>
    </row>
    <row r="1327" spans="2:22" s="126" customFormat="1">
      <c r="B1327" s="120"/>
      <c r="C1327" s="120"/>
      <c r="D1327" s="121"/>
      <c r="E1327" s="127"/>
      <c r="F1327" s="121"/>
      <c r="G1327" s="121"/>
      <c r="H1327" s="121"/>
      <c r="I1327" s="122"/>
      <c r="J1327" s="122"/>
      <c r="K1327" s="122"/>
      <c r="L1327" s="122"/>
      <c r="M1327" s="122"/>
      <c r="N1327" s="122"/>
      <c r="O1327" s="122"/>
      <c r="P1327" s="122"/>
      <c r="Q1327" s="122"/>
      <c r="R1327" s="122"/>
      <c r="S1327" s="122"/>
      <c r="T1327" s="122"/>
      <c r="U1327" s="122"/>
      <c r="V1327" s="122"/>
    </row>
    <row r="1328" spans="2:22" s="126" customFormat="1">
      <c r="B1328" s="120"/>
      <c r="C1328" s="120"/>
      <c r="D1328" s="121"/>
      <c r="E1328" s="127"/>
      <c r="F1328" s="121"/>
      <c r="G1328" s="121"/>
      <c r="H1328" s="121"/>
      <c r="I1328" s="122"/>
      <c r="J1328" s="122"/>
      <c r="K1328" s="122"/>
      <c r="L1328" s="122"/>
      <c r="M1328" s="122"/>
      <c r="N1328" s="122"/>
      <c r="O1328" s="122"/>
      <c r="P1328" s="122"/>
      <c r="Q1328" s="122"/>
      <c r="R1328" s="122"/>
      <c r="S1328" s="122"/>
      <c r="T1328" s="122"/>
      <c r="U1328" s="122"/>
      <c r="V1328" s="122"/>
    </row>
    <row r="1329" spans="2:22" s="126" customFormat="1">
      <c r="B1329" s="120"/>
      <c r="C1329" s="120"/>
      <c r="D1329" s="121"/>
      <c r="E1329" s="127"/>
      <c r="F1329" s="121"/>
      <c r="G1329" s="121"/>
      <c r="H1329" s="121"/>
      <c r="I1329" s="122"/>
      <c r="J1329" s="122"/>
      <c r="K1329" s="122"/>
      <c r="L1329" s="122"/>
      <c r="M1329" s="122"/>
      <c r="N1329" s="122"/>
      <c r="O1329" s="122"/>
      <c r="P1329" s="122"/>
      <c r="Q1329" s="122"/>
      <c r="R1329" s="122"/>
      <c r="S1329" s="122"/>
      <c r="T1329" s="122"/>
      <c r="U1329" s="122"/>
      <c r="V1329" s="122"/>
    </row>
    <row r="1330" spans="2:22" s="126" customFormat="1">
      <c r="B1330" s="120"/>
      <c r="C1330" s="120"/>
      <c r="D1330" s="121"/>
      <c r="E1330" s="127"/>
      <c r="F1330" s="121"/>
      <c r="G1330" s="121"/>
      <c r="H1330" s="121"/>
      <c r="I1330" s="122"/>
      <c r="J1330" s="122"/>
      <c r="K1330" s="122"/>
      <c r="L1330" s="122"/>
      <c r="M1330" s="122"/>
      <c r="N1330" s="122"/>
      <c r="O1330" s="122"/>
      <c r="P1330" s="122"/>
      <c r="Q1330" s="122"/>
      <c r="R1330" s="122"/>
      <c r="S1330" s="122"/>
      <c r="T1330" s="122"/>
      <c r="U1330" s="122"/>
      <c r="V1330" s="122"/>
    </row>
    <row r="1331" spans="2:22" s="126" customFormat="1">
      <c r="B1331" s="120"/>
      <c r="C1331" s="120"/>
      <c r="D1331" s="121"/>
      <c r="E1331" s="127"/>
      <c r="F1331" s="121"/>
      <c r="G1331" s="121"/>
      <c r="H1331" s="121"/>
      <c r="I1331" s="122"/>
      <c r="J1331" s="122"/>
      <c r="K1331" s="122"/>
      <c r="L1331" s="122"/>
      <c r="M1331" s="122"/>
      <c r="N1331" s="122"/>
      <c r="O1331" s="122"/>
      <c r="P1331" s="122"/>
      <c r="Q1331" s="122"/>
      <c r="R1331" s="122"/>
      <c r="S1331" s="122"/>
      <c r="T1331" s="122"/>
      <c r="U1331" s="122"/>
      <c r="V1331" s="122"/>
    </row>
    <row r="1332" spans="2:22" s="126" customFormat="1">
      <c r="B1332" s="120"/>
      <c r="C1332" s="120"/>
      <c r="D1332" s="121"/>
      <c r="E1332" s="127"/>
      <c r="F1332" s="121"/>
      <c r="G1332" s="121"/>
      <c r="H1332" s="121"/>
      <c r="I1332" s="122"/>
      <c r="J1332" s="122"/>
      <c r="K1332" s="122"/>
      <c r="L1332" s="122"/>
      <c r="M1332" s="122"/>
      <c r="N1332" s="122"/>
      <c r="O1332" s="122"/>
      <c r="P1332" s="122"/>
      <c r="Q1332" s="122"/>
      <c r="R1332" s="122"/>
      <c r="S1332" s="122"/>
      <c r="T1332" s="122"/>
      <c r="U1332" s="122"/>
      <c r="V1332" s="122"/>
    </row>
    <row r="1333" spans="2:22" s="126" customFormat="1">
      <c r="B1333" s="120"/>
      <c r="C1333" s="120"/>
      <c r="D1333" s="121"/>
      <c r="E1333" s="127"/>
      <c r="F1333" s="121"/>
      <c r="G1333" s="121"/>
      <c r="H1333" s="121"/>
      <c r="I1333" s="122"/>
      <c r="J1333" s="122"/>
      <c r="K1333" s="122"/>
      <c r="L1333" s="122"/>
      <c r="M1333" s="122"/>
      <c r="N1333" s="122"/>
      <c r="O1333" s="122"/>
      <c r="P1333" s="122"/>
      <c r="Q1333" s="122"/>
      <c r="R1333" s="122"/>
      <c r="S1333" s="122"/>
      <c r="T1333" s="122"/>
      <c r="U1333" s="122"/>
      <c r="V1333" s="122"/>
    </row>
    <row r="1334" spans="2:22" s="126" customFormat="1">
      <c r="B1334" s="120"/>
      <c r="C1334" s="120"/>
      <c r="D1334" s="121"/>
      <c r="E1334" s="127"/>
      <c r="F1334" s="121"/>
      <c r="G1334" s="121"/>
      <c r="H1334" s="121"/>
      <c r="I1334" s="122"/>
      <c r="J1334" s="122"/>
      <c r="K1334" s="122"/>
      <c r="L1334" s="122"/>
      <c r="M1334" s="122"/>
      <c r="N1334" s="122"/>
      <c r="O1334" s="122"/>
      <c r="P1334" s="122"/>
      <c r="Q1334" s="122"/>
      <c r="R1334" s="122"/>
      <c r="S1334" s="122"/>
      <c r="T1334" s="122"/>
      <c r="U1334" s="122"/>
      <c r="V1334" s="122"/>
    </row>
    <row r="1335" spans="2:22" s="126" customFormat="1">
      <c r="B1335" s="120"/>
      <c r="C1335" s="120"/>
      <c r="D1335" s="121"/>
      <c r="E1335" s="127"/>
      <c r="F1335" s="121"/>
      <c r="G1335" s="121"/>
      <c r="H1335" s="121"/>
      <c r="I1335" s="122"/>
      <c r="J1335" s="122"/>
      <c r="K1335" s="122"/>
      <c r="L1335" s="122"/>
      <c r="M1335" s="122"/>
      <c r="N1335" s="122"/>
      <c r="O1335" s="122"/>
      <c r="P1335" s="122"/>
      <c r="Q1335" s="122"/>
      <c r="R1335" s="122"/>
      <c r="S1335" s="122"/>
      <c r="T1335" s="122"/>
      <c r="U1335" s="122"/>
      <c r="V1335" s="122"/>
    </row>
    <row r="1336" spans="2:22" s="126" customFormat="1">
      <c r="B1336" s="120"/>
      <c r="C1336" s="120"/>
      <c r="D1336" s="121"/>
      <c r="E1336" s="127"/>
      <c r="F1336" s="121"/>
      <c r="G1336" s="121"/>
      <c r="H1336" s="121"/>
      <c r="I1336" s="122"/>
      <c r="J1336" s="122"/>
      <c r="K1336" s="122"/>
      <c r="L1336" s="122"/>
      <c r="M1336" s="122"/>
      <c r="N1336" s="122"/>
      <c r="O1336" s="122"/>
      <c r="P1336" s="122"/>
      <c r="Q1336" s="122"/>
      <c r="R1336" s="122"/>
      <c r="S1336" s="122"/>
      <c r="T1336" s="122"/>
      <c r="U1336" s="122"/>
      <c r="V1336" s="122"/>
    </row>
    <row r="1337" spans="2:22" s="126" customFormat="1">
      <c r="B1337" s="120"/>
      <c r="C1337" s="120"/>
      <c r="D1337" s="121"/>
      <c r="E1337" s="127"/>
      <c r="F1337" s="121"/>
      <c r="G1337" s="121"/>
      <c r="H1337" s="121"/>
      <c r="I1337" s="122"/>
      <c r="J1337" s="122"/>
      <c r="K1337" s="122"/>
      <c r="L1337" s="122"/>
      <c r="M1337" s="122"/>
      <c r="N1337" s="122"/>
      <c r="O1337" s="122"/>
      <c r="P1337" s="122"/>
      <c r="Q1337" s="122"/>
      <c r="R1337" s="122"/>
      <c r="S1337" s="122"/>
      <c r="T1337" s="122"/>
      <c r="U1337" s="122"/>
      <c r="V1337" s="122"/>
    </row>
    <row r="1338" spans="2:22" s="126" customFormat="1">
      <c r="B1338" s="120"/>
      <c r="C1338" s="120"/>
      <c r="D1338" s="121"/>
      <c r="E1338" s="127"/>
      <c r="F1338" s="121"/>
      <c r="G1338" s="121"/>
      <c r="H1338" s="121"/>
      <c r="I1338" s="122"/>
      <c r="J1338" s="122"/>
      <c r="K1338" s="122"/>
      <c r="L1338" s="122"/>
      <c r="M1338" s="122"/>
      <c r="N1338" s="122"/>
      <c r="O1338" s="122"/>
      <c r="P1338" s="122"/>
      <c r="Q1338" s="122"/>
      <c r="R1338" s="122"/>
      <c r="S1338" s="122"/>
      <c r="T1338" s="122"/>
      <c r="U1338" s="122"/>
      <c r="V1338" s="122"/>
    </row>
    <row r="1339" spans="2:22" s="126" customFormat="1">
      <c r="B1339" s="120"/>
      <c r="C1339" s="120"/>
      <c r="D1339" s="121"/>
      <c r="E1339" s="127"/>
      <c r="F1339" s="121"/>
      <c r="G1339" s="121"/>
      <c r="H1339" s="121"/>
      <c r="I1339" s="122"/>
      <c r="J1339" s="122"/>
      <c r="K1339" s="122"/>
      <c r="L1339" s="122"/>
      <c r="M1339" s="122"/>
      <c r="N1339" s="122"/>
      <c r="O1339" s="122"/>
      <c r="P1339" s="122"/>
      <c r="Q1339" s="122"/>
      <c r="R1339" s="122"/>
      <c r="S1339" s="122"/>
      <c r="T1339" s="122"/>
      <c r="U1339" s="122"/>
      <c r="V1339" s="122"/>
    </row>
    <row r="1340" spans="2:22" s="126" customFormat="1">
      <c r="B1340" s="120"/>
      <c r="C1340" s="120"/>
      <c r="D1340" s="121"/>
      <c r="E1340" s="127"/>
      <c r="F1340" s="121"/>
      <c r="G1340" s="121"/>
      <c r="H1340" s="121"/>
      <c r="I1340" s="122"/>
      <c r="J1340" s="122"/>
      <c r="K1340" s="122"/>
      <c r="L1340" s="122"/>
      <c r="M1340" s="122"/>
      <c r="N1340" s="122"/>
      <c r="O1340" s="122"/>
      <c r="P1340" s="122"/>
      <c r="Q1340" s="122"/>
      <c r="R1340" s="122"/>
      <c r="S1340" s="122"/>
      <c r="T1340" s="122"/>
      <c r="U1340" s="122"/>
      <c r="V1340" s="122"/>
    </row>
    <row r="1341" spans="2:22" s="126" customFormat="1">
      <c r="B1341" s="120"/>
      <c r="C1341" s="120"/>
      <c r="D1341" s="121"/>
      <c r="E1341" s="127"/>
      <c r="F1341" s="121"/>
      <c r="G1341" s="121"/>
      <c r="H1341" s="121"/>
      <c r="I1341" s="122"/>
      <c r="J1341" s="122"/>
      <c r="K1341" s="122"/>
      <c r="L1341" s="122"/>
      <c r="M1341" s="122"/>
      <c r="N1341" s="122"/>
      <c r="O1341" s="122"/>
      <c r="P1341" s="122"/>
      <c r="Q1341" s="122"/>
      <c r="R1341" s="122"/>
      <c r="S1341" s="122"/>
      <c r="T1341" s="122"/>
      <c r="U1341" s="122"/>
      <c r="V1341" s="122"/>
    </row>
    <row r="1342" spans="2:22" s="126" customFormat="1">
      <c r="B1342" s="120"/>
      <c r="C1342" s="120"/>
      <c r="D1342" s="121"/>
      <c r="E1342" s="127"/>
      <c r="F1342" s="121"/>
      <c r="G1342" s="121"/>
      <c r="H1342" s="121"/>
      <c r="I1342" s="122"/>
      <c r="J1342" s="122"/>
      <c r="K1342" s="122"/>
      <c r="L1342" s="122"/>
      <c r="M1342" s="122"/>
      <c r="N1342" s="122"/>
      <c r="O1342" s="122"/>
      <c r="P1342" s="122"/>
      <c r="Q1342" s="122"/>
      <c r="R1342" s="122"/>
      <c r="S1342" s="122"/>
      <c r="T1342" s="122"/>
      <c r="U1342" s="122"/>
      <c r="V1342" s="122"/>
    </row>
    <row r="1343" spans="2:22" s="126" customFormat="1">
      <c r="B1343" s="120"/>
      <c r="C1343" s="120"/>
      <c r="D1343" s="121"/>
      <c r="E1343" s="127"/>
      <c r="F1343" s="121"/>
      <c r="G1343" s="121"/>
      <c r="H1343" s="121"/>
      <c r="I1343" s="122"/>
      <c r="J1343" s="122"/>
      <c r="K1343" s="122"/>
      <c r="L1343" s="122"/>
      <c r="M1343" s="122"/>
      <c r="N1343" s="122"/>
      <c r="O1343" s="122"/>
      <c r="P1343" s="122"/>
      <c r="Q1343" s="122"/>
      <c r="R1343" s="122"/>
      <c r="S1343" s="122"/>
      <c r="T1343" s="122"/>
      <c r="U1343" s="122"/>
      <c r="V1343" s="122"/>
    </row>
    <row r="1344" spans="2:22" s="126" customFormat="1">
      <c r="B1344" s="120"/>
      <c r="C1344" s="120"/>
      <c r="D1344" s="121"/>
      <c r="E1344" s="127"/>
      <c r="F1344" s="121"/>
      <c r="G1344" s="121"/>
      <c r="H1344" s="121"/>
      <c r="I1344" s="122"/>
      <c r="J1344" s="122"/>
      <c r="K1344" s="122"/>
      <c r="L1344" s="122"/>
      <c r="M1344" s="122"/>
      <c r="N1344" s="122"/>
      <c r="O1344" s="122"/>
      <c r="P1344" s="122"/>
      <c r="Q1344" s="122"/>
      <c r="R1344" s="122"/>
      <c r="S1344" s="122"/>
      <c r="T1344" s="122"/>
      <c r="U1344" s="122"/>
      <c r="V1344" s="122"/>
    </row>
    <row r="1345" spans="2:22" s="126" customFormat="1">
      <c r="B1345" s="120"/>
      <c r="C1345" s="120"/>
      <c r="D1345" s="121"/>
      <c r="E1345" s="127"/>
      <c r="F1345" s="121"/>
      <c r="G1345" s="121"/>
      <c r="H1345" s="121"/>
      <c r="I1345" s="122"/>
      <c r="J1345" s="122"/>
      <c r="K1345" s="122"/>
      <c r="L1345" s="122"/>
      <c r="M1345" s="122"/>
      <c r="N1345" s="122"/>
      <c r="O1345" s="122"/>
      <c r="P1345" s="122"/>
      <c r="Q1345" s="122"/>
      <c r="R1345" s="122"/>
      <c r="S1345" s="122"/>
      <c r="T1345" s="122"/>
      <c r="U1345" s="122"/>
      <c r="V1345" s="122"/>
    </row>
    <row r="1346" spans="2:22" s="126" customFormat="1">
      <c r="B1346" s="120"/>
      <c r="C1346" s="120"/>
      <c r="D1346" s="121"/>
      <c r="E1346" s="127"/>
      <c r="F1346" s="121"/>
      <c r="G1346" s="121"/>
      <c r="H1346" s="121"/>
      <c r="I1346" s="122"/>
      <c r="J1346" s="122"/>
      <c r="K1346" s="122"/>
      <c r="L1346" s="122"/>
      <c r="M1346" s="122"/>
      <c r="N1346" s="122"/>
      <c r="O1346" s="122"/>
      <c r="P1346" s="122"/>
      <c r="Q1346" s="122"/>
      <c r="R1346" s="122"/>
      <c r="S1346" s="122"/>
      <c r="T1346" s="122"/>
      <c r="U1346" s="122"/>
      <c r="V1346" s="122"/>
    </row>
    <row r="1347" spans="2:22" s="126" customFormat="1">
      <c r="B1347" s="120"/>
      <c r="C1347" s="120"/>
      <c r="D1347" s="121"/>
      <c r="E1347" s="127"/>
      <c r="F1347" s="121"/>
      <c r="G1347" s="121"/>
      <c r="H1347" s="121"/>
      <c r="I1347" s="122"/>
      <c r="J1347" s="122"/>
      <c r="K1347" s="122"/>
      <c r="L1347" s="122"/>
      <c r="M1347" s="122"/>
      <c r="N1347" s="122"/>
      <c r="O1347" s="122"/>
      <c r="P1347" s="122"/>
      <c r="Q1347" s="122"/>
      <c r="R1347" s="122"/>
      <c r="S1347" s="122"/>
      <c r="T1347" s="122"/>
      <c r="U1347" s="122"/>
      <c r="V1347" s="122"/>
    </row>
    <row r="1348" spans="2:22" s="126" customFormat="1">
      <c r="B1348" s="120"/>
      <c r="C1348" s="120"/>
      <c r="D1348" s="121"/>
      <c r="E1348" s="127"/>
      <c r="F1348" s="121"/>
      <c r="G1348" s="121"/>
      <c r="H1348" s="121"/>
      <c r="I1348" s="122"/>
      <c r="J1348" s="122"/>
      <c r="K1348" s="122"/>
      <c r="L1348" s="122"/>
      <c r="M1348" s="122"/>
      <c r="N1348" s="122"/>
      <c r="O1348" s="122"/>
      <c r="P1348" s="122"/>
      <c r="Q1348" s="122"/>
      <c r="R1348" s="122"/>
      <c r="S1348" s="122"/>
      <c r="T1348" s="122"/>
      <c r="U1348" s="122"/>
      <c r="V1348" s="122"/>
    </row>
    <row r="1349" spans="2:22" s="126" customFormat="1">
      <c r="B1349" s="120"/>
      <c r="C1349" s="120"/>
      <c r="D1349" s="121"/>
      <c r="E1349" s="127"/>
      <c r="F1349" s="121"/>
      <c r="G1349" s="121"/>
      <c r="H1349" s="121"/>
      <c r="I1349" s="122"/>
      <c r="J1349" s="122"/>
      <c r="K1349" s="122"/>
      <c r="L1349" s="122"/>
      <c r="M1349" s="122"/>
      <c r="N1349" s="122"/>
      <c r="O1349" s="122"/>
      <c r="P1349" s="122"/>
      <c r="Q1349" s="122"/>
      <c r="R1349" s="122"/>
      <c r="S1349" s="122"/>
      <c r="T1349" s="122"/>
      <c r="U1349" s="122"/>
      <c r="V1349" s="122"/>
    </row>
    <row r="1350" spans="2:22" s="126" customFormat="1">
      <c r="B1350" s="120"/>
      <c r="C1350" s="120"/>
      <c r="D1350" s="121"/>
      <c r="E1350" s="127"/>
      <c r="F1350" s="121"/>
      <c r="G1350" s="121"/>
      <c r="H1350" s="121"/>
      <c r="I1350" s="122"/>
      <c r="J1350" s="122"/>
      <c r="K1350" s="122"/>
      <c r="L1350" s="122"/>
      <c r="M1350" s="122"/>
      <c r="N1350" s="122"/>
      <c r="O1350" s="122"/>
      <c r="P1350" s="122"/>
      <c r="Q1350" s="122"/>
      <c r="R1350" s="122"/>
      <c r="S1350" s="122"/>
      <c r="T1350" s="122"/>
      <c r="U1350" s="122"/>
      <c r="V1350" s="122"/>
    </row>
    <row r="1351" spans="2:22" s="126" customFormat="1">
      <c r="B1351" s="120"/>
      <c r="C1351" s="120"/>
      <c r="D1351" s="121"/>
      <c r="E1351" s="127"/>
      <c r="F1351" s="121"/>
      <c r="G1351" s="121"/>
      <c r="H1351" s="121"/>
      <c r="I1351" s="122"/>
      <c r="J1351" s="122"/>
      <c r="K1351" s="122"/>
      <c r="L1351" s="122"/>
      <c r="M1351" s="122"/>
      <c r="N1351" s="122"/>
      <c r="O1351" s="122"/>
      <c r="P1351" s="122"/>
      <c r="Q1351" s="122"/>
      <c r="R1351" s="122"/>
      <c r="S1351" s="122"/>
      <c r="T1351" s="122"/>
      <c r="U1351" s="122"/>
      <c r="V1351" s="122"/>
    </row>
    <row r="1352" spans="2:22" s="126" customFormat="1">
      <c r="B1352" s="120"/>
      <c r="C1352" s="120"/>
      <c r="D1352" s="121"/>
      <c r="E1352" s="127"/>
      <c r="F1352" s="121"/>
      <c r="G1352" s="121"/>
      <c r="H1352" s="121"/>
      <c r="I1352" s="122"/>
      <c r="J1352" s="122"/>
      <c r="K1352" s="122"/>
      <c r="L1352" s="122"/>
      <c r="M1352" s="122"/>
      <c r="N1352" s="122"/>
      <c r="O1352" s="122"/>
      <c r="P1352" s="122"/>
      <c r="Q1352" s="122"/>
      <c r="R1352" s="122"/>
      <c r="S1352" s="122"/>
      <c r="T1352" s="122"/>
      <c r="U1352" s="122"/>
      <c r="V1352" s="122"/>
    </row>
    <row r="1353" spans="2:22" s="126" customFormat="1">
      <c r="B1353" s="120"/>
      <c r="C1353" s="120"/>
      <c r="D1353" s="121"/>
      <c r="E1353" s="127"/>
      <c r="F1353" s="121"/>
      <c r="G1353" s="121"/>
      <c r="H1353" s="121"/>
      <c r="I1353" s="122"/>
      <c r="J1353" s="122"/>
      <c r="K1353" s="122"/>
      <c r="L1353" s="122"/>
      <c r="M1353" s="122"/>
      <c r="N1353" s="122"/>
      <c r="O1353" s="122"/>
      <c r="P1353" s="122"/>
      <c r="Q1353" s="122"/>
      <c r="R1353" s="122"/>
      <c r="S1353" s="122"/>
      <c r="T1353" s="122"/>
      <c r="U1353" s="122"/>
      <c r="V1353" s="122"/>
    </row>
    <row r="1354" spans="2:22" s="126" customFormat="1">
      <c r="B1354" s="120"/>
      <c r="C1354" s="120"/>
      <c r="D1354" s="121"/>
      <c r="E1354" s="127"/>
      <c r="F1354" s="121"/>
      <c r="G1354" s="121"/>
      <c r="H1354" s="121"/>
      <c r="I1354" s="122"/>
      <c r="J1354" s="122"/>
      <c r="K1354" s="122"/>
      <c r="L1354" s="122"/>
      <c r="M1354" s="122"/>
      <c r="N1354" s="122"/>
      <c r="O1354" s="122"/>
      <c r="P1354" s="122"/>
      <c r="Q1354" s="122"/>
      <c r="R1354" s="122"/>
      <c r="S1354" s="122"/>
      <c r="T1354" s="122"/>
      <c r="U1354" s="122"/>
      <c r="V1354" s="122"/>
    </row>
    <row r="1355" spans="2:22" s="126" customFormat="1">
      <c r="B1355" s="120"/>
      <c r="C1355" s="120"/>
      <c r="D1355" s="121"/>
      <c r="E1355" s="127"/>
      <c r="F1355" s="121"/>
      <c r="G1355" s="121"/>
      <c r="H1355" s="121"/>
      <c r="I1355" s="122"/>
      <c r="J1355" s="122"/>
      <c r="K1355" s="122"/>
      <c r="L1355" s="122"/>
      <c r="M1355" s="122"/>
      <c r="N1355" s="122"/>
      <c r="O1355" s="122"/>
      <c r="P1355" s="122"/>
      <c r="Q1355" s="122"/>
      <c r="R1355" s="122"/>
      <c r="S1355" s="122"/>
      <c r="T1355" s="122"/>
      <c r="U1355" s="122"/>
      <c r="V1355" s="122"/>
    </row>
    <row r="1356" spans="2:22" s="126" customFormat="1">
      <c r="B1356" s="120"/>
      <c r="C1356" s="120"/>
      <c r="D1356" s="121"/>
      <c r="E1356" s="127"/>
      <c r="F1356" s="121"/>
      <c r="G1356" s="121"/>
      <c r="H1356" s="121"/>
      <c r="I1356" s="122"/>
      <c r="J1356" s="122"/>
      <c r="K1356" s="122"/>
      <c r="L1356" s="122"/>
      <c r="M1356" s="122"/>
      <c r="N1356" s="122"/>
      <c r="O1356" s="122"/>
      <c r="P1356" s="122"/>
      <c r="Q1356" s="122"/>
      <c r="R1356" s="122"/>
      <c r="S1356" s="122"/>
      <c r="T1356" s="122"/>
      <c r="U1356" s="122"/>
      <c r="V1356" s="122"/>
    </row>
    <row r="1357" spans="2:22" s="126" customFormat="1">
      <c r="B1357" s="120"/>
      <c r="C1357" s="120"/>
      <c r="D1357" s="121"/>
      <c r="E1357" s="127"/>
      <c r="F1357" s="121"/>
      <c r="G1357" s="121"/>
      <c r="H1357" s="121"/>
      <c r="I1357" s="122"/>
      <c r="J1357" s="122"/>
      <c r="K1357" s="122"/>
      <c r="L1357" s="122"/>
      <c r="M1357" s="122"/>
      <c r="N1357" s="122"/>
      <c r="O1357" s="122"/>
      <c r="P1357" s="122"/>
      <c r="Q1357" s="122"/>
      <c r="R1357" s="122"/>
      <c r="S1357" s="122"/>
      <c r="T1357" s="122"/>
      <c r="U1357" s="122"/>
      <c r="V1357" s="122"/>
    </row>
    <row r="1358" spans="2:22" s="126" customFormat="1">
      <c r="B1358" s="120"/>
      <c r="C1358" s="120"/>
      <c r="D1358" s="121"/>
      <c r="E1358" s="127"/>
      <c r="F1358" s="121"/>
      <c r="G1358" s="121"/>
      <c r="H1358" s="121"/>
      <c r="I1358" s="122"/>
      <c r="J1358" s="122"/>
      <c r="K1358" s="122"/>
      <c r="L1358" s="122"/>
      <c r="M1358" s="122"/>
      <c r="N1358" s="122"/>
      <c r="O1358" s="122"/>
      <c r="P1358" s="122"/>
      <c r="Q1358" s="122"/>
      <c r="R1358" s="122"/>
      <c r="S1358" s="122"/>
      <c r="T1358" s="122"/>
      <c r="U1358" s="122"/>
      <c r="V1358" s="122"/>
    </row>
    <row r="1359" spans="2:22" s="126" customFormat="1">
      <c r="B1359" s="120"/>
      <c r="C1359" s="120"/>
      <c r="D1359" s="121"/>
      <c r="E1359" s="127"/>
      <c r="F1359" s="121"/>
      <c r="G1359" s="121"/>
      <c r="H1359" s="121"/>
      <c r="I1359" s="122"/>
      <c r="J1359" s="122"/>
      <c r="K1359" s="122"/>
      <c r="L1359" s="122"/>
      <c r="M1359" s="122"/>
      <c r="N1359" s="122"/>
      <c r="O1359" s="122"/>
      <c r="P1359" s="122"/>
      <c r="Q1359" s="122"/>
      <c r="R1359" s="122"/>
      <c r="S1359" s="122"/>
      <c r="T1359" s="122"/>
      <c r="U1359" s="122"/>
      <c r="V1359" s="122"/>
    </row>
    <row r="1360" spans="2:22" s="126" customFormat="1">
      <c r="B1360" s="120"/>
      <c r="C1360" s="120"/>
      <c r="D1360" s="121"/>
      <c r="E1360" s="127"/>
      <c r="F1360" s="121"/>
      <c r="G1360" s="121"/>
      <c r="H1360" s="121"/>
      <c r="I1360" s="122"/>
      <c r="J1360" s="122"/>
      <c r="K1360" s="122"/>
      <c r="L1360" s="122"/>
      <c r="M1360" s="122"/>
      <c r="N1360" s="122"/>
      <c r="O1360" s="122"/>
      <c r="P1360" s="122"/>
      <c r="Q1360" s="122"/>
      <c r="R1360" s="122"/>
      <c r="S1360" s="122"/>
      <c r="T1360" s="122"/>
      <c r="U1360" s="122"/>
      <c r="V1360" s="122"/>
    </row>
    <row r="1361" spans="2:22" s="126" customFormat="1">
      <c r="B1361" s="120"/>
      <c r="C1361" s="120"/>
      <c r="D1361" s="121"/>
      <c r="E1361" s="127"/>
      <c r="F1361" s="121"/>
      <c r="G1361" s="121"/>
      <c r="H1361" s="121"/>
      <c r="I1361" s="122"/>
      <c r="J1361" s="122"/>
      <c r="K1361" s="122"/>
      <c r="L1361" s="122"/>
      <c r="M1361" s="122"/>
      <c r="N1361" s="122"/>
      <c r="O1361" s="122"/>
      <c r="P1361" s="122"/>
      <c r="Q1361" s="122"/>
      <c r="R1361" s="122"/>
      <c r="S1361" s="122"/>
      <c r="T1361" s="122"/>
      <c r="U1361" s="122"/>
      <c r="V1361" s="122"/>
    </row>
    <row r="1362" spans="2:22" s="126" customFormat="1">
      <c r="B1362" s="120"/>
      <c r="C1362" s="120"/>
      <c r="D1362" s="121"/>
      <c r="E1362" s="127"/>
      <c r="F1362" s="121"/>
      <c r="G1362" s="121"/>
      <c r="H1362" s="121"/>
      <c r="I1362" s="122"/>
      <c r="J1362" s="122"/>
      <c r="K1362" s="122"/>
      <c r="L1362" s="122"/>
      <c r="M1362" s="122"/>
      <c r="N1362" s="122"/>
      <c r="O1362" s="122"/>
      <c r="P1362" s="122"/>
      <c r="Q1362" s="122"/>
      <c r="R1362" s="122"/>
      <c r="S1362" s="122"/>
      <c r="T1362" s="122"/>
      <c r="U1362" s="122"/>
      <c r="V1362" s="122"/>
    </row>
    <row r="1363" spans="2:22" s="126" customFormat="1">
      <c r="B1363" s="120"/>
      <c r="C1363" s="120"/>
      <c r="D1363" s="121"/>
      <c r="E1363" s="127"/>
      <c r="F1363" s="121"/>
      <c r="G1363" s="121"/>
      <c r="H1363" s="121"/>
      <c r="I1363" s="122"/>
      <c r="J1363" s="122"/>
      <c r="K1363" s="122"/>
      <c r="L1363" s="122"/>
      <c r="M1363" s="122"/>
      <c r="N1363" s="122"/>
      <c r="O1363" s="122"/>
      <c r="P1363" s="122"/>
      <c r="Q1363" s="122"/>
      <c r="R1363" s="122"/>
      <c r="S1363" s="122"/>
      <c r="T1363" s="122"/>
      <c r="U1363" s="122"/>
      <c r="V1363" s="122"/>
    </row>
    <row r="1364" spans="2:22" s="126" customFormat="1">
      <c r="B1364" s="120"/>
      <c r="C1364" s="120"/>
      <c r="D1364" s="121"/>
      <c r="E1364" s="127"/>
      <c r="F1364" s="121"/>
      <c r="G1364" s="121"/>
      <c r="H1364" s="121"/>
      <c r="I1364" s="122"/>
      <c r="J1364" s="122"/>
      <c r="K1364" s="122"/>
      <c r="L1364" s="122"/>
      <c r="M1364" s="122"/>
      <c r="N1364" s="122"/>
      <c r="O1364" s="122"/>
      <c r="P1364" s="122"/>
      <c r="Q1364" s="122"/>
      <c r="R1364" s="122"/>
      <c r="S1364" s="122"/>
      <c r="T1364" s="122"/>
      <c r="U1364" s="122"/>
      <c r="V1364" s="122"/>
    </row>
    <row r="1365" spans="2:22" s="126" customFormat="1">
      <c r="B1365" s="120"/>
      <c r="C1365" s="120"/>
      <c r="D1365" s="121"/>
      <c r="E1365" s="127"/>
      <c r="F1365" s="121"/>
      <c r="G1365" s="121"/>
      <c r="H1365" s="121"/>
      <c r="I1365" s="122"/>
      <c r="J1365" s="122"/>
      <c r="K1365" s="122"/>
      <c r="L1365" s="122"/>
      <c r="M1365" s="122"/>
      <c r="N1365" s="122"/>
      <c r="O1365" s="122"/>
      <c r="P1365" s="122"/>
      <c r="Q1365" s="122"/>
      <c r="R1365" s="122"/>
      <c r="S1365" s="122"/>
      <c r="T1365" s="122"/>
      <c r="U1365" s="122"/>
      <c r="V1365" s="122"/>
    </row>
    <row r="1366" spans="2:22" s="126" customFormat="1">
      <c r="B1366" s="120"/>
      <c r="C1366" s="120"/>
      <c r="D1366" s="121"/>
      <c r="E1366" s="127"/>
      <c r="F1366" s="121"/>
      <c r="G1366" s="121"/>
      <c r="H1366" s="121"/>
      <c r="I1366" s="122"/>
      <c r="J1366" s="122"/>
      <c r="K1366" s="122"/>
      <c r="L1366" s="122"/>
      <c r="M1366" s="122"/>
      <c r="N1366" s="122"/>
      <c r="O1366" s="122"/>
      <c r="P1366" s="122"/>
      <c r="Q1366" s="122"/>
      <c r="R1366" s="122"/>
      <c r="S1366" s="122"/>
      <c r="T1366" s="122"/>
      <c r="U1366" s="122"/>
      <c r="V1366" s="122"/>
    </row>
    <row r="1367" spans="2:22" s="126" customFormat="1">
      <c r="B1367" s="120"/>
      <c r="C1367" s="120"/>
      <c r="D1367" s="121"/>
      <c r="E1367" s="127"/>
      <c r="F1367" s="121"/>
      <c r="G1367" s="121"/>
      <c r="H1367" s="121"/>
      <c r="I1367" s="122"/>
      <c r="J1367" s="122"/>
      <c r="K1367" s="122"/>
      <c r="L1367" s="122"/>
      <c r="M1367" s="122"/>
      <c r="N1367" s="122"/>
      <c r="O1367" s="122"/>
      <c r="P1367" s="122"/>
      <c r="Q1367" s="122"/>
      <c r="R1367" s="122"/>
      <c r="S1367" s="122"/>
      <c r="T1367" s="122"/>
      <c r="U1367" s="122"/>
      <c r="V1367" s="122"/>
    </row>
    <row r="1368" spans="2:22" s="126" customFormat="1">
      <c r="B1368" s="120"/>
      <c r="C1368" s="120"/>
      <c r="D1368" s="121"/>
      <c r="E1368" s="127"/>
      <c r="F1368" s="121"/>
      <c r="G1368" s="121"/>
      <c r="H1368" s="121"/>
      <c r="I1368" s="122"/>
      <c r="J1368" s="122"/>
      <c r="K1368" s="122"/>
      <c r="L1368" s="122"/>
      <c r="M1368" s="122"/>
      <c r="N1368" s="122"/>
      <c r="O1368" s="122"/>
      <c r="P1368" s="122"/>
      <c r="Q1368" s="122"/>
      <c r="R1368" s="122"/>
      <c r="S1368" s="122"/>
      <c r="T1368" s="122"/>
      <c r="U1368" s="122"/>
      <c r="V1368" s="122"/>
    </row>
    <row r="1369" spans="2:22" s="126" customFormat="1">
      <c r="B1369" s="120"/>
      <c r="C1369" s="120"/>
      <c r="D1369" s="121"/>
      <c r="E1369" s="127"/>
      <c r="F1369" s="121"/>
      <c r="G1369" s="121"/>
      <c r="H1369" s="121"/>
      <c r="I1369" s="122"/>
      <c r="J1369" s="122"/>
      <c r="K1369" s="122"/>
      <c r="L1369" s="122"/>
      <c r="M1369" s="122"/>
      <c r="N1369" s="122"/>
      <c r="O1369" s="122"/>
      <c r="P1369" s="122"/>
      <c r="Q1369" s="122"/>
      <c r="R1369" s="122"/>
      <c r="S1369" s="122"/>
      <c r="T1369" s="122"/>
      <c r="U1369" s="122"/>
      <c r="V1369" s="122"/>
    </row>
    <row r="1370" spans="2:22" s="126" customFormat="1">
      <c r="B1370" s="120"/>
      <c r="C1370" s="120"/>
      <c r="D1370" s="121"/>
      <c r="E1370" s="127"/>
      <c r="F1370" s="121"/>
      <c r="G1370" s="121"/>
      <c r="H1370" s="121"/>
      <c r="I1370" s="122"/>
      <c r="J1370" s="122"/>
      <c r="K1370" s="122"/>
      <c r="L1370" s="122"/>
      <c r="M1370" s="122"/>
      <c r="N1370" s="122"/>
      <c r="O1370" s="122"/>
      <c r="P1370" s="122"/>
      <c r="Q1370" s="122"/>
      <c r="R1370" s="122"/>
      <c r="S1370" s="122"/>
      <c r="T1370" s="122"/>
      <c r="U1370" s="122"/>
      <c r="V1370" s="122"/>
    </row>
    <row r="1371" spans="2:22" s="126" customFormat="1">
      <c r="B1371" s="120"/>
      <c r="C1371" s="120"/>
      <c r="D1371" s="121"/>
      <c r="E1371" s="127"/>
      <c r="F1371" s="121"/>
      <c r="G1371" s="121"/>
      <c r="H1371" s="121"/>
      <c r="I1371" s="122"/>
      <c r="J1371" s="122"/>
      <c r="K1371" s="122"/>
      <c r="L1371" s="122"/>
      <c r="M1371" s="122"/>
      <c r="N1371" s="122"/>
      <c r="O1371" s="122"/>
      <c r="P1371" s="122"/>
      <c r="Q1371" s="122"/>
      <c r="R1371" s="122"/>
      <c r="S1371" s="122"/>
      <c r="T1371" s="122"/>
      <c r="U1371" s="122"/>
      <c r="V1371" s="122"/>
    </row>
    <row r="1372" spans="2:22" s="126" customFormat="1">
      <c r="B1372" s="120"/>
      <c r="C1372" s="120"/>
      <c r="D1372" s="121"/>
      <c r="E1372" s="127"/>
      <c r="F1372" s="121"/>
      <c r="G1372" s="121"/>
      <c r="H1372" s="121"/>
      <c r="I1372" s="122"/>
      <c r="J1372" s="122"/>
      <c r="K1372" s="122"/>
      <c r="L1372" s="122"/>
      <c r="M1372" s="122"/>
      <c r="N1372" s="122"/>
      <c r="O1372" s="122"/>
      <c r="P1372" s="122"/>
      <c r="Q1372" s="122"/>
      <c r="R1372" s="122"/>
      <c r="S1372" s="122"/>
      <c r="T1372" s="122"/>
      <c r="U1372" s="122"/>
      <c r="V1372" s="122"/>
    </row>
    <row r="1373" spans="2:22" s="126" customFormat="1">
      <c r="B1373" s="120"/>
      <c r="C1373" s="120"/>
      <c r="D1373" s="121"/>
      <c r="E1373" s="127"/>
      <c r="F1373" s="121"/>
      <c r="G1373" s="121"/>
      <c r="H1373" s="121"/>
      <c r="I1373" s="122"/>
      <c r="J1373" s="122"/>
      <c r="K1373" s="122"/>
      <c r="L1373" s="122"/>
      <c r="M1373" s="122"/>
      <c r="N1373" s="122"/>
      <c r="O1373" s="122"/>
      <c r="P1373" s="122"/>
      <c r="Q1373" s="122"/>
      <c r="R1373" s="122"/>
      <c r="S1373" s="122"/>
      <c r="T1373" s="122"/>
      <c r="U1373" s="122"/>
      <c r="V1373" s="122"/>
    </row>
    <row r="1374" spans="2:22" s="126" customFormat="1">
      <c r="B1374" s="120"/>
      <c r="C1374" s="120"/>
      <c r="D1374" s="121"/>
      <c r="E1374" s="127"/>
      <c r="F1374" s="121"/>
      <c r="G1374" s="121"/>
      <c r="H1374" s="121"/>
      <c r="I1374" s="122"/>
      <c r="J1374" s="122"/>
      <c r="K1374" s="122"/>
      <c r="L1374" s="122"/>
      <c r="M1374" s="122"/>
      <c r="N1374" s="122"/>
      <c r="O1374" s="122"/>
      <c r="P1374" s="122"/>
      <c r="Q1374" s="122"/>
      <c r="R1374" s="122"/>
      <c r="S1374" s="122"/>
      <c r="T1374" s="122"/>
      <c r="U1374" s="122"/>
      <c r="V1374" s="122"/>
    </row>
    <row r="1375" spans="2:22" s="126" customFormat="1">
      <c r="B1375" s="120"/>
      <c r="C1375" s="120"/>
      <c r="D1375" s="121"/>
      <c r="E1375" s="127"/>
      <c r="F1375" s="121"/>
      <c r="G1375" s="121"/>
      <c r="H1375" s="121"/>
      <c r="I1375" s="122"/>
      <c r="J1375" s="122"/>
      <c r="K1375" s="122"/>
      <c r="L1375" s="122"/>
      <c r="M1375" s="122"/>
      <c r="N1375" s="122"/>
      <c r="O1375" s="122"/>
      <c r="P1375" s="122"/>
      <c r="Q1375" s="122"/>
      <c r="R1375" s="122"/>
      <c r="S1375" s="122"/>
      <c r="T1375" s="122"/>
      <c r="U1375" s="122"/>
      <c r="V1375" s="122"/>
    </row>
    <row r="1376" spans="2:22" s="126" customFormat="1">
      <c r="B1376" s="120"/>
      <c r="C1376" s="120"/>
      <c r="D1376" s="121"/>
      <c r="E1376" s="127"/>
      <c r="F1376" s="121"/>
      <c r="G1376" s="121"/>
      <c r="H1376" s="121"/>
      <c r="I1376" s="122"/>
      <c r="J1376" s="122"/>
      <c r="K1376" s="122"/>
      <c r="L1376" s="122"/>
      <c r="M1376" s="122"/>
      <c r="N1376" s="122"/>
      <c r="O1376" s="122"/>
      <c r="P1376" s="122"/>
      <c r="Q1376" s="122"/>
      <c r="R1376" s="122"/>
      <c r="S1376" s="122"/>
      <c r="T1376" s="122"/>
      <c r="U1376" s="122"/>
      <c r="V1376" s="122"/>
    </row>
  </sheetData>
  <mergeCells count="18">
    <mergeCell ref="A514:E514"/>
    <mergeCell ref="A217:E217"/>
    <mergeCell ref="A218:E218"/>
    <mergeCell ref="A219:E219"/>
    <mergeCell ref="B224:C224"/>
    <mergeCell ref="A324:E324"/>
    <mergeCell ref="A325:E325"/>
    <mergeCell ref="A382:E382"/>
    <mergeCell ref="A422:E422"/>
    <mergeCell ref="A423:E423"/>
    <mergeCell ref="A472:E472"/>
    <mergeCell ref="A513:E513"/>
    <mergeCell ref="A122:J122"/>
    <mergeCell ref="A119:J119"/>
    <mergeCell ref="A120:J120"/>
    <mergeCell ref="A1:M1"/>
    <mergeCell ref="A2:M2"/>
    <mergeCell ref="A3:M3"/>
  </mergeCells>
  <printOptions horizontalCentered="1" verticalCentered="1" gridLines="1"/>
  <pageMargins left="0" right="0" top="0" bottom="0" header="0" footer="0"/>
  <pageSetup paperSize="9" scale="73" orientation="landscape" horizontalDpi="300" verticalDpi="300" r:id="rId1"/>
  <headerFooter alignWithMargins="0">
    <oddFooter>&amp;R&amp;F/&amp;A/&amp;P</oddFooter>
  </headerFooter>
  <rowBreaks count="11" manualBreakCount="11">
    <brk id="58" max="16383" man="1"/>
    <brk id="117" max="16383" man="1"/>
    <brk id="171" max="13" man="1"/>
    <brk id="216" max="16383" man="1"/>
    <brk id="269" max="16383" man="1"/>
    <brk id="322" max="16383" man="1"/>
    <brk id="380" max="16383" man="1"/>
    <brk id="420" max="16383" man="1"/>
    <brk id="470" max="16383" man="1"/>
    <brk id="511" max="16383" man="1"/>
    <brk id="567" max="1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3:O33"/>
  <sheetViews>
    <sheetView workbookViewId="0">
      <selection activeCell="L3" sqref="L3"/>
    </sheetView>
  </sheetViews>
  <sheetFormatPr defaultRowHeight="12.75"/>
  <cols>
    <col min="1" max="1" width="5.28515625" bestFit="1" customWidth="1"/>
    <col min="2" max="2" width="22.85546875" bestFit="1" customWidth="1"/>
    <col min="3" max="4" width="10.28515625" bestFit="1" customWidth="1"/>
    <col min="5" max="11" width="11.28515625" bestFit="1" customWidth="1"/>
    <col min="12" max="14" width="11.28515625" style="249" customWidth="1"/>
    <col min="15" max="15" width="9.140625" style="249"/>
  </cols>
  <sheetData>
    <row r="3" spans="1:14">
      <c r="A3" s="27" t="s">
        <v>76</v>
      </c>
      <c r="B3" s="27" t="s">
        <v>0</v>
      </c>
      <c r="C3" s="27" t="s">
        <v>174</v>
      </c>
      <c r="D3" s="27" t="s">
        <v>175</v>
      </c>
      <c r="E3" s="27" t="s">
        <v>74</v>
      </c>
      <c r="F3" s="27" t="s">
        <v>73</v>
      </c>
      <c r="G3" s="27" t="s">
        <v>66</v>
      </c>
      <c r="H3" s="27" t="s">
        <v>65</v>
      </c>
      <c r="I3" s="27" t="s">
        <v>64</v>
      </c>
      <c r="J3" s="27" t="s">
        <v>63</v>
      </c>
      <c r="K3" s="27" t="s">
        <v>62</v>
      </c>
      <c r="L3" s="92" t="s">
        <v>61</v>
      </c>
      <c r="M3" s="92" t="s">
        <v>58</v>
      </c>
      <c r="N3" s="92" t="s">
        <v>725</v>
      </c>
    </row>
    <row r="4" spans="1:14">
      <c r="A4" s="27"/>
      <c r="B4" s="27"/>
      <c r="C4" s="27"/>
      <c r="D4" s="27"/>
      <c r="E4" s="27"/>
      <c r="F4" s="27"/>
      <c r="G4" s="27"/>
      <c r="H4" s="27"/>
      <c r="I4" s="27"/>
      <c r="J4" s="27"/>
      <c r="K4" s="27"/>
      <c r="L4" s="92"/>
      <c r="M4" s="92"/>
      <c r="N4" s="92"/>
    </row>
    <row r="5" spans="1:14">
      <c r="A5" s="24">
        <v>1</v>
      </c>
      <c r="B5" s="24" t="s">
        <v>149</v>
      </c>
      <c r="C5" s="24">
        <f>Expenses!C11</f>
        <v>7244057</v>
      </c>
      <c r="D5" s="66">
        <f>Expenses!D11</f>
        <v>8984022</v>
      </c>
      <c r="E5" s="66">
        <f>Expenses!E11</f>
        <v>11323161.387499999</v>
      </c>
      <c r="F5" s="66">
        <f>Expenses!F11</f>
        <v>14180744.384375</v>
      </c>
      <c r="G5" s="66">
        <f>Expenses!G11</f>
        <v>17684742.027968749</v>
      </c>
      <c r="H5" s="66">
        <f>Expenses!H11</f>
        <v>22141685.814585939</v>
      </c>
      <c r="I5" s="66">
        <f>Expenses!I11</f>
        <v>27622229.289801173</v>
      </c>
      <c r="J5" s="66">
        <f>Expenses!J11</f>
        <v>34572176.937055528</v>
      </c>
      <c r="K5" s="66">
        <f>Expenses!K11</f>
        <v>43146270.044844083</v>
      </c>
      <c r="L5" s="282">
        <f>Expenses!L11</f>
        <v>53985418.760608472</v>
      </c>
      <c r="M5" s="282">
        <f>Expenses!M11</f>
        <v>67398241.835996971</v>
      </c>
      <c r="N5" s="282">
        <f>Expenses!N11</f>
        <v>84307990.938018054</v>
      </c>
    </row>
    <row r="6" spans="1:14">
      <c r="A6" s="24"/>
      <c r="B6" s="53" t="s">
        <v>143</v>
      </c>
      <c r="C6" s="22">
        <f>+Expenses!C12</f>
        <v>23.837401114557554</v>
      </c>
      <c r="D6" s="22">
        <f>+Expenses!D12</f>
        <v>27.655833962955555</v>
      </c>
      <c r="E6" s="22" t="e">
        <f>+Expenses!E12</f>
        <v>#REF!</v>
      </c>
      <c r="F6" s="22" t="e">
        <f>+Expenses!F12</f>
        <v>#REF!</v>
      </c>
      <c r="G6" s="22" t="e">
        <f>+Expenses!G12</f>
        <v>#REF!</v>
      </c>
      <c r="H6" s="22" t="e">
        <f>+Expenses!H12</f>
        <v>#REF!</v>
      </c>
      <c r="I6" s="22" t="e">
        <f>+Expenses!I12</f>
        <v>#REF!</v>
      </c>
      <c r="J6" s="22" t="e">
        <f>+Expenses!J12</f>
        <v>#REF!</v>
      </c>
      <c r="K6" s="22" t="e">
        <f>+Expenses!K12</f>
        <v>#REF!</v>
      </c>
      <c r="L6" s="257" t="e">
        <f>+Expenses!L12</f>
        <v>#REF!</v>
      </c>
      <c r="M6" s="257" t="e">
        <f>+Expenses!M12</f>
        <v>#REF!</v>
      </c>
      <c r="N6" s="257" t="e">
        <f>+Expenses!N12</f>
        <v>#REF!</v>
      </c>
    </row>
    <row r="7" spans="1:14">
      <c r="A7" s="24"/>
      <c r="B7" s="24"/>
      <c r="C7" s="24"/>
      <c r="D7" s="24"/>
      <c r="E7" s="22"/>
      <c r="F7" s="22"/>
      <c r="G7" s="22"/>
      <c r="H7" s="22"/>
      <c r="I7" s="22"/>
      <c r="J7" s="22"/>
      <c r="K7" s="22"/>
      <c r="L7" s="257"/>
      <c r="M7" s="257"/>
      <c r="N7" s="257"/>
    </row>
    <row r="8" spans="1:14">
      <c r="A8" s="24">
        <f>+A5+1</f>
        <v>2</v>
      </c>
      <c r="B8" s="24" t="s">
        <v>136</v>
      </c>
      <c r="C8" s="90">
        <f>Expenses!C25</f>
        <v>246431</v>
      </c>
      <c r="D8" s="90">
        <f>Expenses!D25</f>
        <v>284928</v>
      </c>
      <c r="E8" s="90" t="e">
        <f>Expenses!E25</f>
        <v>#REF!</v>
      </c>
      <c r="F8" s="90" t="e">
        <f>Expenses!F25</f>
        <v>#REF!</v>
      </c>
      <c r="G8" s="90" t="e">
        <f>Expenses!G25</f>
        <v>#REF!</v>
      </c>
      <c r="H8" s="90" t="e">
        <f>Expenses!H25</f>
        <v>#REF!</v>
      </c>
      <c r="I8" s="90" t="e">
        <f>Expenses!I25</f>
        <v>#REF!</v>
      </c>
      <c r="J8" s="90" t="e">
        <f>Expenses!J25</f>
        <v>#REF!</v>
      </c>
      <c r="K8" s="90" t="e">
        <f>Expenses!K25</f>
        <v>#REF!</v>
      </c>
      <c r="L8" s="283" t="e">
        <f>Expenses!L25</f>
        <v>#REF!</v>
      </c>
      <c r="M8" s="283" t="e">
        <f>Expenses!M25</f>
        <v>#REF!</v>
      </c>
      <c r="N8" s="283" t="e">
        <f>Expenses!N25</f>
        <v>#REF!</v>
      </c>
    </row>
    <row r="9" spans="1:14">
      <c r="A9" s="24"/>
      <c r="B9" s="53" t="s">
        <v>143</v>
      </c>
      <c r="C9" s="22">
        <f>+Expenses!C26</f>
        <v>0.81090949368034138</v>
      </c>
      <c r="D9" s="22">
        <f>+Expenses!D26</f>
        <v>0.87710398075572393</v>
      </c>
      <c r="E9" s="22" t="e">
        <f>+Expenses!E26</f>
        <v>#REF!</v>
      </c>
      <c r="F9" s="22" t="e">
        <f>+Expenses!F26</f>
        <v>#REF!</v>
      </c>
      <c r="G9" s="22" t="e">
        <f>+Expenses!G26</f>
        <v>#REF!</v>
      </c>
      <c r="H9" s="22" t="e">
        <f>+Expenses!H26</f>
        <v>#REF!</v>
      </c>
      <c r="I9" s="22" t="e">
        <f>+Expenses!I26</f>
        <v>#REF!</v>
      </c>
      <c r="J9" s="22" t="e">
        <f>+Expenses!J26</f>
        <v>#REF!</v>
      </c>
      <c r="K9" s="22" t="e">
        <f>+Expenses!K26</f>
        <v>#REF!</v>
      </c>
      <c r="L9" s="257" t="e">
        <f>+Expenses!L26</f>
        <v>#REF!</v>
      </c>
      <c r="M9" s="257" t="e">
        <f>+Expenses!M26</f>
        <v>#REF!</v>
      </c>
      <c r="N9" s="257" t="e">
        <f>+Expenses!N26</f>
        <v>#REF!</v>
      </c>
    </row>
    <row r="10" spans="1:14">
      <c r="A10" s="24"/>
      <c r="B10" s="24"/>
      <c r="C10" s="24"/>
      <c r="D10" s="24"/>
      <c r="E10" s="22"/>
      <c r="F10" s="22"/>
      <c r="G10" s="22"/>
      <c r="H10" s="22"/>
      <c r="I10" s="22"/>
      <c r="J10" s="22"/>
      <c r="K10" s="22"/>
      <c r="L10" s="257"/>
      <c r="M10" s="257"/>
      <c r="N10" s="257"/>
    </row>
    <row r="11" spans="1:14">
      <c r="A11" s="24">
        <f>+A8+1</f>
        <v>3</v>
      </c>
      <c r="B11" s="24" t="s">
        <v>148</v>
      </c>
      <c r="C11" s="66">
        <f>Expenses!C44</f>
        <v>2481990</v>
      </c>
      <c r="D11" s="66">
        <f>Expenses!D44</f>
        <v>2667991</v>
      </c>
      <c r="E11" s="66">
        <f>Expenses!E44</f>
        <v>3354875.27</v>
      </c>
      <c r="F11" s="66">
        <f>Expenses!F44</f>
        <v>4551408.3147</v>
      </c>
      <c r="G11" s="66">
        <f>Expenses!G44</f>
        <v>4937190.1895500002</v>
      </c>
      <c r="H11" s="66">
        <f>Expenses!H44</f>
        <v>5391278.7505919999</v>
      </c>
      <c r="I11" s="66">
        <f>Expenses!I44</f>
        <v>6063327.1528427508</v>
      </c>
      <c r="J11" s="66">
        <f>Expenses!J44</f>
        <v>6795468.0509438077</v>
      </c>
      <c r="K11" s="66">
        <f>Expenses!K44</f>
        <v>7734737.4053480541</v>
      </c>
      <c r="L11" s="282">
        <f>Expenses!L44</f>
        <v>9157198.8250071984</v>
      </c>
      <c r="M11" s="282">
        <f>Expenses!M44</f>
        <v>10806346.142868357</v>
      </c>
      <c r="N11" s="282">
        <f>Expenses!N44</f>
        <v>12655476.287753362</v>
      </c>
    </row>
    <row r="12" spans="1:14">
      <c r="A12" s="24"/>
      <c r="B12" s="53" t="s">
        <v>143</v>
      </c>
      <c r="C12" s="22">
        <f>+Expenses!C45</f>
        <v>8.1672730063168615</v>
      </c>
      <c r="D12" s="22">
        <f>+Expenses!D45</f>
        <v>8.2129714409269869</v>
      </c>
      <c r="E12" s="22" t="e">
        <f>+Expenses!E45</f>
        <v>#REF!</v>
      </c>
      <c r="F12" s="22" t="e">
        <f>+Expenses!F45</f>
        <v>#REF!</v>
      </c>
      <c r="G12" s="22" t="e">
        <f>+Expenses!G45</f>
        <v>#REF!</v>
      </c>
      <c r="H12" s="22" t="e">
        <f>+Expenses!H45</f>
        <v>#REF!</v>
      </c>
      <c r="I12" s="22" t="e">
        <f>+Expenses!I45</f>
        <v>#REF!</v>
      </c>
      <c r="J12" s="22" t="e">
        <f>+Expenses!J45</f>
        <v>#REF!</v>
      </c>
      <c r="K12" s="22" t="e">
        <f>+Expenses!K45</f>
        <v>#REF!</v>
      </c>
      <c r="L12" s="257" t="e">
        <f>+Expenses!L45</f>
        <v>#REF!</v>
      </c>
      <c r="M12" s="257" t="e">
        <f>+Expenses!M45</f>
        <v>#REF!</v>
      </c>
      <c r="N12" s="257" t="e">
        <f>+Expenses!N45</f>
        <v>#REF!</v>
      </c>
    </row>
    <row r="13" spans="1:14">
      <c r="A13" s="24"/>
      <c r="B13" s="24"/>
      <c r="C13" s="24"/>
      <c r="D13" s="24"/>
      <c r="E13" s="22"/>
      <c r="F13" s="22"/>
      <c r="G13" s="22"/>
      <c r="H13" s="22"/>
      <c r="I13" s="22"/>
      <c r="J13" s="22"/>
      <c r="K13" s="22"/>
      <c r="L13" s="257"/>
      <c r="M13" s="257"/>
      <c r="N13" s="257"/>
    </row>
    <row r="14" spans="1:14">
      <c r="A14" s="24">
        <f>+A11+1</f>
        <v>4</v>
      </c>
      <c r="B14" s="24" t="s">
        <v>147</v>
      </c>
      <c r="C14" s="24">
        <f>Expenses!C54</f>
        <v>3065986</v>
      </c>
      <c r="D14" s="66">
        <f>Expenses!D54</f>
        <v>2991379</v>
      </c>
      <c r="E14" s="66">
        <f>Expenses!E54</f>
        <v>3715183.75</v>
      </c>
      <c r="F14" s="66">
        <f>Expenses!F54</f>
        <v>4526729.6875</v>
      </c>
      <c r="G14" s="66">
        <f>Expenses!G54</f>
        <v>5526562.109375</v>
      </c>
      <c r="H14" s="66">
        <f>Expenses!H54</f>
        <v>6759736.38671875</v>
      </c>
      <c r="I14" s="66">
        <f>Expenses!I54</f>
        <v>8282261.6708984375</v>
      </c>
      <c r="J14" s="66">
        <f>Expenses!J54</f>
        <v>10163787.066748047</v>
      </c>
      <c r="K14" s="66">
        <f>Expenses!K54</f>
        <v>12490949.932028808</v>
      </c>
      <c r="L14" s="282">
        <f>Expenses!L54</f>
        <v>15371550.064543825</v>
      </c>
      <c r="M14" s="282">
        <f>Expenses!M54</f>
        <v>18939754.137351263</v>
      </c>
      <c r="N14" s="282">
        <f>Expenses!N54</f>
        <v>23362585.424572539</v>
      </c>
    </row>
    <row r="15" spans="1:14">
      <c r="A15" s="24"/>
      <c r="B15" s="53" t="s">
        <v>143</v>
      </c>
      <c r="C15" s="22">
        <f>+Expenses!C55</f>
        <v>10.088978882084701</v>
      </c>
      <c r="D15" s="22">
        <f>+Expenses!D55</f>
        <v>9.2084682054732312</v>
      </c>
      <c r="E15" s="22" t="e">
        <f>+Expenses!E55</f>
        <v>#REF!</v>
      </c>
      <c r="F15" s="22" t="e">
        <f>+Expenses!F55</f>
        <v>#REF!</v>
      </c>
      <c r="G15" s="22" t="e">
        <f>+Expenses!G55</f>
        <v>#REF!</v>
      </c>
      <c r="H15" s="22" t="e">
        <f>+Expenses!H55</f>
        <v>#REF!</v>
      </c>
      <c r="I15" s="22" t="e">
        <f>+Expenses!I55</f>
        <v>#REF!</v>
      </c>
      <c r="J15" s="22" t="e">
        <f>+Expenses!J55</f>
        <v>#REF!</v>
      </c>
      <c r="K15" s="22" t="e">
        <f>+Expenses!K55</f>
        <v>#REF!</v>
      </c>
      <c r="L15" s="257" t="e">
        <f>+Expenses!L55</f>
        <v>#REF!</v>
      </c>
      <c r="M15" s="257" t="e">
        <f>+Expenses!M55</f>
        <v>#REF!</v>
      </c>
      <c r="N15" s="257" t="e">
        <f>+Expenses!N55</f>
        <v>#REF!</v>
      </c>
    </row>
    <row r="16" spans="1:14">
      <c r="A16" s="24"/>
      <c r="B16" s="24"/>
      <c r="C16" s="24"/>
      <c r="D16" s="24"/>
      <c r="E16" s="22"/>
      <c r="F16" s="22"/>
      <c r="G16" s="22"/>
      <c r="H16" s="22"/>
      <c r="I16" s="22"/>
      <c r="J16" s="22"/>
      <c r="K16" s="22"/>
      <c r="L16" s="257"/>
      <c r="M16" s="257"/>
      <c r="N16" s="257"/>
    </row>
    <row r="17" spans="1:14">
      <c r="A17" s="65"/>
      <c r="B17" s="63" t="s">
        <v>146</v>
      </c>
      <c r="C17" s="62">
        <f t="shared" ref="C17:K17" si="0">+C5+C8+C11+C14</f>
        <v>13038464</v>
      </c>
      <c r="D17" s="62">
        <f t="shared" si="0"/>
        <v>14928320</v>
      </c>
      <c r="E17" s="62" t="e">
        <f t="shared" si="0"/>
        <v>#REF!</v>
      </c>
      <c r="F17" s="62" t="e">
        <f t="shared" si="0"/>
        <v>#REF!</v>
      </c>
      <c r="G17" s="62" t="e">
        <f t="shared" si="0"/>
        <v>#REF!</v>
      </c>
      <c r="H17" s="62" t="e">
        <f t="shared" si="0"/>
        <v>#REF!</v>
      </c>
      <c r="I17" s="62" t="e">
        <f t="shared" si="0"/>
        <v>#REF!</v>
      </c>
      <c r="J17" s="62" t="e">
        <f t="shared" si="0"/>
        <v>#REF!</v>
      </c>
      <c r="K17" s="62" t="e">
        <f t="shared" si="0"/>
        <v>#REF!</v>
      </c>
      <c r="L17" s="62" t="e">
        <f t="shared" ref="L17:N18" si="1">+L5+L8+L11+L14</f>
        <v>#REF!</v>
      </c>
      <c r="M17" s="62" t="e">
        <f t="shared" si="1"/>
        <v>#REF!</v>
      </c>
      <c r="N17" s="62" t="e">
        <f t="shared" si="1"/>
        <v>#REF!</v>
      </c>
    </row>
    <row r="18" spans="1:14">
      <c r="A18" s="64"/>
      <c r="B18" s="63" t="s">
        <v>143</v>
      </c>
      <c r="C18" s="63"/>
      <c r="D18" s="63"/>
      <c r="E18" s="62" t="e">
        <f t="shared" ref="E18:K18" si="2">+E6+E9+E12+E15</f>
        <v>#REF!</v>
      </c>
      <c r="F18" s="62" t="e">
        <f t="shared" si="2"/>
        <v>#REF!</v>
      </c>
      <c r="G18" s="62" t="e">
        <f t="shared" si="2"/>
        <v>#REF!</v>
      </c>
      <c r="H18" s="62" t="e">
        <f t="shared" si="2"/>
        <v>#REF!</v>
      </c>
      <c r="I18" s="62" t="e">
        <f t="shared" si="2"/>
        <v>#REF!</v>
      </c>
      <c r="J18" s="62" t="e">
        <f t="shared" si="2"/>
        <v>#REF!</v>
      </c>
      <c r="K18" s="62" t="e">
        <f t="shared" si="2"/>
        <v>#REF!</v>
      </c>
      <c r="L18" s="62" t="e">
        <f t="shared" si="1"/>
        <v>#REF!</v>
      </c>
      <c r="M18" s="62" t="e">
        <f t="shared" si="1"/>
        <v>#REF!</v>
      </c>
      <c r="N18" s="62" t="e">
        <f t="shared" si="1"/>
        <v>#REF!</v>
      </c>
    </row>
    <row r="19" spans="1:14">
      <c r="A19" s="24"/>
      <c r="B19" s="24"/>
      <c r="C19" s="24"/>
      <c r="D19" s="24"/>
      <c r="E19" s="22"/>
      <c r="F19" s="22"/>
      <c r="G19" s="22"/>
      <c r="H19" s="22"/>
      <c r="I19" s="22"/>
      <c r="J19" s="22"/>
      <c r="K19" s="22"/>
      <c r="L19" s="257"/>
      <c r="M19" s="257"/>
      <c r="N19" s="257"/>
    </row>
    <row r="20" spans="1:14">
      <c r="A20" s="24">
        <v>5</v>
      </c>
      <c r="B20" s="53" t="s">
        <v>145</v>
      </c>
      <c r="C20" s="91">
        <f>'Loan Summary'!C21</f>
        <v>17376511</v>
      </c>
      <c r="D20" s="91">
        <f>'Loan Summary'!D21</f>
        <v>16999654</v>
      </c>
      <c r="E20" s="22">
        <f>+'Loan Summary'!E21</f>
        <v>13817970.000000002</v>
      </c>
      <c r="F20" s="22">
        <f>+'Loan Summary'!F21</f>
        <v>25100576</v>
      </c>
      <c r="G20" s="22">
        <f>+'Loan Summary'!G21</f>
        <v>27207233</v>
      </c>
      <c r="H20" s="22">
        <f>+'Loan Summary'!H21</f>
        <v>25241799.333333336</v>
      </c>
      <c r="I20" s="22">
        <f>+'Loan Summary'!I21</f>
        <v>22607000</v>
      </c>
      <c r="J20" s="22">
        <f>+'Loan Summary'!J21</f>
        <v>19314666.666666664</v>
      </c>
      <c r="K20" s="22">
        <f>+'Loan Summary'!K21</f>
        <v>14656791.666666668</v>
      </c>
      <c r="L20" s="257">
        <f>+'Loan Summary'!L21</f>
        <v>11228500</v>
      </c>
      <c r="M20" s="257">
        <f>+'Loan Summary'!M21</f>
        <v>7654500</v>
      </c>
      <c r="N20" s="257">
        <f>+'Loan Summary'!N21</f>
        <v>4974250</v>
      </c>
    </row>
    <row r="21" spans="1:14">
      <c r="A21" s="24"/>
      <c r="B21" s="53" t="s">
        <v>143</v>
      </c>
      <c r="C21" s="22">
        <f>+'Loan Summary'!C22</f>
        <v>72.278172101512567</v>
      </c>
      <c r="D21" s="22">
        <f>+'Loan Summary'!D22</f>
        <v>54.314497630034509</v>
      </c>
      <c r="E21" s="22" t="e">
        <f>+'Loan Summary'!E22</f>
        <v>#REF!</v>
      </c>
      <c r="F21" s="22" t="e">
        <f>+'Loan Summary'!F22</f>
        <v>#REF!</v>
      </c>
      <c r="G21" s="22" t="e">
        <f>+'Loan Summary'!G22</f>
        <v>#REF!</v>
      </c>
      <c r="H21" s="22" t="e">
        <f>+'Loan Summary'!H22</f>
        <v>#REF!</v>
      </c>
      <c r="I21" s="22" t="e">
        <f>+'Loan Summary'!I22</f>
        <v>#REF!</v>
      </c>
      <c r="J21" s="22" t="e">
        <f>+'Loan Summary'!J22</f>
        <v>#REF!</v>
      </c>
      <c r="K21" s="22" t="e">
        <f>+'Loan Summary'!K22</f>
        <v>#REF!</v>
      </c>
      <c r="L21" s="257" t="e">
        <f>+'Loan Summary'!L22</f>
        <v>#REF!</v>
      </c>
      <c r="M21" s="257" t="e">
        <f>+'Loan Summary'!M22</f>
        <v>#REF!</v>
      </c>
      <c r="N21" s="257" t="e">
        <f>+'Loan Summary'!N22</f>
        <v>#REF!</v>
      </c>
    </row>
    <row r="22" spans="1:14">
      <c r="A22" s="24"/>
      <c r="B22" s="24"/>
      <c r="C22" s="24"/>
      <c r="D22" s="24"/>
      <c r="E22" s="24"/>
      <c r="F22" s="24"/>
      <c r="G22" s="24"/>
      <c r="H22" s="24"/>
      <c r="I22" s="24"/>
      <c r="J22" s="24"/>
      <c r="K22" s="24"/>
      <c r="L22" s="94"/>
      <c r="M22" s="94"/>
      <c r="N22" s="94"/>
    </row>
    <row r="23" spans="1:14">
      <c r="A23" s="63"/>
      <c r="B23" s="63" t="s">
        <v>144</v>
      </c>
      <c r="C23" s="62">
        <f t="shared" ref="C23:K23" si="3">+C17+C20</f>
        <v>30414975</v>
      </c>
      <c r="D23" s="62">
        <f t="shared" si="3"/>
        <v>31927974</v>
      </c>
      <c r="E23" s="62" t="e">
        <f t="shared" si="3"/>
        <v>#REF!</v>
      </c>
      <c r="F23" s="62" t="e">
        <f t="shared" si="3"/>
        <v>#REF!</v>
      </c>
      <c r="G23" s="62" t="e">
        <f t="shared" si="3"/>
        <v>#REF!</v>
      </c>
      <c r="H23" s="62" t="e">
        <f t="shared" si="3"/>
        <v>#REF!</v>
      </c>
      <c r="I23" s="62" t="e">
        <f t="shared" si="3"/>
        <v>#REF!</v>
      </c>
      <c r="J23" s="62" t="e">
        <f t="shared" si="3"/>
        <v>#REF!</v>
      </c>
      <c r="K23" s="62" t="e">
        <f t="shared" si="3"/>
        <v>#REF!</v>
      </c>
      <c r="L23" s="62" t="e">
        <f t="shared" ref="L23:N24" si="4">+L17+L20</f>
        <v>#REF!</v>
      </c>
      <c r="M23" s="62" t="e">
        <f t="shared" si="4"/>
        <v>#REF!</v>
      </c>
      <c r="N23" s="62" t="e">
        <f t="shared" si="4"/>
        <v>#REF!</v>
      </c>
    </row>
    <row r="24" spans="1:14">
      <c r="A24" s="63"/>
      <c r="B24" s="63" t="s">
        <v>143</v>
      </c>
      <c r="C24" s="62">
        <f t="shared" ref="C24:K24" si="5">+C18+C21</f>
        <v>72.278172101512567</v>
      </c>
      <c r="D24" s="62">
        <f t="shared" si="5"/>
        <v>54.314497630034509</v>
      </c>
      <c r="E24" s="62" t="e">
        <f t="shared" si="5"/>
        <v>#REF!</v>
      </c>
      <c r="F24" s="62" t="e">
        <f t="shared" si="5"/>
        <v>#REF!</v>
      </c>
      <c r="G24" s="62" t="e">
        <f t="shared" si="5"/>
        <v>#REF!</v>
      </c>
      <c r="H24" s="62" t="e">
        <f t="shared" si="5"/>
        <v>#REF!</v>
      </c>
      <c r="I24" s="62" t="e">
        <f t="shared" si="5"/>
        <v>#REF!</v>
      </c>
      <c r="J24" s="62" t="e">
        <f t="shared" si="5"/>
        <v>#REF!</v>
      </c>
      <c r="K24" s="62" t="e">
        <f t="shared" si="5"/>
        <v>#REF!</v>
      </c>
      <c r="L24" s="62" t="e">
        <f t="shared" si="4"/>
        <v>#REF!</v>
      </c>
      <c r="M24" s="62" t="e">
        <f t="shared" si="4"/>
        <v>#REF!</v>
      </c>
      <c r="N24" s="62" t="e">
        <f t="shared" si="4"/>
        <v>#REF!</v>
      </c>
    </row>
    <row r="25" spans="1:14">
      <c r="A25" s="24"/>
      <c r="B25" s="24"/>
      <c r="C25" s="24"/>
      <c r="D25" s="24"/>
      <c r="E25" s="24"/>
      <c r="F25" s="24"/>
      <c r="G25" s="24"/>
      <c r="H25" s="24"/>
      <c r="I25" s="24"/>
      <c r="J25" s="24"/>
      <c r="K25" s="24"/>
      <c r="L25" s="94"/>
      <c r="M25" s="94"/>
      <c r="N25" s="94"/>
    </row>
    <row r="26" spans="1:14">
      <c r="A26" s="24">
        <v>6</v>
      </c>
      <c r="B26" s="53" t="s">
        <v>4</v>
      </c>
      <c r="C26" s="53">
        <f>+'FA Summary'!C23</f>
        <v>6994035.4299999997</v>
      </c>
      <c r="D26" s="53">
        <f>+'FA Summary'!D23</f>
        <v>6996201</v>
      </c>
      <c r="E26" s="22">
        <f>+'FA Summary'!E23</f>
        <v>6387355</v>
      </c>
      <c r="F26" s="22">
        <f>+'FA Summary'!F23</f>
        <v>6199453.5600000005</v>
      </c>
      <c r="G26" s="22">
        <f>+'FA Summary'!G23</f>
        <v>27416203.155000001</v>
      </c>
      <c r="H26" s="22">
        <f>+'FA Summary'!H23</f>
        <v>24989010.447850004</v>
      </c>
      <c r="I26" s="22">
        <f>+'FA Summary'!I23</f>
        <v>22799872.870162506</v>
      </c>
      <c r="J26" s="22">
        <f>+'FA Summary'!J23</f>
        <v>21343184.530179128</v>
      </c>
      <c r="K26" s="22">
        <f>+'FA Summary'!K23</f>
        <v>20118670.182139155</v>
      </c>
      <c r="L26" s="257">
        <f>+'FA Summary'!L23</f>
        <v>22037636.653156497</v>
      </c>
      <c r="M26" s="257">
        <f>+'FA Summary'!M23</f>
        <v>23625081.453687407</v>
      </c>
      <c r="N26" s="257">
        <f>+'FA Summary'!N23</f>
        <v>34297600.504288256</v>
      </c>
    </row>
    <row r="27" spans="1:14">
      <c r="A27" s="24"/>
      <c r="B27" s="53" t="s">
        <v>143</v>
      </c>
      <c r="C27" s="22">
        <f>+'FA Summary'!C24</f>
        <v>29.091921646043701</v>
      </c>
      <c r="D27" s="22">
        <f>+'FA Summary'!D24</f>
        <v>22.353110400584921</v>
      </c>
      <c r="E27" s="22" t="e">
        <f>+'FA Summary'!E24</f>
        <v>#REF!</v>
      </c>
      <c r="F27" s="22" t="e">
        <f>+'FA Summary'!F24</f>
        <v>#REF!</v>
      </c>
      <c r="G27" s="22" t="e">
        <f>+'FA Summary'!G24</f>
        <v>#REF!</v>
      </c>
      <c r="H27" s="22" t="e">
        <f>+'FA Summary'!H24</f>
        <v>#REF!</v>
      </c>
      <c r="I27" s="22" t="e">
        <f>+'FA Summary'!I24</f>
        <v>#REF!</v>
      </c>
      <c r="J27" s="22" t="e">
        <f>+'FA Summary'!J24</f>
        <v>#REF!</v>
      </c>
      <c r="K27" s="22" t="e">
        <f>+'FA Summary'!K24</f>
        <v>#REF!</v>
      </c>
      <c r="L27" s="257" t="e">
        <f>+'FA Summary'!L24</f>
        <v>#REF!</v>
      </c>
      <c r="M27" s="257" t="e">
        <f>+'FA Summary'!M24</f>
        <v>#REF!</v>
      </c>
      <c r="N27" s="257" t="e">
        <f>+'FA Summary'!N24</f>
        <v>#REF!</v>
      </c>
    </row>
    <row r="28" spans="1:14">
      <c r="A28" s="24"/>
      <c r="B28" s="24"/>
      <c r="C28" s="24"/>
      <c r="D28" s="24"/>
      <c r="E28" s="24"/>
      <c r="F28" s="24"/>
      <c r="G28" s="24"/>
      <c r="H28" s="24"/>
      <c r="I28" s="24"/>
      <c r="J28" s="24"/>
      <c r="K28" s="24"/>
      <c r="L28" s="94"/>
      <c r="M28" s="94"/>
      <c r="N28" s="94"/>
    </row>
    <row r="29" spans="1:14">
      <c r="A29" s="63"/>
      <c r="B29" s="63" t="s">
        <v>18</v>
      </c>
      <c r="C29" s="62">
        <f t="shared" ref="C29:K29" si="6">+C23+C26</f>
        <v>37409010.43</v>
      </c>
      <c r="D29" s="62">
        <f t="shared" si="6"/>
        <v>38924175</v>
      </c>
      <c r="E29" s="62" t="e">
        <f t="shared" si="6"/>
        <v>#REF!</v>
      </c>
      <c r="F29" s="62" t="e">
        <f t="shared" si="6"/>
        <v>#REF!</v>
      </c>
      <c r="G29" s="62" t="e">
        <f t="shared" si="6"/>
        <v>#REF!</v>
      </c>
      <c r="H29" s="62" t="e">
        <f t="shared" si="6"/>
        <v>#REF!</v>
      </c>
      <c r="I29" s="62" t="e">
        <f t="shared" si="6"/>
        <v>#REF!</v>
      </c>
      <c r="J29" s="62" t="e">
        <f t="shared" si="6"/>
        <v>#REF!</v>
      </c>
      <c r="K29" s="62" t="e">
        <f t="shared" si="6"/>
        <v>#REF!</v>
      </c>
      <c r="L29" s="62" t="e">
        <f t="shared" ref="L29:N30" si="7">+L23+L26</f>
        <v>#REF!</v>
      </c>
      <c r="M29" s="62" t="e">
        <f t="shared" si="7"/>
        <v>#REF!</v>
      </c>
      <c r="N29" s="62" t="e">
        <f t="shared" si="7"/>
        <v>#REF!</v>
      </c>
    </row>
    <row r="30" spans="1:14">
      <c r="A30" s="63"/>
      <c r="B30" s="63" t="s">
        <v>143</v>
      </c>
      <c r="C30" s="63"/>
      <c r="D30" s="63"/>
      <c r="E30" s="62" t="e">
        <f t="shared" ref="E30:K30" si="8">+E24+E27</f>
        <v>#REF!</v>
      </c>
      <c r="F30" s="62" t="e">
        <f t="shared" si="8"/>
        <v>#REF!</v>
      </c>
      <c r="G30" s="62" t="e">
        <f t="shared" si="8"/>
        <v>#REF!</v>
      </c>
      <c r="H30" s="62" t="e">
        <f t="shared" si="8"/>
        <v>#REF!</v>
      </c>
      <c r="I30" s="62" t="e">
        <f t="shared" si="8"/>
        <v>#REF!</v>
      </c>
      <c r="J30" s="62" t="e">
        <f t="shared" si="8"/>
        <v>#REF!</v>
      </c>
      <c r="K30" s="62" t="e">
        <f t="shared" si="8"/>
        <v>#REF!</v>
      </c>
      <c r="L30" s="62" t="e">
        <f t="shared" si="7"/>
        <v>#REF!</v>
      </c>
      <c r="M30" s="62" t="e">
        <f t="shared" si="7"/>
        <v>#REF!</v>
      </c>
      <c r="N30" s="62" t="e">
        <f t="shared" si="7"/>
        <v>#REF!</v>
      </c>
    </row>
    <row r="31" spans="1:14">
      <c r="E31" s="37"/>
      <c r="F31" s="37"/>
      <c r="G31" s="37"/>
      <c r="H31" s="37"/>
      <c r="I31" s="37"/>
      <c r="J31" s="37"/>
      <c r="K31" s="37"/>
      <c r="L31" s="251"/>
      <c r="M31" s="251"/>
      <c r="N31" s="251"/>
    </row>
    <row r="32" spans="1:14">
      <c r="E32" s="37"/>
      <c r="F32" s="37"/>
      <c r="G32" s="37"/>
      <c r="H32" s="37"/>
      <c r="I32" s="37"/>
      <c r="J32" s="37"/>
      <c r="K32" s="37"/>
      <c r="L32" s="251"/>
      <c r="M32" s="251"/>
      <c r="N32" s="251"/>
    </row>
    <row r="33" spans="4:4">
      <c r="D33" s="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P57"/>
  <sheetViews>
    <sheetView topLeftCell="B40" workbookViewId="0">
      <selection activeCell="N55" sqref="N55"/>
    </sheetView>
  </sheetViews>
  <sheetFormatPr defaultRowHeight="12.75"/>
  <cols>
    <col min="1" max="1" width="5.28515625" style="14" bestFit="1" customWidth="1"/>
    <col min="2" max="2" width="38.85546875" style="14" bestFit="1" customWidth="1"/>
    <col min="3" max="3" width="9.5703125" style="14" bestFit="1" customWidth="1"/>
    <col min="4" max="4" width="9.5703125" style="95" bestFit="1" customWidth="1"/>
    <col min="5" max="11" width="9.5703125" style="14" bestFit="1" customWidth="1"/>
    <col min="12" max="14" width="9" style="95" bestFit="1" customWidth="1"/>
    <col min="15" max="15" width="38.5703125" style="14" bestFit="1" customWidth="1"/>
    <col min="16" max="16384" width="9.140625" style="14"/>
  </cols>
  <sheetData>
    <row r="3" spans="1:16">
      <c r="A3" s="27" t="s">
        <v>76</v>
      </c>
      <c r="B3" s="27" t="s">
        <v>0</v>
      </c>
      <c r="C3" s="27" t="s">
        <v>174</v>
      </c>
      <c r="D3" s="92" t="s">
        <v>175</v>
      </c>
      <c r="E3" s="27" t="s">
        <v>74</v>
      </c>
      <c r="F3" s="27" t="s">
        <v>73</v>
      </c>
      <c r="G3" s="27" t="s">
        <v>66</v>
      </c>
      <c r="H3" s="27" t="s">
        <v>65</v>
      </c>
      <c r="I3" s="27" t="s">
        <v>64</v>
      </c>
      <c r="J3" s="27" t="s">
        <v>63</v>
      </c>
      <c r="K3" s="27" t="s">
        <v>62</v>
      </c>
      <c r="L3" s="92" t="s">
        <v>61</v>
      </c>
      <c r="M3" s="92" t="s">
        <v>58</v>
      </c>
      <c r="N3" s="92" t="s">
        <v>725</v>
      </c>
    </row>
    <row r="4" spans="1:16">
      <c r="A4" s="27"/>
      <c r="B4" s="27"/>
      <c r="C4" s="27"/>
      <c r="D4" s="92"/>
      <c r="E4" s="27"/>
      <c r="F4" s="27"/>
      <c r="G4" s="27"/>
      <c r="H4" s="27"/>
      <c r="I4" s="27"/>
      <c r="J4" s="27"/>
      <c r="K4" s="27"/>
      <c r="L4" s="92"/>
      <c r="M4" s="92"/>
      <c r="N4" s="92"/>
    </row>
    <row r="5" spans="1:16">
      <c r="A5" s="27"/>
      <c r="B5" s="27" t="s">
        <v>212</v>
      </c>
      <c r="C5" s="27">
        <f>'Gross Receipts Summary'!B5</f>
        <v>538</v>
      </c>
      <c r="D5" s="27">
        <f>'Gross Receipts Summary'!C5</f>
        <v>639</v>
      </c>
      <c r="E5" s="27" t="e">
        <f>'Gross Receipts Summary'!D5</f>
        <v>#REF!</v>
      </c>
      <c r="F5" s="27" t="e">
        <f>'Gross Receipts Summary'!E5</f>
        <v>#REF!</v>
      </c>
      <c r="G5" s="27" t="e">
        <f>'Gross Receipts Summary'!F5</f>
        <v>#REF!</v>
      </c>
      <c r="H5" s="27" t="e">
        <f>'Gross Receipts Summary'!G5</f>
        <v>#REF!</v>
      </c>
      <c r="I5" s="27" t="e">
        <f>'Gross Receipts Summary'!H5</f>
        <v>#REF!</v>
      </c>
      <c r="J5" s="27" t="e">
        <f>'Gross Receipts Summary'!I5</f>
        <v>#REF!</v>
      </c>
      <c r="K5" s="27" t="e">
        <f>'Gross Receipts Summary'!J5</f>
        <v>#REF!</v>
      </c>
      <c r="L5" s="92" t="e">
        <f>'Gross Receipts Summary'!K5</f>
        <v>#REF!</v>
      </c>
      <c r="M5" s="92" t="e">
        <f>'Gross Receipts Summary'!L5</f>
        <v>#REF!</v>
      </c>
      <c r="N5" s="92" t="e">
        <f>'Gross Receipts Summary'!M5</f>
        <v>#REF!</v>
      </c>
    </row>
    <row r="6" spans="1:16">
      <c r="A6" s="89" t="s">
        <v>115</v>
      </c>
      <c r="B6" s="87" t="s">
        <v>142</v>
      </c>
      <c r="C6" s="71"/>
      <c r="D6" s="71"/>
      <c r="E6" s="71"/>
      <c r="F6" s="71"/>
      <c r="G6" s="53"/>
      <c r="H6" s="53"/>
      <c r="I6" s="53"/>
      <c r="J6" s="53"/>
      <c r="K6" s="53"/>
      <c r="L6" s="68"/>
      <c r="M6" s="68"/>
      <c r="N6" s="68"/>
    </row>
    <row r="7" spans="1:16">
      <c r="A7" s="56">
        <v>1</v>
      </c>
      <c r="B7" s="53" t="s">
        <v>141</v>
      </c>
      <c r="C7" s="53">
        <v>0</v>
      </c>
      <c r="D7" s="68">
        <f>20000</f>
        <v>20000</v>
      </c>
      <c r="E7" s="58">
        <v>0</v>
      </c>
      <c r="F7" s="58">
        <f>D7+10000</f>
        <v>30000</v>
      </c>
      <c r="G7" s="58">
        <v>0</v>
      </c>
      <c r="H7" s="58">
        <f>F7+10000</f>
        <v>40000</v>
      </c>
      <c r="I7" s="58">
        <v>0</v>
      </c>
      <c r="J7" s="58">
        <f>H7+10000</f>
        <v>50000</v>
      </c>
      <c r="K7" s="58">
        <v>0</v>
      </c>
      <c r="L7" s="284">
        <f>J7+10000</f>
        <v>60000</v>
      </c>
      <c r="M7" s="284">
        <v>0</v>
      </c>
      <c r="N7" s="284">
        <f>L7+10000</f>
        <v>70000</v>
      </c>
      <c r="O7" s="111" t="s">
        <v>213</v>
      </c>
      <c r="P7" s="61"/>
    </row>
    <row r="8" spans="1:16">
      <c r="A8" s="56">
        <f>A7+1</f>
        <v>2</v>
      </c>
      <c r="B8" s="53" t="s">
        <v>140</v>
      </c>
      <c r="C8" s="53">
        <v>139888</v>
      </c>
      <c r="D8" s="68">
        <f>166355</f>
        <v>166355</v>
      </c>
      <c r="E8" s="58">
        <f>+E9*3%</f>
        <v>328866.63750000001</v>
      </c>
      <c r="F8" s="58">
        <f t="shared" ref="F8:K8" si="0">+F9*3%</f>
        <v>411083.296875</v>
      </c>
      <c r="G8" s="58">
        <f t="shared" si="0"/>
        <v>513854.12109375</v>
      </c>
      <c r="H8" s="58">
        <f t="shared" si="0"/>
        <v>642317.6513671875</v>
      </c>
      <c r="I8" s="58">
        <f t="shared" si="0"/>
        <v>802897.06420898438</v>
      </c>
      <c r="J8" s="58">
        <f t="shared" si="0"/>
        <v>1003621.3302612305</v>
      </c>
      <c r="K8" s="58">
        <f t="shared" si="0"/>
        <v>1254526.6628265381</v>
      </c>
      <c r="L8" s="284">
        <f>+L9*3%</f>
        <v>1568158.3285331726</v>
      </c>
      <c r="M8" s="284">
        <f>+M9*3%</f>
        <v>1960197.9106664658</v>
      </c>
      <c r="N8" s="284">
        <f>+N9*3%</f>
        <v>2450247.3883330822</v>
      </c>
      <c r="O8" s="112" t="s">
        <v>217</v>
      </c>
      <c r="P8" s="61"/>
    </row>
    <row r="9" spans="1:16">
      <c r="A9" s="56">
        <f>+A8+1</f>
        <v>3</v>
      </c>
      <c r="B9" s="53" t="s">
        <v>139</v>
      </c>
      <c r="C9" s="53">
        <f>7076719</f>
        <v>7076719</v>
      </c>
      <c r="D9" s="68">
        <f>8769777</f>
        <v>8769777</v>
      </c>
      <c r="E9" s="58">
        <f t="shared" ref="E9:N9" si="1">D9*1.25</f>
        <v>10962221.25</v>
      </c>
      <c r="F9" s="58">
        <f t="shared" si="1"/>
        <v>13702776.5625</v>
      </c>
      <c r="G9" s="58">
        <f t="shared" si="1"/>
        <v>17128470.703125</v>
      </c>
      <c r="H9" s="58">
        <f t="shared" si="1"/>
        <v>21410588.37890625</v>
      </c>
      <c r="I9" s="58">
        <f t="shared" si="1"/>
        <v>26763235.473632813</v>
      </c>
      <c r="J9" s="58">
        <f t="shared" si="1"/>
        <v>33454044.342041016</v>
      </c>
      <c r="K9" s="58">
        <f t="shared" si="1"/>
        <v>41817555.42755127</v>
      </c>
      <c r="L9" s="284">
        <f t="shared" si="1"/>
        <v>52271944.284439087</v>
      </c>
      <c r="M9" s="284">
        <f t="shared" si="1"/>
        <v>65339930.355548859</v>
      </c>
      <c r="N9" s="284">
        <f t="shared" si="1"/>
        <v>81674912.944436073</v>
      </c>
      <c r="O9" s="112" t="s">
        <v>216</v>
      </c>
      <c r="P9" s="61"/>
    </row>
    <row r="10" spans="1:16">
      <c r="A10" s="56">
        <f>+A9+1</f>
        <v>4</v>
      </c>
      <c r="B10" s="53" t="s">
        <v>138</v>
      </c>
      <c r="C10" s="53">
        <v>27450</v>
      </c>
      <c r="D10" s="68">
        <v>27890</v>
      </c>
      <c r="E10" s="58">
        <f>D10*1.15</f>
        <v>32073.499999999996</v>
      </c>
      <c r="F10" s="58">
        <f t="shared" ref="F10:N10" si="2">E10*1.15</f>
        <v>36884.524999999994</v>
      </c>
      <c r="G10" s="58">
        <f t="shared" si="2"/>
        <v>42417.203749999993</v>
      </c>
      <c r="H10" s="58">
        <f t="shared" si="2"/>
        <v>48779.784312499985</v>
      </c>
      <c r="I10" s="58">
        <f t="shared" si="2"/>
        <v>56096.751959374982</v>
      </c>
      <c r="J10" s="58">
        <f t="shared" si="2"/>
        <v>64511.264753281226</v>
      </c>
      <c r="K10" s="58">
        <f t="shared" si="2"/>
        <v>74187.954466273412</v>
      </c>
      <c r="L10" s="284">
        <f t="shared" si="2"/>
        <v>85316.147636214417</v>
      </c>
      <c r="M10" s="284">
        <f t="shared" si="2"/>
        <v>98113.569781646569</v>
      </c>
      <c r="N10" s="284">
        <f t="shared" si="2"/>
        <v>112830.60524889355</v>
      </c>
      <c r="O10" s="112" t="s">
        <v>215</v>
      </c>
      <c r="P10" s="61"/>
    </row>
    <row r="11" spans="1:16">
      <c r="A11" s="53"/>
      <c r="B11" s="25" t="s">
        <v>3</v>
      </c>
      <c r="C11" s="93">
        <f t="shared" ref="C11:N11" si="3">SUM(C7:C10)</f>
        <v>7244057</v>
      </c>
      <c r="D11" s="93">
        <f t="shared" si="3"/>
        <v>8984022</v>
      </c>
      <c r="E11" s="60">
        <f t="shared" si="3"/>
        <v>11323161.387499999</v>
      </c>
      <c r="F11" s="60">
        <f t="shared" si="3"/>
        <v>14180744.384375</v>
      </c>
      <c r="G11" s="60">
        <f t="shared" si="3"/>
        <v>17684742.027968749</v>
      </c>
      <c r="H11" s="60">
        <f t="shared" si="3"/>
        <v>22141685.814585939</v>
      </c>
      <c r="I11" s="60">
        <f t="shared" si="3"/>
        <v>27622229.289801173</v>
      </c>
      <c r="J11" s="60">
        <f t="shared" si="3"/>
        <v>34572176.937055528</v>
      </c>
      <c r="K11" s="60">
        <f t="shared" si="3"/>
        <v>43146270.044844083</v>
      </c>
      <c r="L11" s="93">
        <f t="shared" si="3"/>
        <v>53985418.760608472</v>
      </c>
      <c r="M11" s="93">
        <f t="shared" si="3"/>
        <v>67398241.835996971</v>
      </c>
      <c r="N11" s="93">
        <f t="shared" si="3"/>
        <v>84307990.938018054</v>
      </c>
    </row>
    <row r="12" spans="1:16">
      <c r="A12" s="53"/>
      <c r="B12" s="53" t="s">
        <v>75</v>
      </c>
      <c r="C12" s="23">
        <f>C11/'Gross Receipts Summary'!B34%</f>
        <v>23.837401114557554</v>
      </c>
      <c r="D12" s="23">
        <f>D11/'Gross Receipts Summary'!C34%</f>
        <v>27.655833962955555</v>
      </c>
      <c r="E12" s="23" t="e">
        <f>E11/'Gross Receipts Summary'!D34%</f>
        <v>#REF!</v>
      </c>
      <c r="F12" s="23" t="e">
        <f>F11/'Gross Receipts Summary'!E34%</f>
        <v>#REF!</v>
      </c>
      <c r="G12" s="23" t="e">
        <f>G11/'Gross Receipts Summary'!F34%</f>
        <v>#REF!</v>
      </c>
      <c r="H12" s="23" t="e">
        <f>H11/'Gross Receipts Summary'!G34%</f>
        <v>#REF!</v>
      </c>
      <c r="I12" s="23" t="e">
        <f>I11/'Gross Receipts Summary'!H34%</f>
        <v>#REF!</v>
      </c>
      <c r="J12" s="23" t="e">
        <f>J11/'Gross Receipts Summary'!I34%</f>
        <v>#REF!</v>
      </c>
      <c r="K12" s="23" t="e">
        <f>K11/'Gross Receipts Summary'!J34%</f>
        <v>#REF!</v>
      </c>
      <c r="L12" s="284" t="e">
        <f>L11/'Gross Receipts Summary'!K11%</f>
        <v>#REF!</v>
      </c>
      <c r="M12" s="284" t="e">
        <f>M11/'Gross Receipts Summary'!L11%</f>
        <v>#REF!</v>
      </c>
      <c r="N12" s="284" t="e">
        <f>N11/'Gross Receipts Summary'!M11%</f>
        <v>#REF!</v>
      </c>
    </row>
    <row r="13" spans="1:16">
      <c r="A13" s="53"/>
      <c r="B13" s="53"/>
      <c r="C13" s="53"/>
      <c r="D13" s="68"/>
      <c r="E13" s="59"/>
      <c r="F13" s="59"/>
      <c r="G13" s="59"/>
      <c r="H13" s="59"/>
      <c r="I13" s="59"/>
      <c r="J13" s="59"/>
      <c r="K13" s="59"/>
      <c r="L13" s="285"/>
      <c r="M13" s="285"/>
      <c r="N13" s="285"/>
    </row>
    <row r="14" spans="1:16">
      <c r="A14" s="89" t="s">
        <v>112</v>
      </c>
      <c r="B14" s="25" t="s">
        <v>137</v>
      </c>
      <c r="C14" s="25"/>
      <c r="D14" s="71"/>
      <c r="E14" s="57"/>
      <c r="F14" s="53"/>
      <c r="G14" s="53"/>
      <c r="H14" s="53"/>
      <c r="I14" s="53"/>
      <c r="J14" s="53"/>
      <c r="K14" s="53"/>
      <c r="L14" s="68"/>
      <c r="M14" s="68"/>
      <c r="N14" s="68"/>
    </row>
    <row r="15" spans="1:16">
      <c r="A15" s="56">
        <v>1</v>
      </c>
      <c r="B15" s="24" t="s">
        <v>176</v>
      </c>
      <c r="C15" s="53">
        <v>1583</v>
      </c>
      <c r="D15" s="68">
        <v>3937</v>
      </c>
      <c r="E15" s="23">
        <v>5000</v>
      </c>
      <c r="F15" s="23">
        <f t="shared" ref="F15:N15" si="4">+E15*1.05</f>
        <v>5250</v>
      </c>
      <c r="G15" s="23">
        <f t="shared" si="4"/>
        <v>5512.5</v>
      </c>
      <c r="H15" s="23">
        <f t="shared" si="4"/>
        <v>5788.125</v>
      </c>
      <c r="I15" s="23">
        <f t="shared" si="4"/>
        <v>6077.53125</v>
      </c>
      <c r="J15" s="23">
        <f t="shared" si="4"/>
        <v>6381.4078125000005</v>
      </c>
      <c r="K15" s="23">
        <f t="shared" si="4"/>
        <v>6700.4782031250006</v>
      </c>
      <c r="L15" s="40">
        <f t="shared" si="4"/>
        <v>7035.5021132812508</v>
      </c>
      <c r="M15" s="40">
        <f t="shared" si="4"/>
        <v>7387.2772189453135</v>
      </c>
      <c r="N15" s="40">
        <f t="shared" si="4"/>
        <v>7756.6410798925799</v>
      </c>
      <c r="O15" s="112" t="s">
        <v>214</v>
      </c>
    </row>
    <row r="16" spans="1:16">
      <c r="A16" s="56">
        <f t="shared" ref="A16:A24" si="5">+A15+1</f>
        <v>2</v>
      </c>
      <c r="B16" s="24" t="s">
        <v>191</v>
      </c>
      <c r="C16" s="53">
        <v>97600</v>
      </c>
      <c r="D16" s="68">
        <v>5097</v>
      </c>
      <c r="E16" s="23">
        <v>50000</v>
      </c>
      <c r="F16" s="23">
        <f t="shared" ref="F16:N16" si="6">+E16*1.05</f>
        <v>52500</v>
      </c>
      <c r="G16" s="23">
        <f t="shared" si="6"/>
        <v>55125</v>
      </c>
      <c r="H16" s="23">
        <f t="shared" si="6"/>
        <v>57881.25</v>
      </c>
      <c r="I16" s="23">
        <f t="shared" si="6"/>
        <v>60775.3125</v>
      </c>
      <c r="J16" s="23">
        <f t="shared" si="6"/>
        <v>63814.078125</v>
      </c>
      <c r="K16" s="23">
        <f t="shared" si="6"/>
        <v>67004.782031249997</v>
      </c>
      <c r="L16" s="40">
        <f t="shared" si="6"/>
        <v>70355.021132812501</v>
      </c>
      <c r="M16" s="40">
        <f t="shared" si="6"/>
        <v>73872.772189453128</v>
      </c>
      <c r="N16" s="40">
        <f t="shared" si="6"/>
        <v>77566.41079892579</v>
      </c>
      <c r="O16" s="112" t="s">
        <v>214</v>
      </c>
    </row>
    <row r="17" spans="1:15">
      <c r="A17" s="56">
        <f t="shared" si="5"/>
        <v>3</v>
      </c>
      <c r="B17" s="24" t="s">
        <v>180</v>
      </c>
      <c r="C17" s="53">
        <v>4842</v>
      </c>
      <c r="D17" s="68">
        <f>20333</f>
        <v>20333</v>
      </c>
      <c r="E17" s="23">
        <v>25000</v>
      </c>
      <c r="F17" s="23">
        <f t="shared" ref="F17:N17" si="7">+E17*1.1</f>
        <v>27500.000000000004</v>
      </c>
      <c r="G17" s="23">
        <f t="shared" si="7"/>
        <v>30250.000000000007</v>
      </c>
      <c r="H17" s="23">
        <f t="shared" si="7"/>
        <v>33275.000000000007</v>
      </c>
      <c r="I17" s="23">
        <f t="shared" si="7"/>
        <v>36602.500000000015</v>
      </c>
      <c r="J17" s="23">
        <f t="shared" si="7"/>
        <v>40262.750000000022</v>
      </c>
      <c r="K17" s="23">
        <f t="shared" si="7"/>
        <v>44289.025000000031</v>
      </c>
      <c r="L17" s="40">
        <f t="shared" si="7"/>
        <v>48717.927500000034</v>
      </c>
      <c r="M17" s="40">
        <f t="shared" si="7"/>
        <v>53589.720250000042</v>
      </c>
      <c r="N17" s="40">
        <f t="shared" si="7"/>
        <v>58948.692275000052</v>
      </c>
      <c r="O17" s="112" t="s">
        <v>218</v>
      </c>
    </row>
    <row r="18" spans="1:15">
      <c r="A18" s="56">
        <f t="shared" si="5"/>
        <v>4</v>
      </c>
      <c r="B18" s="53" t="s">
        <v>135</v>
      </c>
      <c r="C18" s="53">
        <f>6500+3798</f>
        <v>10298</v>
      </c>
      <c r="D18" s="68">
        <f>7702+9732</f>
        <v>17434</v>
      </c>
      <c r="E18" s="23">
        <f>D18*1.25</f>
        <v>21792.5</v>
      </c>
      <c r="F18" s="23">
        <f t="shared" ref="F18:K18" si="8">E18*1.25</f>
        <v>27240.625</v>
      </c>
      <c r="G18" s="23">
        <f t="shared" si="8"/>
        <v>34050.78125</v>
      </c>
      <c r="H18" s="23">
        <f t="shared" si="8"/>
        <v>42563.4765625</v>
      </c>
      <c r="I18" s="23">
        <f t="shared" si="8"/>
        <v>53204.345703125</v>
      </c>
      <c r="J18" s="23">
        <f t="shared" si="8"/>
        <v>66505.43212890625</v>
      </c>
      <c r="K18" s="23">
        <f t="shared" si="8"/>
        <v>83131.790161132813</v>
      </c>
      <c r="L18" s="40">
        <f>K18*1.25</f>
        <v>103914.73770141602</v>
      </c>
      <c r="M18" s="40">
        <f>L18*1.25</f>
        <v>129893.42212677002</v>
      </c>
      <c r="N18" s="40">
        <f>M18*1.25</f>
        <v>162366.77765846252</v>
      </c>
      <c r="O18" s="112" t="s">
        <v>216</v>
      </c>
    </row>
    <row r="19" spans="1:15">
      <c r="A19" s="56">
        <f t="shared" si="5"/>
        <v>5</v>
      </c>
      <c r="B19" s="24" t="s">
        <v>182</v>
      </c>
      <c r="C19" s="53">
        <v>11382</v>
      </c>
      <c r="D19" s="68">
        <f>26060</f>
        <v>26060</v>
      </c>
      <c r="E19" s="23" t="e">
        <f>40*E5</f>
        <v>#REF!</v>
      </c>
      <c r="F19" s="23" t="e">
        <f t="shared" ref="F19:N19" si="9">40*F5*1.05</f>
        <v>#REF!</v>
      </c>
      <c r="G19" s="23" t="e">
        <f t="shared" si="9"/>
        <v>#REF!</v>
      </c>
      <c r="H19" s="23" t="e">
        <f t="shared" si="9"/>
        <v>#REF!</v>
      </c>
      <c r="I19" s="23" t="e">
        <f t="shared" si="9"/>
        <v>#REF!</v>
      </c>
      <c r="J19" s="23" t="e">
        <f t="shared" si="9"/>
        <v>#REF!</v>
      </c>
      <c r="K19" s="23" t="e">
        <f t="shared" si="9"/>
        <v>#REF!</v>
      </c>
      <c r="L19" s="40" t="e">
        <f t="shared" si="9"/>
        <v>#REF!</v>
      </c>
      <c r="M19" s="40" t="e">
        <f t="shared" si="9"/>
        <v>#REF!</v>
      </c>
      <c r="N19" s="40" t="e">
        <f t="shared" si="9"/>
        <v>#REF!</v>
      </c>
      <c r="O19" s="111" t="s">
        <v>219</v>
      </c>
    </row>
    <row r="20" spans="1:15">
      <c r="A20" s="56">
        <f t="shared" si="5"/>
        <v>6</v>
      </c>
      <c r="B20" s="24" t="s">
        <v>185</v>
      </c>
      <c r="C20" s="53">
        <v>0</v>
      </c>
      <c r="D20" s="68">
        <f>82355</f>
        <v>82355</v>
      </c>
      <c r="E20" s="23" t="e">
        <f>'Gross Receipts Summary'!D26*75%</f>
        <v>#REF!</v>
      </c>
      <c r="F20" s="23" t="e">
        <f>'Gross Receipts Summary'!E26*75%</f>
        <v>#REF!</v>
      </c>
      <c r="G20" s="23" t="e">
        <f>'Gross Receipts Summary'!F26*75%</f>
        <v>#REF!</v>
      </c>
      <c r="H20" s="23" t="e">
        <f>'Gross Receipts Summary'!G26*75%</f>
        <v>#REF!</v>
      </c>
      <c r="I20" s="23" t="e">
        <f>'Gross Receipts Summary'!H26*75%</f>
        <v>#REF!</v>
      </c>
      <c r="J20" s="23" t="e">
        <f>'Gross Receipts Summary'!I26*75%</f>
        <v>#REF!</v>
      </c>
      <c r="K20" s="23" t="e">
        <f>'Gross Receipts Summary'!J26*75%</f>
        <v>#REF!</v>
      </c>
      <c r="L20" s="40" t="e">
        <f>'Gross Receipts Summary'!K26*75%</f>
        <v>#REF!</v>
      </c>
      <c r="M20" s="40" t="e">
        <f>'Gross Receipts Summary'!L26*75%</f>
        <v>#REF!</v>
      </c>
      <c r="N20" s="40" t="e">
        <f>'Gross Receipts Summary'!M26*75%</f>
        <v>#REF!</v>
      </c>
      <c r="O20" s="111" t="s">
        <v>220</v>
      </c>
    </row>
    <row r="21" spans="1:15">
      <c r="A21" s="56">
        <f t="shared" si="5"/>
        <v>7</v>
      </c>
      <c r="B21" s="24" t="s">
        <v>186</v>
      </c>
      <c r="C21" s="53">
        <v>25000</v>
      </c>
      <c r="D21" s="68">
        <f>37600</f>
        <v>37600</v>
      </c>
      <c r="E21" s="23">
        <v>45000</v>
      </c>
      <c r="F21" s="23">
        <f t="shared" ref="F21:K21" si="10">E21*1.3</f>
        <v>58500</v>
      </c>
      <c r="G21" s="23">
        <f t="shared" si="10"/>
        <v>76050</v>
      </c>
      <c r="H21" s="23">
        <f t="shared" si="10"/>
        <v>98865</v>
      </c>
      <c r="I21" s="23">
        <f t="shared" si="10"/>
        <v>128524.5</v>
      </c>
      <c r="J21" s="23">
        <f t="shared" si="10"/>
        <v>167081.85</v>
      </c>
      <c r="K21" s="23">
        <f t="shared" si="10"/>
        <v>217206.40500000003</v>
      </c>
      <c r="L21" s="40">
        <f>K21*1.3</f>
        <v>282368.32650000002</v>
      </c>
      <c r="M21" s="40">
        <f>L21*1.3</f>
        <v>367078.82445000007</v>
      </c>
      <c r="N21" s="40">
        <f>M21*1.3</f>
        <v>477202.47178500012</v>
      </c>
      <c r="O21" s="112" t="s">
        <v>221</v>
      </c>
    </row>
    <row r="22" spans="1:15">
      <c r="A22" s="56">
        <f t="shared" si="5"/>
        <v>8</v>
      </c>
      <c r="B22" s="53" t="s">
        <v>134</v>
      </c>
      <c r="C22" s="53">
        <v>92230</v>
      </c>
      <c r="D22" s="68">
        <f>75325</f>
        <v>75325</v>
      </c>
      <c r="E22" s="23">
        <v>80000</v>
      </c>
      <c r="F22" s="23">
        <f t="shared" ref="F22:N22" si="11">+E22*1.05</f>
        <v>84000</v>
      </c>
      <c r="G22" s="23">
        <f t="shared" si="11"/>
        <v>88200</v>
      </c>
      <c r="H22" s="23">
        <f t="shared" si="11"/>
        <v>92610</v>
      </c>
      <c r="I22" s="23">
        <f t="shared" si="11"/>
        <v>97240.5</v>
      </c>
      <c r="J22" s="23">
        <f t="shared" si="11"/>
        <v>102102.52500000001</v>
      </c>
      <c r="K22" s="23">
        <f t="shared" si="11"/>
        <v>107207.65125000001</v>
      </c>
      <c r="L22" s="40">
        <f t="shared" si="11"/>
        <v>112568.03381250001</v>
      </c>
      <c r="M22" s="40">
        <f t="shared" si="11"/>
        <v>118196.43550312502</v>
      </c>
      <c r="N22" s="40">
        <f t="shared" si="11"/>
        <v>124106.25727828128</v>
      </c>
      <c r="O22" s="112" t="s">
        <v>214</v>
      </c>
    </row>
    <row r="23" spans="1:15">
      <c r="A23" s="56">
        <f t="shared" si="5"/>
        <v>9</v>
      </c>
      <c r="B23" s="24" t="s">
        <v>187</v>
      </c>
      <c r="C23" s="53">
        <v>0</v>
      </c>
      <c r="D23" s="68">
        <v>12270</v>
      </c>
      <c r="E23" s="23">
        <v>15000</v>
      </c>
      <c r="F23" s="23">
        <f t="shared" ref="F23:N23" si="12">E23*1.1</f>
        <v>16500</v>
      </c>
      <c r="G23" s="23">
        <f t="shared" si="12"/>
        <v>18150</v>
      </c>
      <c r="H23" s="23">
        <f t="shared" si="12"/>
        <v>19965</v>
      </c>
      <c r="I23" s="23">
        <f t="shared" si="12"/>
        <v>21961.5</v>
      </c>
      <c r="J23" s="23">
        <f t="shared" si="12"/>
        <v>24157.65</v>
      </c>
      <c r="K23" s="23">
        <f t="shared" si="12"/>
        <v>26573.415000000005</v>
      </c>
      <c r="L23" s="40">
        <f t="shared" si="12"/>
        <v>29230.756500000007</v>
      </c>
      <c r="M23" s="40">
        <f t="shared" si="12"/>
        <v>32153.832150000009</v>
      </c>
      <c r="N23" s="40">
        <f t="shared" si="12"/>
        <v>35369.215365000011</v>
      </c>
      <c r="O23" s="112" t="s">
        <v>218</v>
      </c>
    </row>
    <row r="24" spans="1:15">
      <c r="A24" s="56">
        <f t="shared" si="5"/>
        <v>10</v>
      </c>
      <c r="B24" s="53" t="s">
        <v>133</v>
      </c>
      <c r="C24" s="53">
        <v>3496</v>
      </c>
      <c r="D24" s="68">
        <v>4517</v>
      </c>
      <c r="E24" s="23">
        <v>20000</v>
      </c>
      <c r="F24" s="23">
        <f t="shared" ref="F24:N24" si="13">E24+2000</f>
        <v>22000</v>
      </c>
      <c r="G24" s="23">
        <f t="shared" si="13"/>
        <v>24000</v>
      </c>
      <c r="H24" s="23">
        <f t="shared" si="13"/>
        <v>26000</v>
      </c>
      <c r="I24" s="23">
        <f t="shared" si="13"/>
        <v>28000</v>
      </c>
      <c r="J24" s="23">
        <f t="shared" si="13"/>
        <v>30000</v>
      </c>
      <c r="K24" s="23">
        <f t="shared" si="13"/>
        <v>32000</v>
      </c>
      <c r="L24" s="40">
        <f t="shared" si="13"/>
        <v>34000</v>
      </c>
      <c r="M24" s="40">
        <f t="shared" si="13"/>
        <v>36000</v>
      </c>
      <c r="N24" s="40">
        <f t="shared" si="13"/>
        <v>38000</v>
      </c>
      <c r="O24" s="112" t="s">
        <v>222</v>
      </c>
    </row>
    <row r="25" spans="1:15">
      <c r="A25" s="56"/>
      <c r="B25" s="25" t="s">
        <v>3</v>
      </c>
      <c r="C25" s="86">
        <f t="shared" ref="C25:N25" si="14">SUM(C15:C24)</f>
        <v>246431</v>
      </c>
      <c r="D25" s="86">
        <f t="shared" si="14"/>
        <v>284928</v>
      </c>
      <c r="E25" s="41" t="e">
        <f t="shared" si="14"/>
        <v>#REF!</v>
      </c>
      <c r="F25" s="41" t="e">
        <f t="shared" si="14"/>
        <v>#REF!</v>
      </c>
      <c r="G25" s="41" t="e">
        <f t="shared" si="14"/>
        <v>#REF!</v>
      </c>
      <c r="H25" s="41" t="e">
        <f t="shared" si="14"/>
        <v>#REF!</v>
      </c>
      <c r="I25" s="41" t="e">
        <f t="shared" si="14"/>
        <v>#REF!</v>
      </c>
      <c r="J25" s="41" t="e">
        <f t="shared" si="14"/>
        <v>#REF!</v>
      </c>
      <c r="K25" s="41" t="e">
        <f t="shared" si="14"/>
        <v>#REF!</v>
      </c>
      <c r="L25" s="86" t="e">
        <f t="shared" si="14"/>
        <v>#REF!</v>
      </c>
      <c r="M25" s="86" t="e">
        <f t="shared" si="14"/>
        <v>#REF!</v>
      </c>
      <c r="N25" s="86" t="e">
        <f t="shared" si="14"/>
        <v>#REF!</v>
      </c>
    </row>
    <row r="26" spans="1:15">
      <c r="A26" s="56"/>
      <c r="B26" s="53" t="s">
        <v>75</v>
      </c>
      <c r="C26" s="110">
        <f>C25/'Gross Receipts Summary'!B34%</f>
        <v>0.81090949368034138</v>
      </c>
      <c r="D26" s="110">
        <f>D25/'Gross Receipts Summary'!C34%</f>
        <v>0.87710398075572393</v>
      </c>
      <c r="E26" s="110" t="e">
        <f>E25/'Gross Receipts Summary'!D34%</f>
        <v>#REF!</v>
      </c>
      <c r="F26" s="110" t="e">
        <f>F25/'Gross Receipts Summary'!E34%</f>
        <v>#REF!</v>
      </c>
      <c r="G26" s="110" t="e">
        <f>G25/'Gross Receipts Summary'!F34%</f>
        <v>#REF!</v>
      </c>
      <c r="H26" s="110" t="e">
        <f>H25/'Gross Receipts Summary'!G34%</f>
        <v>#REF!</v>
      </c>
      <c r="I26" s="110" t="e">
        <f>I25/'Gross Receipts Summary'!H34%</f>
        <v>#REF!</v>
      </c>
      <c r="J26" s="110" t="e">
        <f>J25/'Gross Receipts Summary'!I34%</f>
        <v>#REF!</v>
      </c>
      <c r="K26" s="110" t="e">
        <f>K25/'Gross Receipts Summary'!J34%</f>
        <v>#REF!</v>
      </c>
      <c r="L26" s="284" t="e">
        <f>L25/'Gross Receipts Summary'!K11%</f>
        <v>#REF!</v>
      </c>
      <c r="M26" s="284" t="e">
        <f>M25/'Gross Receipts Summary'!L11%</f>
        <v>#REF!</v>
      </c>
      <c r="N26" s="284" t="e">
        <f>N25/'Gross Receipts Summary'!M11%</f>
        <v>#REF!</v>
      </c>
    </row>
    <row r="27" spans="1:15">
      <c r="A27" s="56"/>
      <c r="B27" s="53"/>
      <c r="C27" s="53"/>
      <c r="D27" s="68"/>
      <c r="E27" s="53"/>
      <c r="F27" s="53"/>
      <c r="G27" s="53"/>
      <c r="H27" s="53"/>
      <c r="I27" s="53"/>
      <c r="J27" s="53"/>
      <c r="K27" s="53"/>
      <c r="L27" s="68"/>
      <c r="M27" s="68"/>
      <c r="N27" s="68"/>
    </row>
    <row r="28" spans="1:15">
      <c r="A28" s="89" t="s">
        <v>110</v>
      </c>
      <c r="B28" s="87" t="s">
        <v>132</v>
      </c>
      <c r="C28" s="53"/>
      <c r="D28" s="68"/>
      <c r="E28" s="53"/>
      <c r="F28" s="53"/>
      <c r="G28" s="53"/>
      <c r="H28" s="53"/>
      <c r="I28" s="53"/>
      <c r="J28" s="53"/>
      <c r="K28" s="53"/>
      <c r="L28" s="68"/>
      <c r="M28" s="68"/>
      <c r="N28" s="68"/>
    </row>
    <row r="29" spans="1:15">
      <c r="A29" s="56">
        <v>1</v>
      </c>
      <c r="B29" s="53" t="s">
        <v>131</v>
      </c>
      <c r="C29" s="53">
        <v>12965</v>
      </c>
      <c r="D29" s="68">
        <v>104251</v>
      </c>
      <c r="E29" s="40">
        <v>200000</v>
      </c>
      <c r="F29" s="40">
        <f t="shared" ref="F29:N29" si="15">E29*1.25</f>
        <v>250000</v>
      </c>
      <c r="G29" s="40">
        <f t="shared" si="15"/>
        <v>312500</v>
      </c>
      <c r="H29" s="40">
        <f t="shared" si="15"/>
        <v>390625</v>
      </c>
      <c r="I29" s="40">
        <f t="shared" si="15"/>
        <v>488281.25</v>
      </c>
      <c r="J29" s="40">
        <f t="shared" si="15"/>
        <v>610351.5625</v>
      </c>
      <c r="K29" s="40">
        <f t="shared" si="15"/>
        <v>762939.453125</v>
      </c>
      <c r="L29" s="40">
        <f t="shared" si="15"/>
        <v>953674.31640625</v>
      </c>
      <c r="M29" s="40">
        <f t="shared" si="15"/>
        <v>1192092.8955078125</v>
      </c>
      <c r="N29" s="40">
        <f t="shared" si="15"/>
        <v>1490116.1193847656</v>
      </c>
      <c r="O29" s="112" t="s">
        <v>216</v>
      </c>
    </row>
    <row r="30" spans="1:15">
      <c r="A30" s="56">
        <f>+A29+1</f>
        <v>2</v>
      </c>
      <c r="B30" s="53" t="s">
        <v>130</v>
      </c>
      <c r="C30" s="53">
        <v>734225</v>
      </c>
      <c r="D30" s="68">
        <f>770574</f>
        <v>770574</v>
      </c>
      <c r="E30" s="40">
        <v>800000</v>
      </c>
      <c r="F30" s="40">
        <f>E30+100000</f>
        <v>900000</v>
      </c>
      <c r="G30" s="40">
        <f t="shared" ref="G30:N30" si="16">F30+100000</f>
        <v>1000000</v>
      </c>
      <c r="H30" s="40">
        <f t="shared" si="16"/>
        <v>1100000</v>
      </c>
      <c r="I30" s="40">
        <f t="shared" si="16"/>
        <v>1200000</v>
      </c>
      <c r="J30" s="40">
        <f t="shared" si="16"/>
        <v>1300000</v>
      </c>
      <c r="K30" s="40">
        <f t="shared" si="16"/>
        <v>1400000</v>
      </c>
      <c r="L30" s="40">
        <f t="shared" si="16"/>
        <v>1500000</v>
      </c>
      <c r="M30" s="40">
        <f t="shared" si="16"/>
        <v>1600000</v>
      </c>
      <c r="N30" s="40">
        <f t="shared" si="16"/>
        <v>1700000</v>
      </c>
      <c r="O30" s="112" t="s">
        <v>223</v>
      </c>
    </row>
    <row r="31" spans="1:15">
      <c r="A31" s="56">
        <f t="shared" ref="A31:A43" si="17">+A30+1</f>
        <v>3</v>
      </c>
      <c r="B31" s="53" t="s">
        <v>129</v>
      </c>
      <c r="C31" s="53">
        <v>241111</v>
      </c>
      <c r="D31" s="68">
        <f>408097</f>
        <v>408097</v>
      </c>
      <c r="E31" s="40">
        <f>D31*1.25</f>
        <v>510121.25</v>
      </c>
      <c r="F31" s="40">
        <f t="shared" ref="F31:K31" si="18">E31*1.25</f>
        <v>637651.5625</v>
      </c>
      <c r="G31" s="40">
        <f t="shared" si="18"/>
        <v>797064.453125</v>
      </c>
      <c r="H31" s="40">
        <f t="shared" si="18"/>
        <v>996330.56640625</v>
      </c>
      <c r="I31" s="40">
        <f t="shared" si="18"/>
        <v>1245413.2080078125</v>
      </c>
      <c r="J31" s="40">
        <f t="shared" si="18"/>
        <v>1556766.5100097656</v>
      </c>
      <c r="K31" s="40">
        <f t="shared" si="18"/>
        <v>1945958.137512207</v>
      </c>
      <c r="L31" s="40">
        <f>K31*1.25</f>
        <v>2432447.6718902588</v>
      </c>
      <c r="M31" s="40">
        <f>L31*1.25</f>
        <v>3040559.5898628235</v>
      </c>
      <c r="N31" s="40">
        <f>M31*1.25</f>
        <v>3800699.4873285294</v>
      </c>
      <c r="O31" s="112" t="s">
        <v>216</v>
      </c>
    </row>
    <row r="32" spans="1:15">
      <c r="A32" s="56">
        <f t="shared" si="17"/>
        <v>4</v>
      </c>
      <c r="B32" s="53" t="s">
        <v>128</v>
      </c>
      <c r="C32" s="53">
        <v>324448</v>
      </c>
      <c r="D32" s="68">
        <v>47583</v>
      </c>
      <c r="E32" s="40">
        <v>150000</v>
      </c>
      <c r="F32" s="23">
        <f t="shared" ref="F32:N32" si="19">E32+25000</f>
        <v>175000</v>
      </c>
      <c r="G32" s="23">
        <f t="shared" si="19"/>
        <v>200000</v>
      </c>
      <c r="H32" s="23">
        <f t="shared" si="19"/>
        <v>225000</v>
      </c>
      <c r="I32" s="23">
        <f t="shared" si="19"/>
        <v>250000</v>
      </c>
      <c r="J32" s="23">
        <f t="shared" si="19"/>
        <v>275000</v>
      </c>
      <c r="K32" s="23">
        <f t="shared" si="19"/>
        <v>300000</v>
      </c>
      <c r="L32" s="40">
        <f t="shared" si="19"/>
        <v>325000</v>
      </c>
      <c r="M32" s="40">
        <f t="shared" si="19"/>
        <v>350000</v>
      </c>
      <c r="N32" s="40">
        <f t="shared" si="19"/>
        <v>375000</v>
      </c>
      <c r="O32" s="112" t="s">
        <v>224</v>
      </c>
    </row>
    <row r="33" spans="1:15">
      <c r="A33" s="56">
        <f t="shared" si="17"/>
        <v>5</v>
      </c>
      <c r="B33" s="53" t="s">
        <v>127</v>
      </c>
      <c r="C33" s="53">
        <v>302385</v>
      </c>
      <c r="D33" s="68">
        <f>442052</f>
        <v>442052</v>
      </c>
      <c r="E33" s="40">
        <f>'FA Summary'!E12*0.5%</f>
        <v>532754.02</v>
      </c>
      <c r="F33" s="40">
        <f>'FA Summary'!F12*0.5%</f>
        <v>1245756.7522</v>
      </c>
      <c r="G33" s="40">
        <f>'FA Summary'!G12*0.5%</f>
        <v>1112675.736425</v>
      </c>
      <c r="H33" s="40">
        <f>'FA Summary'!H12*0.5%</f>
        <v>1012730.6841857501</v>
      </c>
      <c r="I33" s="40">
        <f>'FA Summary'!I12*0.5%</f>
        <v>998731.31983493781</v>
      </c>
      <c r="J33" s="40">
        <f>'FA Summary'!J12*0.5%</f>
        <v>932015.39718404191</v>
      </c>
      <c r="K33" s="40">
        <f>'FA Summary'!K12*0.5%</f>
        <v>933922.04627334606</v>
      </c>
      <c r="L33" s="40">
        <f>'FA Summary'!L12*0.5%</f>
        <v>1248733.8630075639</v>
      </c>
      <c r="M33" s="40">
        <f>'FA Summary'!M12*0.5%</f>
        <v>1580608.4557391268</v>
      </c>
      <c r="N33" s="40">
        <f>'FA Summary'!N12*0.5%</f>
        <v>1854120.4532176852</v>
      </c>
      <c r="O33" s="281" t="s">
        <v>734</v>
      </c>
    </row>
    <row r="34" spans="1:15">
      <c r="A34" s="56">
        <f t="shared" si="17"/>
        <v>6</v>
      </c>
      <c r="B34" s="53" t="s">
        <v>126</v>
      </c>
      <c r="C34" s="53">
        <f>33708+17000+105960</f>
        <v>156668</v>
      </c>
      <c r="D34" s="68">
        <f>39326+20000+78300</f>
        <v>137626</v>
      </c>
      <c r="E34" s="40">
        <f>150000</f>
        <v>150000</v>
      </c>
      <c r="F34" s="40">
        <f t="shared" ref="F34:N34" si="20">E34+25000</f>
        <v>175000</v>
      </c>
      <c r="G34" s="40">
        <f t="shared" si="20"/>
        <v>200000</v>
      </c>
      <c r="H34" s="40">
        <f t="shared" si="20"/>
        <v>225000</v>
      </c>
      <c r="I34" s="40">
        <f t="shared" si="20"/>
        <v>250000</v>
      </c>
      <c r="J34" s="40">
        <f t="shared" si="20"/>
        <v>275000</v>
      </c>
      <c r="K34" s="40">
        <f t="shared" si="20"/>
        <v>300000</v>
      </c>
      <c r="L34" s="40">
        <f t="shared" si="20"/>
        <v>325000</v>
      </c>
      <c r="M34" s="40">
        <f t="shared" si="20"/>
        <v>350000</v>
      </c>
      <c r="N34" s="40">
        <f t="shared" si="20"/>
        <v>375000</v>
      </c>
      <c r="O34" s="112" t="s">
        <v>224</v>
      </c>
    </row>
    <row r="35" spans="1:15">
      <c r="A35" s="56">
        <f t="shared" si="17"/>
        <v>7</v>
      </c>
      <c r="B35" s="53" t="s">
        <v>125</v>
      </c>
      <c r="C35" s="53">
        <v>2971</v>
      </c>
      <c r="D35" s="68">
        <v>8022</v>
      </c>
      <c r="E35" s="40">
        <v>10000</v>
      </c>
      <c r="F35" s="23">
        <f t="shared" ref="F35:N35" si="21">E35+5000</f>
        <v>15000</v>
      </c>
      <c r="G35" s="23">
        <f t="shared" si="21"/>
        <v>20000</v>
      </c>
      <c r="H35" s="23">
        <f t="shared" si="21"/>
        <v>25000</v>
      </c>
      <c r="I35" s="23">
        <f t="shared" si="21"/>
        <v>30000</v>
      </c>
      <c r="J35" s="23">
        <f t="shared" si="21"/>
        <v>35000</v>
      </c>
      <c r="K35" s="23">
        <f t="shared" si="21"/>
        <v>40000</v>
      </c>
      <c r="L35" s="40">
        <f t="shared" si="21"/>
        <v>45000</v>
      </c>
      <c r="M35" s="40">
        <f t="shared" si="21"/>
        <v>50000</v>
      </c>
      <c r="N35" s="40">
        <f t="shared" si="21"/>
        <v>55000</v>
      </c>
      <c r="O35" s="112" t="s">
        <v>225</v>
      </c>
    </row>
    <row r="36" spans="1:15">
      <c r="A36" s="56">
        <f t="shared" si="17"/>
        <v>8</v>
      </c>
      <c r="B36" s="24" t="s">
        <v>179</v>
      </c>
      <c r="C36" s="53">
        <f>29351+71636</f>
        <v>100987</v>
      </c>
      <c r="D36" s="68">
        <f>34731+49131</f>
        <v>83862</v>
      </c>
      <c r="E36" s="40">
        <f>100000</f>
        <v>100000</v>
      </c>
      <c r="F36" s="23">
        <f t="shared" ref="F36:N36" si="22">E36*1.2</f>
        <v>120000</v>
      </c>
      <c r="G36" s="23">
        <f t="shared" si="22"/>
        <v>144000</v>
      </c>
      <c r="H36" s="23">
        <f t="shared" si="22"/>
        <v>172800</v>
      </c>
      <c r="I36" s="23">
        <f t="shared" si="22"/>
        <v>207360</v>
      </c>
      <c r="J36" s="23">
        <f t="shared" si="22"/>
        <v>248832</v>
      </c>
      <c r="K36" s="23">
        <f t="shared" si="22"/>
        <v>298598.39999999997</v>
      </c>
      <c r="L36" s="40">
        <f t="shared" si="22"/>
        <v>358318.07999999996</v>
      </c>
      <c r="M36" s="40">
        <f t="shared" si="22"/>
        <v>429981.69599999994</v>
      </c>
      <c r="N36" s="40">
        <f t="shared" si="22"/>
        <v>515978.03519999993</v>
      </c>
      <c r="O36" s="112" t="s">
        <v>226</v>
      </c>
    </row>
    <row r="37" spans="1:15">
      <c r="A37" s="56">
        <f t="shared" si="17"/>
        <v>9</v>
      </c>
      <c r="B37" s="53" t="s">
        <v>124</v>
      </c>
      <c r="C37" s="53">
        <v>83071</v>
      </c>
      <c r="D37" s="68">
        <v>69894</v>
      </c>
      <c r="E37" s="40">
        <v>100000</v>
      </c>
      <c r="F37" s="23">
        <f t="shared" ref="F37:N37" si="23">E37*1.1</f>
        <v>110000.00000000001</v>
      </c>
      <c r="G37" s="23">
        <f t="shared" si="23"/>
        <v>121000.00000000003</v>
      </c>
      <c r="H37" s="23">
        <f t="shared" si="23"/>
        <v>133100.00000000003</v>
      </c>
      <c r="I37" s="23">
        <f t="shared" si="23"/>
        <v>146410.00000000006</v>
      </c>
      <c r="J37" s="23">
        <f t="shared" si="23"/>
        <v>161051.00000000009</v>
      </c>
      <c r="K37" s="23">
        <f t="shared" si="23"/>
        <v>177156.10000000012</v>
      </c>
      <c r="L37" s="40">
        <f t="shared" si="23"/>
        <v>194871.71000000014</v>
      </c>
      <c r="M37" s="40">
        <f t="shared" si="23"/>
        <v>214358.88100000017</v>
      </c>
      <c r="N37" s="40">
        <f t="shared" si="23"/>
        <v>235794.76910000021</v>
      </c>
      <c r="O37" s="112" t="s">
        <v>218</v>
      </c>
    </row>
    <row r="38" spans="1:15">
      <c r="A38" s="56">
        <f t="shared" si="17"/>
        <v>10</v>
      </c>
      <c r="B38" s="53" t="s">
        <v>123</v>
      </c>
      <c r="C38" s="53">
        <v>264000</v>
      </c>
      <c r="D38" s="68">
        <f>288000</f>
        <v>288000</v>
      </c>
      <c r="E38" s="40">
        <v>300000</v>
      </c>
      <c r="F38" s="23">
        <f t="shared" ref="F38:K38" si="24">+E38*1.1</f>
        <v>330000</v>
      </c>
      <c r="G38" s="23">
        <f t="shared" si="24"/>
        <v>363000.00000000006</v>
      </c>
      <c r="H38" s="23">
        <f t="shared" si="24"/>
        <v>399300.00000000012</v>
      </c>
      <c r="I38" s="23">
        <f t="shared" si="24"/>
        <v>439230.00000000017</v>
      </c>
      <c r="J38" s="23">
        <f t="shared" si="24"/>
        <v>483153.00000000023</v>
      </c>
      <c r="K38" s="23">
        <f t="shared" si="24"/>
        <v>531468.30000000028</v>
      </c>
      <c r="L38" s="40">
        <f>+K38*1.1</f>
        <v>584615.13000000035</v>
      </c>
      <c r="M38" s="40">
        <f>+L38*1.1</f>
        <v>643076.64300000039</v>
      </c>
      <c r="N38" s="40">
        <f>+M38*1.1</f>
        <v>707384.30730000045</v>
      </c>
      <c r="O38" s="112" t="s">
        <v>218</v>
      </c>
    </row>
    <row r="39" spans="1:15">
      <c r="A39" s="56">
        <f t="shared" si="17"/>
        <v>11</v>
      </c>
      <c r="B39" s="53" t="s">
        <v>122</v>
      </c>
      <c r="C39" s="53">
        <v>19023</v>
      </c>
      <c r="D39" s="68">
        <v>7833</v>
      </c>
      <c r="E39" s="40">
        <v>20000</v>
      </c>
      <c r="F39" s="23">
        <f t="shared" ref="F39:K39" si="25">+E39*1.15</f>
        <v>23000</v>
      </c>
      <c r="G39" s="23">
        <f t="shared" si="25"/>
        <v>26449.999999999996</v>
      </c>
      <c r="H39" s="23">
        <f t="shared" si="25"/>
        <v>30417.499999999993</v>
      </c>
      <c r="I39" s="23">
        <f t="shared" si="25"/>
        <v>34980.124999999985</v>
      </c>
      <c r="J39" s="23">
        <f t="shared" si="25"/>
        <v>40227.143749999981</v>
      </c>
      <c r="K39" s="23">
        <f t="shared" si="25"/>
        <v>46261.215312499975</v>
      </c>
      <c r="L39" s="40">
        <f>+K39*1.15</f>
        <v>53200.397609374966</v>
      </c>
      <c r="M39" s="40">
        <f>+L39*1.15</f>
        <v>61180.457250781204</v>
      </c>
      <c r="N39" s="40">
        <f>+M39*1.15</f>
        <v>70357.525838398375</v>
      </c>
      <c r="O39" s="112" t="s">
        <v>215</v>
      </c>
    </row>
    <row r="40" spans="1:15">
      <c r="A40" s="56">
        <f>+A39+1</f>
        <v>12</v>
      </c>
      <c r="B40" s="24" t="s">
        <v>183</v>
      </c>
      <c r="C40" s="53">
        <v>68391</v>
      </c>
      <c r="D40" s="68">
        <f>51293</f>
        <v>51293</v>
      </c>
      <c r="E40" s="40">
        <v>40000</v>
      </c>
      <c r="F40" s="23">
        <f>E40</f>
        <v>40000</v>
      </c>
      <c r="G40" s="23">
        <f>F40</f>
        <v>40000</v>
      </c>
      <c r="H40" s="23">
        <v>0</v>
      </c>
      <c r="I40" s="23">
        <v>0</v>
      </c>
      <c r="J40" s="23">
        <v>0</v>
      </c>
      <c r="K40" s="23">
        <v>0</v>
      </c>
      <c r="L40" s="40">
        <v>0</v>
      </c>
      <c r="M40" s="40">
        <v>0</v>
      </c>
      <c r="N40" s="40">
        <v>0</v>
      </c>
      <c r="O40" s="55"/>
    </row>
    <row r="41" spans="1:15">
      <c r="A41" s="56">
        <f>+A40+1</f>
        <v>13</v>
      </c>
      <c r="B41" s="24" t="s">
        <v>190</v>
      </c>
      <c r="C41" s="53">
        <f>134060</f>
        <v>134060</v>
      </c>
      <c r="D41" s="68">
        <f>159060</f>
        <v>159060</v>
      </c>
      <c r="E41" s="40">
        <f>200000</f>
        <v>200000</v>
      </c>
      <c r="F41" s="23">
        <f t="shared" ref="F41:N41" si="26">E41*1.15</f>
        <v>229999.99999999997</v>
      </c>
      <c r="G41" s="23">
        <f t="shared" si="26"/>
        <v>264499.99999999994</v>
      </c>
      <c r="H41" s="23">
        <f t="shared" si="26"/>
        <v>304174.99999999988</v>
      </c>
      <c r="I41" s="23">
        <f t="shared" si="26"/>
        <v>349801.24999999983</v>
      </c>
      <c r="J41" s="23">
        <f t="shared" si="26"/>
        <v>402271.43749999977</v>
      </c>
      <c r="K41" s="23">
        <f t="shared" si="26"/>
        <v>462612.15312499972</v>
      </c>
      <c r="L41" s="40">
        <f t="shared" si="26"/>
        <v>532003.97609374963</v>
      </c>
      <c r="M41" s="40">
        <f t="shared" si="26"/>
        <v>611804.57250781206</v>
      </c>
      <c r="N41" s="40">
        <f t="shared" si="26"/>
        <v>703575.25838398386</v>
      </c>
      <c r="O41" s="112" t="s">
        <v>215</v>
      </c>
    </row>
    <row r="42" spans="1:15">
      <c r="A42" s="56">
        <f>+A41+1</f>
        <v>14</v>
      </c>
      <c r="B42" s="24" t="s">
        <v>184</v>
      </c>
      <c r="C42" s="53">
        <v>6500</v>
      </c>
      <c r="D42" s="68">
        <v>76319</v>
      </c>
      <c r="E42" s="40">
        <f>16000*12</f>
        <v>192000</v>
      </c>
      <c r="F42" s="40">
        <f>20000*12</f>
        <v>240000</v>
      </c>
      <c r="G42" s="40">
        <f t="shared" ref="G42:N42" si="27">F42*1.1</f>
        <v>264000</v>
      </c>
      <c r="H42" s="40">
        <f t="shared" si="27"/>
        <v>290400</v>
      </c>
      <c r="I42" s="40">
        <f t="shared" si="27"/>
        <v>319440</v>
      </c>
      <c r="J42" s="40">
        <f t="shared" si="27"/>
        <v>351384</v>
      </c>
      <c r="K42" s="40">
        <f t="shared" si="27"/>
        <v>386522.4</v>
      </c>
      <c r="L42" s="40">
        <f t="shared" si="27"/>
        <v>425174.64000000007</v>
      </c>
      <c r="M42" s="40">
        <f t="shared" si="27"/>
        <v>467692.10400000011</v>
      </c>
      <c r="N42" s="40">
        <f t="shared" si="27"/>
        <v>514461.31440000015</v>
      </c>
      <c r="O42" s="112" t="s">
        <v>218</v>
      </c>
    </row>
    <row r="43" spans="1:15">
      <c r="A43" s="56">
        <f t="shared" si="17"/>
        <v>15</v>
      </c>
      <c r="B43" s="53" t="s">
        <v>121</v>
      </c>
      <c r="C43" s="53">
        <f>9250+7928+1013+12994</f>
        <v>31185</v>
      </c>
      <c r="D43" s="68">
        <f>251+5000+2778+5496</f>
        <v>13525</v>
      </c>
      <c r="E43" s="40">
        <v>50000</v>
      </c>
      <c r="F43" s="23">
        <f t="shared" ref="F43:N43" si="28">+E43*1.2</f>
        <v>60000</v>
      </c>
      <c r="G43" s="23">
        <f t="shared" si="28"/>
        <v>72000</v>
      </c>
      <c r="H43" s="23">
        <f t="shared" si="28"/>
        <v>86400</v>
      </c>
      <c r="I43" s="23">
        <f t="shared" si="28"/>
        <v>103680</v>
      </c>
      <c r="J43" s="23">
        <f t="shared" si="28"/>
        <v>124416</v>
      </c>
      <c r="K43" s="23">
        <f t="shared" si="28"/>
        <v>149299.19999999998</v>
      </c>
      <c r="L43" s="40">
        <f t="shared" si="28"/>
        <v>179159.03999999998</v>
      </c>
      <c r="M43" s="40">
        <f t="shared" si="28"/>
        <v>214990.84799999997</v>
      </c>
      <c r="N43" s="40">
        <f t="shared" si="28"/>
        <v>257989.01759999996</v>
      </c>
      <c r="O43" s="112" t="s">
        <v>226</v>
      </c>
    </row>
    <row r="44" spans="1:15">
      <c r="A44" s="56"/>
      <c r="B44" s="25" t="s">
        <v>3</v>
      </c>
      <c r="C44" s="86">
        <f t="shared" ref="C44:N44" si="29">SUM(C29:C43)</f>
        <v>2481990</v>
      </c>
      <c r="D44" s="86">
        <f t="shared" si="29"/>
        <v>2667991</v>
      </c>
      <c r="E44" s="41">
        <f t="shared" si="29"/>
        <v>3354875.27</v>
      </c>
      <c r="F44" s="41">
        <f t="shared" si="29"/>
        <v>4551408.3147</v>
      </c>
      <c r="G44" s="41">
        <f t="shared" si="29"/>
        <v>4937190.1895500002</v>
      </c>
      <c r="H44" s="41">
        <f t="shared" si="29"/>
        <v>5391278.7505919999</v>
      </c>
      <c r="I44" s="41">
        <f t="shared" si="29"/>
        <v>6063327.1528427508</v>
      </c>
      <c r="J44" s="41">
        <f t="shared" si="29"/>
        <v>6795468.0509438077</v>
      </c>
      <c r="K44" s="41">
        <f t="shared" si="29"/>
        <v>7734737.4053480541</v>
      </c>
      <c r="L44" s="86">
        <f t="shared" si="29"/>
        <v>9157198.8250071984</v>
      </c>
      <c r="M44" s="86">
        <f t="shared" si="29"/>
        <v>10806346.142868357</v>
      </c>
      <c r="N44" s="86">
        <f t="shared" si="29"/>
        <v>12655476.287753362</v>
      </c>
      <c r="O44" s="55"/>
    </row>
    <row r="45" spans="1:15">
      <c r="A45" s="56"/>
      <c r="B45" s="53" t="s">
        <v>75</v>
      </c>
      <c r="C45" s="110">
        <f>C44/'Gross Receipts Summary'!B34%</f>
        <v>8.1672730063168615</v>
      </c>
      <c r="D45" s="110">
        <f>D44/'Gross Receipts Summary'!C34%</f>
        <v>8.2129714409269869</v>
      </c>
      <c r="E45" s="110" t="e">
        <f>E44/'Gross Receipts Summary'!D34%</f>
        <v>#REF!</v>
      </c>
      <c r="F45" s="110" t="e">
        <f>F44/'Gross Receipts Summary'!E34%</f>
        <v>#REF!</v>
      </c>
      <c r="G45" s="110" t="e">
        <f>G44/'Gross Receipts Summary'!F34%</f>
        <v>#REF!</v>
      </c>
      <c r="H45" s="110" t="e">
        <f>H44/'Gross Receipts Summary'!G34%</f>
        <v>#REF!</v>
      </c>
      <c r="I45" s="110" t="e">
        <f>I44/'Gross Receipts Summary'!H34%</f>
        <v>#REF!</v>
      </c>
      <c r="J45" s="110" t="e">
        <f>J44/'Gross Receipts Summary'!I34%</f>
        <v>#REF!</v>
      </c>
      <c r="K45" s="110" t="e">
        <f>K44/'Gross Receipts Summary'!J34%</f>
        <v>#REF!</v>
      </c>
      <c r="L45" s="40" t="e">
        <f>L44/'Gross Receipts Summary'!K11%</f>
        <v>#REF!</v>
      </c>
      <c r="M45" s="40" t="e">
        <f>M44/'Gross Receipts Summary'!L11%</f>
        <v>#REF!</v>
      </c>
      <c r="N45" s="40" t="e">
        <f>N44/'Gross Receipts Summary'!M11%</f>
        <v>#REF!</v>
      </c>
    </row>
    <row r="46" spans="1:15">
      <c r="A46" s="56"/>
      <c r="B46" s="53"/>
      <c r="C46" s="53"/>
      <c r="D46" s="68"/>
      <c r="E46" s="57"/>
      <c r="F46" s="53"/>
      <c r="G46" s="53"/>
      <c r="H46" s="53"/>
      <c r="I46" s="53"/>
      <c r="J46" s="53"/>
      <c r="K46" s="53"/>
      <c r="L46" s="68"/>
      <c r="M46" s="68"/>
      <c r="N46" s="68"/>
    </row>
    <row r="47" spans="1:15">
      <c r="A47" s="89" t="s">
        <v>120</v>
      </c>
      <c r="B47" s="87" t="s">
        <v>189</v>
      </c>
      <c r="C47" s="53"/>
      <c r="D47" s="68"/>
      <c r="E47" s="53"/>
      <c r="F47" s="53"/>
      <c r="G47" s="53"/>
      <c r="H47" s="53"/>
      <c r="I47" s="53"/>
      <c r="J47" s="53"/>
      <c r="K47" s="53"/>
      <c r="L47" s="68"/>
      <c r="M47" s="68"/>
      <c r="N47" s="68"/>
    </row>
    <row r="48" spans="1:15">
      <c r="A48" s="56">
        <v>1</v>
      </c>
      <c r="B48" s="24" t="s">
        <v>119</v>
      </c>
      <c r="C48" s="24">
        <f>56398</f>
        <v>56398</v>
      </c>
      <c r="D48" s="94">
        <f>404+65301</f>
        <v>65705</v>
      </c>
      <c r="E48" s="23">
        <v>75000</v>
      </c>
      <c r="F48" s="23">
        <f t="shared" ref="F48:N48" si="30">+E48*1.15</f>
        <v>86250</v>
      </c>
      <c r="G48" s="23">
        <f t="shared" si="30"/>
        <v>99187.499999999985</v>
      </c>
      <c r="H48" s="23">
        <f t="shared" si="30"/>
        <v>114065.62499999997</v>
      </c>
      <c r="I48" s="23">
        <f t="shared" si="30"/>
        <v>131175.46874999997</v>
      </c>
      <c r="J48" s="23">
        <f t="shared" si="30"/>
        <v>150851.78906249994</v>
      </c>
      <c r="K48" s="23">
        <f t="shared" si="30"/>
        <v>173479.55742187492</v>
      </c>
      <c r="L48" s="40">
        <f t="shared" si="30"/>
        <v>199501.49103515616</v>
      </c>
      <c r="M48" s="40">
        <f t="shared" si="30"/>
        <v>229426.71469042957</v>
      </c>
      <c r="N48" s="40">
        <f t="shared" si="30"/>
        <v>263840.72189399396</v>
      </c>
      <c r="O48" s="112" t="s">
        <v>215</v>
      </c>
    </row>
    <row r="49" spans="1:15">
      <c r="A49" s="56">
        <f>A48+1</f>
        <v>2</v>
      </c>
      <c r="B49" s="24" t="s">
        <v>188</v>
      </c>
      <c r="C49" s="24">
        <v>14710</v>
      </c>
      <c r="D49" s="94">
        <v>10104</v>
      </c>
      <c r="E49" s="23">
        <v>15000</v>
      </c>
      <c r="F49" s="23">
        <f t="shared" ref="F49:N49" si="31">E49*1.1</f>
        <v>16500</v>
      </c>
      <c r="G49" s="23">
        <f t="shared" si="31"/>
        <v>18150</v>
      </c>
      <c r="H49" s="23">
        <f t="shared" si="31"/>
        <v>19965</v>
      </c>
      <c r="I49" s="23">
        <f t="shared" si="31"/>
        <v>21961.5</v>
      </c>
      <c r="J49" s="23">
        <f t="shared" si="31"/>
        <v>24157.65</v>
      </c>
      <c r="K49" s="23">
        <f t="shared" si="31"/>
        <v>26573.415000000005</v>
      </c>
      <c r="L49" s="40">
        <f t="shared" si="31"/>
        <v>29230.756500000007</v>
      </c>
      <c r="M49" s="40">
        <f t="shared" si="31"/>
        <v>32153.832150000009</v>
      </c>
      <c r="N49" s="40">
        <f t="shared" si="31"/>
        <v>35369.215365000011</v>
      </c>
      <c r="O49" s="112" t="s">
        <v>218</v>
      </c>
    </row>
    <row r="50" spans="1:15">
      <c r="A50" s="56">
        <f>A49+1</f>
        <v>3</v>
      </c>
      <c r="B50" s="53" t="s">
        <v>118</v>
      </c>
      <c r="C50" s="53">
        <v>479381</v>
      </c>
      <c r="D50" s="68">
        <v>397923</v>
      </c>
      <c r="E50" s="23">
        <v>500000</v>
      </c>
      <c r="F50" s="23">
        <f t="shared" ref="F50:N50" si="32">+E50*1.1</f>
        <v>550000</v>
      </c>
      <c r="G50" s="23">
        <f t="shared" si="32"/>
        <v>605000</v>
      </c>
      <c r="H50" s="23">
        <f t="shared" si="32"/>
        <v>665500</v>
      </c>
      <c r="I50" s="23">
        <f t="shared" si="32"/>
        <v>732050.00000000012</v>
      </c>
      <c r="J50" s="23">
        <f t="shared" si="32"/>
        <v>805255.00000000023</v>
      </c>
      <c r="K50" s="23">
        <f t="shared" si="32"/>
        <v>885780.50000000035</v>
      </c>
      <c r="L50" s="40">
        <f t="shared" si="32"/>
        <v>974358.55000000051</v>
      </c>
      <c r="M50" s="40">
        <f t="shared" si="32"/>
        <v>1071794.4050000007</v>
      </c>
      <c r="N50" s="40">
        <f t="shared" si="32"/>
        <v>1178973.845500001</v>
      </c>
      <c r="O50" s="112" t="s">
        <v>218</v>
      </c>
    </row>
    <row r="51" spans="1:15">
      <c r="A51" s="56">
        <f>+A50+1</f>
        <v>4</v>
      </c>
      <c r="B51" s="24" t="s">
        <v>178</v>
      </c>
      <c r="C51" s="53">
        <v>42175</v>
      </c>
      <c r="D51" s="68">
        <v>45986</v>
      </c>
      <c r="E51" s="23">
        <v>50000</v>
      </c>
      <c r="F51" s="23">
        <f t="shared" ref="F51:N51" si="33">+E51*1.1</f>
        <v>55000.000000000007</v>
      </c>
      <c r="G51" s="23">
        <f t="shared" si="33"/>
        <v>60500.000000000015</v>
      </c>
      <c r="H51" s="23">
        <f t="shared" si="33"/>
        <v>66550.000000000015</v>
      </c>
      <c r="I51" s="23">
        <f t="shared" si="33"/>
        <v>73205.000000000029</v>
      </c>
      <c r="J51" s="23">
        <f t="shared" si="33"/>
        <v>80525.500000000044</v>
      </c>
      <c r="K51" s="23">
        <f t="shared" si="33"/>
        <v>88578.050000000061</v>
      </c>
      <c r="L51" s="40">
        <f t="shared" si="33"/>
        <v>97435.855000000069</v>
      </c>
      <c r="M51" s="40">
        <f t="shared" si="33"/>
        <v>107179.44050000008</v>
      </c>
      <c r="N51" s="40">
        <f t="shared" si="33"/>
        <v>117897.3845500001</v>
      </c>
      <c r="O51" s="112" t="s">
        <v>218</v>
      </c>
    </row>
    <row r="52" spans="1:15">
      <c r="A52" s="56">
        <f>+A51+1</f>
        <v>5</v>
      </c>
      <c r="B52" s="53" t="s">
        <v>117</v>
      </c>
      <c r="C52" s="53">
        <f>207397</f>
        <v>207397</v>
      </c>
      <c r="D52" s="68">
        <f>411514</f>
        <v>411514</v>
      </c>
      <c r="E52" s="23">
        <v>500000</v>
      </c>
      <c r="F52" s="23">
        <f t="shared" ref="F52:N52" si="34">+E52*1.2</f>
        <v>600000</v>
      </c>
      <c r="G52" s="23">
        <f t="shared" si="34"/>
        <v>720000</v>
      </c>
      <c r="H52" s="23">
        <f t="shared" si="34"/>
        <v>864000</v>
      </c>
      <c r="I52" s="23">
        <f t="shared" si="34"/>
        <v>1036800</v>
      </c>
      <c r="J52" s="23">
        <f t="shared" si="34"/>
        <v>1244160</v>
      </c>
      <c r="K52" s="23">
        <f t="shared" si="34"/>
        <v>1492992</v>
      </c>
      <c r="L52" s="40">
        <f t="shared" si="34"/>
        <v>1791590.3999999999</v>
      </c>
      <c r="M52" s="40">
        <f t="shared" si="34"/>
        <v>2149908.48</v>
      </c>
      <c r="N52" s="40">
        <f t="shared" si="34"/>
        <v>2579890.176</v>
      </c>
      <c r="O52" s="112" t="s">
        <v>226</v>
      </c>
    </row>
    <row r="53" spans="1:15">
      <c r="A53" s="56">
        <f>+A52+1</f>
        <v>6</v>
      </c>
      <c r="B53" s="53" t="s">
        <v>116</v>
      </c>
      <c r="C53" s="53">
        <f>1543935+721990</f>
        <v>2265925</v>
      </c>
      <c r="D53" s="68">
        <f>1821147+239000</f>
        <v>2060147</v>
      </c>
      <c r="E53" s="23">
        <f>D53*1.25</f>
        <v>2575183.75</v>
      </c>
      <c r="F53" s="23">
        <f t="shared" ref="F53:K53" si="35">E53*1.25</f>
        <v>3218979.6875</v>
      </c>
      <c r="G53" s="23">
        <f t="shared" si="35"/>
        <v>4023724.609375</v>
      </c>
      <c r="H53" s="23">
        <f t="shared" si="35"/>
        <v>5029655.76171875</v>
      </c>
      <c r="I53" s="23">
        <f t="shared" si="35"/>
        <v>6287069.7021484375</v>
      </c>
      <c r="J53" s="23">
        <f t="shared" si="35"/>
        <v>7858837.1276855469</v>
      </c>
      <c r="K53" s="23">
        <f t="shared" si="35"/>
        <v>9823546.4096069336</v>
      </c>
      <c r="L53" s="40">
        <f>K53*1.25</f>
        <v>12279433.012008667</v>
      </c>
      <c r="M53" s="40">
        <f>L53*1.25</f>
        <v>15349291.265010834</v>
      </c>
      <c r="N53" s="40">
        <f>M53*1.25</f>
        <v>19186614.081263542</v>
      </c>
      <c r="O53" s="112" t="s">
        <v>216</v>
      </c>
    </row>
    <row r="54" spans="1:15">
      <c r="A54" s="53"/>
      <c r="B54" s="25" t="s">
        <v>3</v>
      </c>
      <c r="C54" s="86">
        <f t="shared" ref="C54:N54" si="36">SUM(C48:C53)</f>
        <v>3065986</v>
      </c>
      <c r="D54" s="86">
        <f t="shared" si="36"/>
        <v>2991379</v>
      </c>
      <c r="E54" s="41">
        <f t="shared" si="36"/>
        <v>3715183.75</v>
      </c>
      <c r="F54" s="41">
        <f t="shared" si="36"/>
        <v>4526729.6875</v>
      </c>
      <c r="G54" s="41">
        <f t="shared" si="36"/>
        <v>5526562.109375</v>
      </c>
      <c r="H54" s="41">
        <f t="shared" si="36"/>
        <v>6759736.38671875</v>
      </c>
      <c r="I54" s="41">
        <f t="shared" si="36"/>
        <v>8282261.6708984375</v>
      </c>
      <c r="J54" s="41">
        <f t="shared" si="36"/>
        <v>10163787.066748047</v>
      </c>
      <c r="K54" s="41">
        <f t="shared" si="36"/>
        <v>12490949.932028808</v>
      </c>
      <c r="L54" s="86">
        <f t="shared" si="36"/>
        <v>15371550.064543825</v>
      </c>
      <c r="M54" s="86">
        <f t="shared" si="36"/>
        <v>18939754.137351263</v>
      </c>
      <c r="N54" s="86">
        <f t="shared" si="36"/>
        <v>23362585.424572539</v>
      </c>
    </row>
    <row r="55" spans="1:15">
      <c r="A55" s="53"/>
      <c r="B55" s="53" t="s">
        <v>75</v>
      </c>
      <c r="C55" s="110">
        <f>C54/'Gross Receipts Summary'!B34%</f>
        <v>10.088978882084701</v>
      </c>
      <c r="D55" s="110">
        <f>D54/'Gross Receipts Summary'!C34%</f>
        <v>9.2084682054732312</v>
      </c>
      <c r="E55" s="110" t="e">
        <f>E54/'Gross Receipts Summary'!D34%</f>
        <v>#REF!</v>
      </c>
      <c r="F55" s="110" t="e">
        <f>F54/'Gross Receipts Summary'!E34%</f>
        <v>#REF!</v>
      </c>
      <c r="G55" s="110" t="e">
        <f>G54/'Gross Receipts Summary'!F34%</f>
        <v>#REF!</v>
      </c>
      <c r="H55" s="110" t="e">
        <f>H54/'Gross Receipts Summary'!G34%</f>
        <v>#REF!</v>
      </c>
      <c r="I55" s="110" t="e">
        <f>I54/'Gross Receipts Summary'!H34%</f>
        <v>#REF!</v>
      </c>
      <c r="J55" s="110" t="e">
        <f>J54/'Gross Receipts Summary'!I34%</f>
        <v>#REF!</v>
      </c>
      <c r="K55" s="110" t="e">
        <f>K54/'Gross Receipts Summary'!J34%</f>
        <v>#REF!</v>
      </c>
      <c r="L55" s="286" t="e">
        <f>L54/'Gross Receipts Summary'!K34%</f>
        <v>#REF!</v>
      </c>
      <c r="M55" s="286" t="e">
        <f>M54/'Gross Receipts Summary'!L34%</f>
        <v>#REF!</v>
      </c>
      <c r="N55" s="286" t="e">
        <f>N54/'Gross Receipts Summary'!M34%</f>
        <v>#REF!</v>
      </c>
    </row>
    <row r="57" spans="1:15">
      <c r="E57" s="267"/>
    </row>
  </sheetData>
  <pageMargins left="0.7" right="0.7" top="0.75" bottom="0.75" header="0.3" footer="0.3"/>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4:N52"/>
  <sheetViews>
    <sheetView topLeftCell="A37" workbookViewId="0">
      <selection activeCell="N20" sqref="N20"/>
    </sheetView>
  </sheetViews>
  <sheetFormatPr defaultRowHeight="12.75"/>
  <cols>
    <col min="1" max="1" width="5.5703125" style="249" customWidth="1"/>
    <col min="2" max="2" width="28.7109375" style="249" bestFit="1" customWidth="1"/>
    <col min="3" max="4" width="9" style="249" bestFit="1" customWidth="1"/>
    <col min="5" max="5" width="9.140625" style="249"/>
    <col min="6" max="10" width="10" style="249" bestFit="1" customWidth="1"/>
    <col min="11" max="11" width="9" style="249" bestFit="1" customWidth="1"/>
    <col min="12" max="13" width="11.5703125" style="249" bestFit="1" customWidth="1"/>
    <col min="14" max="14" width="9" style="249" bestFit="1" customWidth="1"/>
    <col min="15" max="16384" width="9.140625" style="249"/>
  </cols>
  <sheetData>
    <row r="4" spans="1:14">
      <c r="A4" s="287" t="s">
        <v>115</v>
      </c>
      <c r="B4" s="288" t="s">
        <v>114</v>
      </c>
      <c r="C4" s="288"/>
      <c r="D4" s="288"/>
    </row>
    <row r="5" spans="1:14">
      <c r="A5" s="287"/>
      <c r="B5" s="288"/>
      <c r="C5" s="288"/>
      <c r="D5" s="288"/>
    </row>
    <row r="6" spans="1:14">
      <c r="A6" s="92" t="s">
        <v>76</v>
      </c>
      <c r="B6" s="92" t="s">
        <v>0</v>
      </c>
      <c r="C6" s="92" t="s">
        <v>174</v>
      </c>
      <c r="D6" s="92" t="s">
        <v>175</v>
      </c>
      <c r="E6" s="92" t="s">
        <v>74</v>
      </c>
      <c r="F6" s="92" t="s">
        <v>73</v>
      </c>
      <c r="G6" s="92" t="s">
        <v>66</v>
      </c>
      <c r="H6" s="92" t="s">
        <v>65</v>
      </c>
      <c r="I6" s="92" t="s">
        <v>64</v>
      </c>
      <c r="J6" s="92" t="s">
        <v>63</v>
      </c>
      <c r="K6" s="92" t="s">
        <v>62</v>
      </c>
      <c r="L6" s="92" t="s">
        <v>61</v>
      </c>
      <c r="M6" s="92" t="s">
        <v>58</v>
      </c>
      <c r="N6" s="92" t="s">
        <v>725</v>
      </c>
    </row>
    <row r="7" spans="1:14">
      <c r="A7" s="289">
        <v>1</v>
      </c>
      <c r="B7" s="74" t="s">
        <v>729</v>
      </c>
      <c r="C7" s="96">
        <v>0</v>
      </c>
      <c r="D7" s="96">
        <v>400000</v>
      </c>
      <c r="E7" s="257">
        <f>+'Term Loan'!C23</f>
        <v>4000000</v>
      </c>
      <c r="F7" s="257">
        <f>+'Term Loan'!F23</f>
        <v>6000000</v>
      </c>
      <c r="G7" s="257">
        <f>+'Term Loan'!I23</f>
        <v>8000000</v>
      </c>
      <c r="H7" s="257">
        <f>+'Term Loan'!L23</f>
        <v>11000000</v>
      </c>
      <c r="I7" s="257">
        <f>+'Term Loan'!O23</f>
        <v>13500000</v>
      </c>
      <c r="J7" s="257">
        <f>+'Term Loan'!R23</f>
        <v>16500000</v>
      </c>
      <c r="K7" s="257">
        <f>+'Term Loan'!U23</f>
        <v>19050000</v>
      </c>
      <c r="L7" s="257">
        <f>+'Term Loan'!V23</f>
        <v>0</v>
      </c>
      <c r="M7" s="257">
        <f>+'Term Loan'!W23</f>
        <v>0</v>
      </c>
      <c r="N7" s="257">
        <f>+'Term Loan'!X23</f>
        <v>0</v>
      </c>
    </row>
    <row r="8" spans="1:14">
      <c r="A8" s="289">
        <v>2</v>
      </c>
      <c r="B8" s="74" t="s">
        <v>730</v>
      </c>
      <c r="C8" s="96">
        <v>0</v>
      </c>
      <c r="D8" s="96">
        <v>0</v>
      </c>
      <c r="E8" s="257">
        <v>0</v>
      </c>
      <c r="F8" s="257">
        <v>0</v>
      </c>
      <c r="G8" s="257">
        <f>+'Term Loan'!I45</f>
        <v>3000000</v>
      </c>
      <c r="H8" s="257">
        <f>+'Term Loan'!L45</f>
        <v>5500000</v>
      </c>
      <c r="I8" s="257">
        <f>+'Term Loan'!O45</f>
        <v>9000000</v>
      </c>
      <c r="J8" s="257">
        <f>+'Term Loan'!R45</f>
        <v>12500000</v>
      </c>
      <c r="K8" s="257">
        <f>+'Term Loan'!U45</f>
        <v>20000000</v>
      </c>
      <c r="L8" s="257">
        <f>'Term Loan'!X45</f>
        <v>22500000</v>
      </c>
      <c r="M8" s="257">
        <f>'Term Loan'!AA45</f>
        <v>30000000</v>
      </c>
      <c r="N8" s="257">
        <f>'Term Loan'!AD45</f>
        <v>7500000</v>
      </c>
    </row>
    <row r="9" spans="1:14">
      <c r="A9" s="289">
        <v>3</v>
      </c>
      <c r="B9" s="68" t="s">
        <v>107</v>
      </c>
      <c r="C9" s="96">
        <v>0</v>
      </c>
      <c r="D9" s="96">
        <v>0</v>
      </c>
      <c r="E9" s="257">
        <f>+'Other Loan'!K25</f>
        <v>2591676</v>
      </c>
      <c r="F9" s="257">
        <f>+'Other Loan'!L25</f>
        <v>2848921</v>
      </c>
      <c r="G9" s="257">
        <f>+'Other Loan'!M25</f>
        <v>1749921</v>
      </c>
      <c r="H9" s="257">
        <f>+'Other Loan'!N25</f>
        <v>813059</v>
      </c>
      <c r="I9" s="257">
        <f>+'Other Loan'!O25</f>
        <v>0</v>
      </c>
      <c r="J9" s="257">
        <f>+'Other Loan'!P25</f>
        <v>0</v>
      </c>
      <c r="K9" s="257">
        <f>+'Other Loan'!Q25</f>
        <v>0</v>
      </c>
      <c r="L9" s="257">
        <v>0</v>
      </c>
      <c r="M9" s="257">
        <v>0</v>
      </c>
      <c r="N9" s="257">
        <v>0</v>
      </c>
    </row>
    <row r="10" spans="1:14">
      <c r="A10" s="289"/>
      <c r="B10" s="71" t="s">
        <v>113</v>
      </c>
      <c r="C10" s="92">
        <f t="shared" ref="C10:N10" si="0">SUM(C7:C9)</f>
        <v>0</v>
      </c>
      <c r="D10" s="92">
        <f t="shared" si="0"/>
        <v>400000</v>
      </c>
      <c r="E10" s="92">
        <f t="shared" si="0"/>
        <v>6591676</v>
      </c>
      <c r="F10" s="92">
        <f t="shared" si="0"/>
        <v>8848921</v>
      </c>
      <c r="G10" s="92">
        <f t="shared" si="0"/>
        <v>12749921</v>
      </c>
      <c r="H10" s="92">
        <f t="shared" si="0"/>
        <v>17313059</v>
      </c>
      <c r="I10" s="92">
        <f t="shared" si="0"/>
        <v>22500000</v>
      </c>
      <c r="J10" s="92">
        <f t="shared" si="0"/>
        <v>29000000</v>
      </c>
      <c r="K10" s="92">
        <f t="shared" si="0"/>
        <v>39050000</v>
      </c>
      <c r="L10" s="92">
        <f t="shared" si="0"/>
        <v>22500000</v>
      </c>
      <c r="M10" s="92">
        <f t="shared" si="0"/>
        <v>30000000</v>
      </c>
      <c r="N10" s="92">
        <f t="shared" si="0"/>
        <v>7500000</v>
      </c>
    </row>
    <row r="11" spans="1:14">
      <c r="E11" s="290"/>
      <c r="F11" s="290"/>
      <c r="G11" s="290"/>
      <c r="H11" s="290"/>
      <c r="I11" s="290"/>
      <c r="J11" s="290"/>
      <c r="K11" s="290"/>
    </row>
    <row r="12" spans="1:14">
      <c r="E12" s="290"/>
      <c r="F12" s="290"/>
      <c r="G12" s="290"/>
      <c r="H12" s="290"/>
      <c r="I12" s="290"/>
      <c r="J12" s="290"/>
      <c r="K12" s="290"/>
    </row>
    <row r="13" spans="1:14">
      <c r="A13" s="287" t="s">
        <v>112</v>
      </c>
      <c r="B13" s="288" t="s">
        <v>6</v>
      </c>
      <c r="C13" s="288"/>
      <c r="D13" s="288"/>
      <c r="E13" s="290"/>
      <c r="F13" s="290"/>
      <c r="G13" s="290"/>
      <c r="H13" s="290"/>
      <c r="I13" s="290"/>
      <c r="J13" s="290"/>
      <c r="K13" s="290"/>
    </row>
    <row r="14" spans="1:14">
      <c r="A14" s="287"/>
      <c r="B14" s="288"/>
      <c r="C14" s="288"/>
      <c r="D14" s="288"/>
      <c r="E14" s="290"/>
      <c r="F14" s="290"/>
      <c r="G14" s="290"/>
      <c r="H14" s="290"/>
      <c r="I14" s="290"/>
      <c r="J14" s="290"/>
      <c r="K14" s="290"/>
    </row>
    <row r="15" spans="1:14">
      <c r="A15" s="92" t="s">
        <v>76</v>
      </c>
      <c r="B15" s="92" t="s">
        <v>0</v>
      </c>
      <c r="C15" s="92" t="s">
        <v>174</v>
      </c>
      <c r="D15" s="92" t="s">
        <v>175</v>
      </c>
      <c r="E15" s="92" t="s">
        <v>74</v>
      </c>
      <c r="F15" s="92" t="s">
        <v>73</v>
      </c>
      <c r="G15" s="92" t="s">
        <v>66</v>
      </c>
      <c r="H15" s="92" t="s">
        <v>65</v>
      </c>
      <c r="I15" s="92" t="s">
        <v>64</v>
      </c>
      <c r="J15" s="92" t="s">
        <v>63</v>
      </c>
      <c r="K15" s="92" t="s">
        <v>62</v>
      </c>
      <c r="L15" s="92" t="s">
        <v>61</v>
      </c>
      <c r="M15" s="92" t="s">
        <v>58</v>
      </c>
      <c r="N15" s="92" t="s">
        <v>725</v>
      </c>
    </row>
    <row r="16" spans="1:14">
      <c r="A16" s="289">
        <v>1</v>
      </c>
      <c r="B16" s="74" t="s">
        <v>726</v>
      </c>
      <c r="C16" s="68">
        <v>14227446</v>
      </c>
      <c r="D16" s="96">
        <v>13146200</v>
      </c>
      <c r="E16" s="257">
        <f>'Interest-TL'!D17</f>
        <v>10977750.000000002</v>
      </c>
      <c r="F16" s="257">
        <f>'Interest-TL'!F17</f>
        <v>9041500</v>
      </c>
      <c r="G16" s="257">
        <f>'Interest-TL'!H17</f>
        <v>8001500.0000000009</v>
      </c>
      <c r="H16" s="257">
        <f>'Interest-TL'!J17</f>
        <v>6766500.0000000009</v>
      </c>
      <c r="I16" s="257">
        <f>'Interest-TL'!L17</f>
        <v>5109000</v>
      </c>
      <c r="J16" s="257">
        <f>'Interest-TL'!N17</f>
        <v>3158999.9999999995</v>
      </c>
      <c r="K16" s="257">
        <f>'Interest-TL'!P17</f>
        <v>775124.99999999988</v>
      </c>
      <c r="L16" s="257">
        <v>0</v>
      </c>
      <c r="M16" s="257">
        <v>0</v>
      </c>
      <c r="N16" s="257">
        <v>0</v>
      </c>
    </row>
    <row r="17" spans="1:14">
      <c r="A17" s="289">
        <f>A16+1</f>
        <v>2</v>
      </c>
      <c r="B17" s="74" t="s">
        <v>727</v>
      </c>
      <c r="C17" s="68">
        <v>0</v>
      </c>
      <c r="D17" s="96">
        <v>0</v>
      </c>
      <c r="E17" s="257">
        <v>0</v>
      </c>
      <c r="F17" s="257">
        <f>'Interest-TL'!F33</f>
        <v>10725000</v>
      </c>
      <c r="G17" s="257">
        <f>'Interest-TL'!H33</f>
        <v>14137500</v>
      </c>
      <c r="H17" s="257">
        <f>'Interest-TL'!J33</f>
        <v>13547083.333333336</v>
      </c>
      <c r="I17" s="257">
        <f>'Interest-TL'!L33</f>
        <v>12610000</v>
      </c>
      <c r="J17" s="257">
        <f>'Interest-TL'!N33</f>
        <v>11266666.666666666</v>
      </c>
      <c r="K17" s="257">
        <f>'Interest-TL'!P33</f>
        <v>8991666.6666666679</v>
      </c>
      <c r="L17" s="257">
        <f>'Interest-TL'!R33</f>
        <v>6337500</v>
      </c>
      <c r="M17" s="257">
        <f>'Interest-TL'!T33</f>
        <v>2762500</v>
      </c>
      <c r="N17" s="257">
        <f>'Interest-TL'!V33</f>
        <v>81250</v>
      </c>
    </row>
    <row r="18" spans="1:14">
      <c r="A18" s="289">
        <f>A17+1</f>
        <v>3</v>
      </c>
      <c r="B18" s="94" t="s">
        <v>229</v>
      </c>
      <c r="C18" s="68">
        <v>388064</v>
      </c>
      <c r="D18" s="96">
        <v>738502</v>
      </c>
      <c r="E18" s="257">
        <f>+'Other Loan'!X25</f>
        <v>765220</v>
      </c>
      <c r="F18" s="257">
        <f>+'Other Loan'!Y25</f>
        <v>449076</v>
      </c>
      <c r="G18" s="257">
        <f>+'Other Loan'!Z25</f>
        <v>182233</v>
      </c>
      <c r="H18" s="257">
        <f>+'Other Loan'!AA25</f>
        <v>41216</v>
      </c>
      <c r="I18" s="257">
        <f>+'Other Loan'!AB25</f>
        <v>0</v>
      </c>
      <c r="J18" s="257">
        <f>+'Other Loan'!AC25</f>
        <v>0</v>
      </c>
      <c r="K18" s="257">
        <f>+'Other Loan'!AD25</f>
        <v>0</v>
      </c>
      <c r="L18" s="257">
        <f>+'Other Loan'!AG25</f>
        <v>0</v>
      </c>
      <c r="M18" s="257">
        <f>+'Other Loan'!AH25</f>
        <v>0</v>
      </c>
      <c r="N18" s="257">
        <f>+'Other Loan'!AI25</f>
        <v>0</v>
      </c>
    </row>
    <row r="19" spans="1:14">
      <c r="A19" s="289">
        <f>A18+1</f>
        <v>4</v>
      </c>
      <c r="B19" s="94" t="s">
        <v>177</v>
      </c>
      <c r="C19" s="94">
        <v>56058</v>
      </c>
      <c r="D19" s="289">
        <v>6093</v>
      </c>
      <c r="E19" s="257">
        <v>60000</v>
      </c>
      <c r="F19" s="257">
        <v>10000</v>
      </c>
      <c r="G19" s="257">
        <f t="shared" ref="G19:N19" si="1">F19+1000</f>
        <v>11000</v>
      </c>
      <c r="H19" s="257">
        <f t="shared" si="1"/>
        <v>12000</v>
      </c>
      <c r="I19" s="257">
        <f t="shared" si="1"/>
        <v>13000</v>
      </c>
      <c r="J19" s="257">
        <f t="shared" si="1"/>
        <v>14000</v>
      </c>
      <c r="K19" s="257">
        <f t="shared" si="1"/>
        <v>15000</v>
      </c>
      <c r="L19" s="257">
        <f t="shared" si="1"/>
        <v>16000</v>
      </c>
      <c r="M19" s="257">
        <f t="shared" si="1"/>
        <v>17000</v>
      </c>
      <c r="N19" s="257">
        <f t="shared" si="1"/>
        <v>18000</v>
      </c>
    </row>
    <row r="20" spans="1:14">
      <c r="A20" s="289">
        <f>A19+1</f>
        <v>5</v>
      </c>
      <c r="B20" s="94" t="s">
        <v>181</v>
      </c>
      <c r="C20" s="94">
        <v>2704943</v>
      </c>
      <c r="D20" s="289">
        <v>3108859</v>
      </c>
      <c r="E20" s="257">
        <f>+'BANK CMA'!D187*0.065*100000</f>
        <v>2015000.0000000002</v>
      </c>
      <c r="F20" s="257">
        <f>+'BANK CMA'!E187*0.065*100000</f>
        <v>4875000</v>
      </c>
      <c r="G20" s="257">
        <f>+'BANK CMA'!F187*0.065*100000</f>
        <v>4875000</v>
      </c>
      <c r="H20" s="257">
        <f>+'BANK CMA'!G187*0.065*100000</f>
        <v>4875000</v>
      </c>
      <c r="I20" s="257">
        <f>+'BANK CMA'!H187*0.065*100000</f>
        <v>4875000</v>
      </c>
      <c r="J20" s="257">
        <f>+'BANK CMA'!I187*0.065*100000</f>
        <v>4875000</v>
      </c>
      <c r="K20" s="257">
        <f>+'BANK CMA'!J187*0.065*100000</f>
        <v>4875000</v>
      </c>
      <c r="L20" s="257">
        <f>+'BANK CMA'!K187*0.065*100000</f>
        <v>4875000</v>
      </c>
      <c r="M20" s="257">
        <f>+'BANK CMA'!L187*0.065*100000</f>
        <v>4875000</v>
      </c>
      <c r="N20" s="257">
        <f>+'BANK CMA'!M187*0.065*100000</f>
        <v>4875000</v>
      </c>
    </row>
    <row r="21" spans="1:14">
      <c r="A21" s="94"/>
      <c r="B21" s="71" t="s">
        <v>111</v>
      </c>
      <c r="C21" s="86">
        <f>SUM(C16:C20)</f>
        <v>17376511</v>
      </c>
      <c r="D21" s="86">
        <f>SUM(D16:D20)</f>
        <v>16999654</v>
      </c>
      <c r="E21" s="86">
        <f>SUM(E16:E20)</f>
        <v>13817970.000000002</v>
      </c>
      <c r="F21" s="86">
        <f t="shared" ref="F21:K21" si="2">SUM(F16:F20)</f>
        <v>25100576</v>
      </c>
      <c r="G21" s="86">
        <f t="shared" si="2"/>
        <v>27207233</v>
      </c>
      <c r="H21" s="86">
        <f t="shared" si="2"/>
        <v>25241799.333333336</v>
      </c>
      <c r="I21" s="86">
        <f t="shared" si="2"/>
        <v>22607000</v>
      </c>
      <c r="J21" s="86">
        <f t="shared" si="2"/>
        <v>19314666.666666664</v>
      </c>
      <c r="K21" s="86">
        <f t="shared" si="2"/>
        <v>14656791.666666668</v>
      </c>
      <c r="L21" s="86">
        <f>SUM(L16:L20)</f>
        <v>11228500</v>
      </c>
      <c r="M21" s="86">
        <f>SUM(M16:M20)</f>
        <v>7654500</v>
      </c>
      <c r="N21" s="86">
        <f>SUM(N16:N20)</f>
        <v>4974250</v>
      </c>
    </row>
    <row r="22" spans="1:14">
      <c r="A22" s="94"/>
      <c r="B22" s="68" t="s">
        <v>75</v>
      </c>
      <c r="C22" s="257">
        <f>+C21/'Gross Receipts Summary'!B11%</f>
        <v>72.278172101512567</v>
      </c>
      <c r="D22" s="257">
        <f>+D21/'Gross Receipts Summary'!C11%</f>
        <v>54.314497630034509</v>
      </c>
      <c r="E22" s="257" t="e">
        <f>+E21/'Gross Receipts Summary'!D11%</f>
        <v>#REF!</v>
      </c>
      <c r="F22" s="257" t="e">
        <f>+F21/'Gross Receipts Summary'!E11%</f>
        <v>#REF!</v>
      </c>
      <c r="G22" s="257" t="e">
        <f>+G21/'Gross Receipts Summary'!F11%</f>
        <v>#REF!</v>
      </c>
      <c r="H22" s="257" t="e">
        <f>+H21/'Gross Receipts Summary'!G11%</f>
        <v>#REF!</v>
      </c>
      <c r="I22" s="257" t="e">
        <f>+I21/'Gross Receipts Summary'!H11%</f>
        <v>#REF!</v>
      </c>
      <c r="J22" s="257" t="e">
        <f>+J21/'Gross Receipts Summary'!I11%</f>
        <v>#REF!</v>
      </c>
      <c r="K22" s="257" t="e">
        <f>+K21/'Gross Receipts Summary'!J11%</f>
        <v>#REF!</v>
      </c>
      <c r="L22" s="257" t="e">
        <f>+L21/'Gross Receipts Summary'!K11%</f>
        <v>#REF!</v>
      </c>
      <c r="M22" s="257" t="e">
        <f>+M21/'Gross Receipts Summary'!L11%</f>
        <v>#REF!</v>
      </c>
      <c r="N22" s="257" t="e">
        <f>+N21/'Gross Receipts Summary'!M11%</f>
        <v>#REF!</v>
      </c>
    </row>
    <row r="23" spans="1:14">
      <c r="B23" s="95"/>
      <c r="C23" s="95"/>
      <c r="D23" s="95"/>
      <c r="E23" s="291"/>
      <c r="F23" s="291"/>
      <c r="G23" s="291"/>
      <c r="H23" s="291"/>
      <c r="I23" s="291"/>
      <c r="J23" s="291"/>
      <c r="K23" s="291"/>
    </row>
    <row r="24" spans="1:14">
      <c r="A24" s="287" t="s">
        <v>110</v>
      </c>
      <c r="B24" s="288" t="s">
        <v>109</v>
      </c>
      <c r="C24" s="288"/>
      <c r="D24" s="288"/>
      <c r="E24" s="290"/>
      <c r="F24" s="290"/>
      <c r="G24" s="290"/>
      <c r="H24" s="290"/>
      <c r="I24" s="290"/>
      <c r="J24" s="290"/>
      <c r="K24" s="290"/>
    </row>
    <row r="25" spans="1:14">
      <c r="A25" s="287"/>
      <c r="B25" s="288"/>
      <c r="C25" s="288"/>
      <c r="D25" s="292">
        <f>+D29-E27</f>
        <v>2819117</v>
      </c>
      <c r="E25" s="290"/>
      <c r="F25" s="290"/>
      <c r="G25" s="290"/>
      <c r="H25" s="290"/>
      <c r="I25" s="290"/>
      <c r="J25" s="290"/>
      <c r="K25" s="290"/>
    </row>
    <row r="26" spans="1:14">
      <c r="A26" s="92" t="s">
        <v>76</v>
      </c>
      <c r="B26" s="92" t="s">
        <v>0</v>
      </c>
      <c r="C26" s="92" t="s">
        <v>174</v>
      </c>
      <c r="D26" s="92" t="s">
        <v>175</v>
      </c>
      <c r="E26" s="92" t="s">
        <v>74</v>
      </c>
      <c r="F26" s="92" t="s">
        <v>73</v>
      </c>
      <c r="G26" s="92" t="s">
        <v>66</v>
      </c>
      <c r="H26" s="92" t="s">
        <v>65</v>
      </c>
      <c r="I26" s="92" t="s">
        <v>64</v>
      </c>
      <c r="J26" s="92" t="s">
        <v>63</v>
      </c>
      <c r="K26" s="92" t="s">
        <v>62</v>
      </c>
      <c r="L26" s="92" t="s">
        <v>61</v>
      </c>
      <c r="M26" s="92" t="s">
        <v>58</v>
      </c>
      <c r="N26" s="92" t="s">
        <v>725</v>
      </c>
    </row>
    <row r="27" spans="1:14">
      <c r="A27" s="94">
        <v>1</v>
      </c>
      <c r="B27" s="68" t="s">
        <v>108</v>
      </c>
      <c r="C27" s="68"/>
      <c r="D27" s="96">
        <v>80869117</v>
      </c>
      <c r="E27" s="257">
        <f>+'Term Loan'!D22</f>
        <v>74050000</v>
      </c>
      <c r="F27" s="257">
        <f>+'Term Loan'!G22</f>
        <v>68050000</v>
      </c>
      <c r="G27" s="257">
        <f>+'Term Loan'!J22</f>
        <v>60050000</v>
      </c>
      <c r="H27" s="257">
        <f>+'Term Loan'!M22</f>
        <v>49050000</v>
      </c>
      <c r="I27" s="257">
        <f>+'Term Loan'!P22</f>
        <v>35550000</v>
      </c>
      <c r="J27" s="257">
        <f>+'Term Loan'!S22</f>
        <v>19050000</v>
      </c>
      <c r="K27" s="257">
        <f>+'Term Loan'!V22</f>
        <v>0</v>
      </c>
      <c r="L27" s="289">
        <v>0</v>
      </c>
      <c r="M27" s="289">
        <v>0</v>
      </c>
      <c r="N27" s="289">
        <v>0</v>
      </c>
    </row>
    <row r="28" spans="1:14">
      <c r="A28" s="94"/>
      <c r="B28" s="68" t="s">
        <v>106</v>
      </c>
      <c r="C28" s="257">
        <f t="shared" ref="C28:J28" si="3">+D7</f>
        <v>400000</v>
      </c>
      <c r="D28" s="257">
        <f t="shared" si="3"/>
        <v>4000000</v>
      </c>
      <c r="E28" s="257">
        <f t="shared" si="3"/>
        <v>6000000</v>
      </c>
      <c r="F28" s="257">
        <f t="shared" si="3"/>
        <v>8000000</v>
      </c>
      <c r="G28" s="257">
        <f t="shared" si="3"/>
        <v>11000000</v>
      </c>
      <c r="H28" s="257">
        <f t="shared" si="3"/>
        <v>13500000</v>
      </c>
      <c r="I28" s="257">
        <f t="shared" si="3"/>
        <v>16500000</v>
      </c>
      <c r="J28" s="257">
        <f t="shared" si="3"/>
        <v>19050000</v>
      </c>
      <c r="K28" s="257">
        <v>0</v>
      </c>
      <c r="L28" s="289">
        <v>0</v>
      </c>
      <c r="M28" s="289">
        <v>0</v>
      </c>
      <c r="N28" s="289">
        <v>0</v>
      </c>
    </row>
    <row r="29" spans="1:14">
      <c r="A29" s="94"/>
      <c r="B29" s="68" t="s">
        <v>105</v>
      </c>
      <c r="C29" s="68"/>
      <c r="D29" s="40">
        <f>D27-D28</f>
        <v>76869117</v>
      </c>
      <c r="E29" s="257">
        <f t="shared" ref="E29:K29" si="4">+E27-E28</f>
        <v>68050000</v>
      </c>
      <c r="F29" s="257">
        <f t="shared" si="4"/>
        <v>60050000</v>
      </c>
      <c r="G29" s="257">
        <f t="shared" si="4"/>
        <v>49050000</v>
      </c>
      <c r="H29" s="257">
        <f t="shared" si="4"/>
        <v>35550000</v>
      </c>
      <c r="I29" s="257">
        <f t="shared" si="4"/>
        <v>19050000</v>
      </c>
      <c r="J29" s="257">
        <f t="shared" si="4"/>
        <v>0</v>
      </c>
      <c r="K29" s="257">
        <f t="shared" si="4"/>
        <v>0</v>
      </c>
      <c r="L29" s="289">
        <v>0</v>
      </c>
      <c r="M29" s="289">
        <v>0</v>
      </c>
      <c r="N29" s="289">
        <v>0</v>
      </c>
    </row>
    <row r="30" spans="1:14">
      <c r="A30" s="94"/>
      <c r="B30" s="68"/>
      <c r="C30" s="68"/>
      <c r="D30" s="40"/>
      <c r="E30" s="257"/>
      <c r="F30" s="257"/>
      <c r="G30" s="257"/>
      <c r="H30" s="257"/>
      <c r="I30" s="257"/>
      <c r="J30" s="257"/>
      <c r="K30" s="257"/>
      <c r="L30" s="94"/>
      <c r="M30" s="94"/>
      <c r="N30" s="94"/>
    </row>
    <row r="31" spans="1:14">
      <c r="A31" s="94">
        <v>2</v>
      </c>
      <c r="B31" s="74" t="s">
        <v>727</v>
      </c>
      <c r="C31" s="68"/>
      <c r="D31" s="40"/>
      <c r="E31" s="257"/>
      <c r="F31" s="257">
        <f>'Term Loan'!G44</f>
        <v>110000000</v>
      </c>
      <c r="G31" s="257">
        <f>F33</f>
        <v>107000000</v>
      </c>
      <c r="H31" s="257">
        <f>G33</f>
        <v>101500000</v>
      </c>
      <c r="I31" s="257">
        <f t="shared" ref="I31:N31" si="5">H33</f>
        <v>92500000</v>
      </c>
      <c r="J31" s="257">
        <f t="shared" si="5"/>
        <v>80000000</v>
      </c>
      <c r="K31" s="257">
        <f t="shared" si="5"/>
        <v>60000000</v>
      </c>
      <c r="L31" s="257">
        <f t="shared" si="5"/>
        <v>37500000</v>
      </c>
      <c r="M31" s="257">
        <f t="shared" si="5"/>
        <v>7500000</v>
      </c>
      <c r="N31" s="257">
        <f t="shared" si="5"/>
        <v>0</v>
      </c>
    </row>
    <row r="32" spans="1:14">
      <c r="A32" s="94"/>
      <c r="B32" s="68" t="s">
        <v>106</v>
      </c>
      <c r="C32" s="68"/>
      <c r="D32" s="40"/>
      <c r="E32" s="257"/>
      <c r="F32" s="257">
        <f>'Term Loan'!I45</f>
        <v>3000000</v>
      </c>
      <c r="G32" s="257">
        <f>'Term Loan'!L45</f>
        <v>5500000</v>
      </c>
      <c r="H32" s="257">
        <f>'Term Loan'!O45</f>
        <v>9000000</v>
      </c>
      <c r="I32" s="257">
        <f>'Term Loan'!R45</f>
        <v>12500000</v>
      </c>
      <c r="J32" s="257">
        <f>'Term Loan'!U45</f>
        <v>20000000</v>
      </c>
      <c r="K32" s="257">
        <f>'Term Loan'!X45</f>
        <v>22500000</v>
      </c>
      <c r="L32" s="257">
        <f>'Term Loan'!AA45</f>
        <v>30000000</v>
      </c>
      <c r="M32" s="257">
        <f>'Term Loan'!AD45</f>
        <v>7500000</v>
      </c>
      <c r="N32" s="289">
        <v>0</v>
      </c>
    </row>
    <row r="33" spans="1:14">
      <c r="A33" s="94"/>
      <c r="B33" s="68" t="s">
        <v>105</v>
      </c>
      <c r="C33" s="68"/>
      <c r="D33" s="40"/>
      <c r="E33" s="257"/>
      <c r="F33" s="257">
        <f t="shared" ref="F33:M33" si="6">F31-F32</f>
        <v>107000000</v>
      </c>
      <c r="G33" s="257">
        <f t="shared" si="6"/>
        <v>101500000</v>
      </c>
      <c r="H33" s="257">
        <f t="shared" si="6"/>
        <v>92500000</v>
      </c>
      <c r="I33" s="257">
        <f t="shared" si="6"/>
        <v>80000000</v>
      </c>
      <c r="J33" s="257">
        <f t="shared" si="6"/>
        <v>60000000</v>
      </c>
      <c r="K33" s="257">
        <f t="shared" si="6"/>
        <v>37500000</v>
      </c>
      <c r="L33" s="257">
        <f t="shared" si="6"/>
        <v>7500000</v>
      </c>
      <c r="M33" s="257">
        <f t="shared" si="6"/>
        <v>0</v>
      </c>
      <c r="N33" s="289">
        <v>0</v>
      </c>
    </row>
    <row r="34" spans="1:14">
      <c r="A34" s="94"/>
      <c r="B34" s="68"/>
      <c r="C34" s="68"/>
      <c r="D34" s="293"/>
      <c r="E34" s="257"/>
      <c r="F34" s="257"/>
      <c r="G34" s="257"/>
      <c r="H34" s="257"/>
      <c r="I34" s="257"/>
      <c r="J34" s="257"/>
      <c r="K34" s="257"/>
      <c r="L34" s="94"/>
      <c r="M34" s="94"/>
      <c r="N34" s="94"/>
    </row>
    <row r="35" spans="1:14">
      <c r="A35" s="94">
        <v>3</v>
      </c>
      <c r="B35" s="68" t="s">
        <v>107</v>
      </c>
      <c r="C35" s="68"/>
      <c r="D35" s="294">
        <v>8014121</v>
      </c>
      <c r="E35" s="295">
        <f>+D37</f>
        <v>5422445</v>
      </c>
      <c r="F35" s="295">
        <f>+E37</f>
        <v>2573524</v>
      </c>
      <c r="G35" s="295">
        <f>+F37</f>
        <v>823603</v>
      </c>
      <c r="H35" s="257">
        <f>+G37</f>
        <v>0</v>
      </c>
      <c r="I35" s="257">
        <v>0</v>
      </c>
      <c r="J35" s="257">
        <v>0</v>
      </c>
      <c r="K35" s="257">
        <v>0</v>
      </c>
      <c r="L35" s="289">
        <v>0</v>
      </c>
      <c r="M35" s="289">
        <v>0</v>
      </c>
      <c r="N35" s="289">
        <v>0</v>
      </c>
    </row>
    <row r="36" spans="1:14">
      <c r="A36" s="94"/>
      <c r="B36" s="68" t="s">
        <v>106</v>
      </c>
      <c r="C36" s="68"/>
      <c r="D36" s="296">
        <f>+'Other Loan'!K25</f>
        <v>2591676</v>
      </c>
      <c r="E36" s="296">
        <f>+'Other Loan'!L25</f>
        <v>2848921</v>
      </c>
      <c r="F36" s="296">
        <f>+'Other Loan'!M25</f>
        <v>1749921</v>
      </c>
      <c r="G36" s="296">
        <f>+'Other Loan'!N25+10544</f>
        <v>823603</v>
      </c>
      <c r="H36" s="40">
        <f>+'Other Loan'!O25</f>
        <v>0</v>
      </c>
      <c r="I36" s="257">
        <v>0</v>
      </c>
      <c r="J36" s="257">
        <v>0</v>
      </c>
      <c r="K36" s="257">
        <v>0</v>
      </c>
      <c r="L36" s="289">
        <v>0</v>
      </c>
      <c r="M36" s="289">
        <v>0</v>
      </c>
      <c r="N36" s="289">
        <v>0</v>
      </c>
    </row>
    <row r="37" spans="1:14">
      <c r="A37" s="94"/>
      <c r="B37" s="68" t="s">
        <v>105</v>
      </c>
      <c r="C37" s="68"/>
      <c r="D37" s="295">
        <f>+D35-D36</f>
        <v>5422445</v>
      </c>
      <c r="E37" s="295">
        <f>+E35-E36</f>
        <v>2573524</v>
      </c>
      <c r="F37" s="295">
        <f>+F35-F36</f>
        <v>823603</v>
      </c>
      <c r="G37" s="295">
        <f>+G35-G36</f>
        <v>0</v>
      </c>
      <c r="H37" s="257">
        <f>+H35-H36</f>
        <v>0</v>
      </c>
      <c r="I37" s="257">
        <v>0</v>
      </c>
      <c r="J37" s="257">
        <v>0</v>
      </c>
      <c r="K37" s="257">
        <v>0</v>
      </c>
      <c r="L37" s="289">
        <v>0</v>
      </c>
      <c r="M37" s="289">
        <v>0</v>
      </c>
      <c r="N37" s="289">
        <v>0</v>
      </c>
    </row>
    <row r="38" spans="1:14">
      <c r="A38" s="94"/>
      <c r="B38" s="94"/>
      <c r="C38" s="94"/>
      <c r="D38" s="94"/>
      <c r="E38" s="257"/>
      <c r="F38" s="257"/>
      <c r="G38" s="257"/>
      <c r="H38" s="257"/>
      <c r="I38" s="257"/>
      <c r="J38" s="257"/>
      <c r="K38" s="257"/>
      <c r="L38" s="94"/>
      <c r="M38" s="94"/>
      <c r="N38" s="94"/>
    </row>
    <row r="39" spans="1:14">
      <c r="A39" s="94"/>
      <c r="B39" s="71" t="s">
        <v>687</v>
      </c>
      <c r="C39" s="71"/>
      <c r="D39" s="86">
        <f>+D28+D36+D32</f>
        <v>6591676</v>
      </c>
      <c r="E39" s="86">
        <f t="shared" ref="E39:N39" si="7">+E28+E36+E32</f>
        <v>8848921</v>
      </c>
      <c r="F39" s="86">
        <f t="shared" si="7"/>
        <v>12749921</v>
      </c>
      <c r="G39" s="86">
        <f t="shared" si="7"/>
        <v>17323603</v>
      </c>
      <c r="H39" s="86">
        <f t="shared" si="7"/>
        <v>22500000</v>
      </c>
      <c r="I39" s="86">
        <f t="shared" si="7"/>
        <v>29000000</v>
      </c>
      <c r="J39" s="86">
        <f t="shared" si="7"/>
        <v>39050000</v>
      </c>
      <c r="K39" s="86">
        <f t="shared" si="7"/>
        <v>22500000</v>
      </c>
      <c r="L39" s="86">
        <f t="shared" si="7"/>
        <v>30000000</v>
      </c>
      <c r="M39" s="86">
        <f t="shared" si="7"/>
        <v>7500000</v>
      </c>
      <c r="N39" s="86">
        <f t="shared" si="7"/>
        <v>0</v>
      </c>
    </row>
    <row r="40" spans="1:14">
      <c r="A40" s="71"/>
      <c r="B40" s="71" t="s">
        <v>688</v>
      </c>
      <c r="C40" s="71"/>
      <c r="D40" s="297">
        <f>+D29+D37+D33</f>
        <v>82291562</v>
      </c>
      <c r="E40" s="297">
        <f t="shared" ref="E40:N40" si="8">+E29+E37+E33</f>
        <v>70623524</v>
      </c>
      <c r="F40" s="297">
        <f t="shared" si="8"/>
        <v>167873603</v>
      </c>
      <c r="G40" s="297">
        <f t="shared" si="8"/>
        <v>150550000</v>
      </c>
      <c r="H40" s="297">
        <f t="shared" si="8"/>
        <v>128050000</v>
      </c>
      <c r="I40" s="297">
        <f t="shared" si="8"/>
        <v>99050000</v>
      </c>
      <c r="J40" s="297">
        <f t="shared" si="8"/>
        <v>60000000</v>
      </c>
      <c r="K40" s="297">
        <f t="shared" si="8"/>
        <v>37500000</v>
      </c>
      <c r="L40" s="86">
        <f t="shared" si="8"/>
        <v>7500000</v>
      </c>
      <c r="M40" s="86">
        <f t="shared" si="8"/>
        <v>0</v>
      </c>
      <c r="N40" s="86">
        <f t="shared" si="8"/>
        <v>0</v>
      </c>
    </row>
    <row r="41" spans="1:14">
      <c r="A41" s="288"/>
    </row>
    <row r="42" spans="1:14">
      <c r="A42" s="249" t="s">
        <v>685</v>
      </c>
    </row>
    <row r="43" spans="1:14">
      <c r="A43" s="249">
        <v>1</v>
      </c>
      <c r="B43" s="249" t="s">
        <v>728</v>
      </c>
      <c r="E43" s="298"/>
    </row>
    <row r="44" spans="1:14">
      <c r="A44" s="249">
        <v>2</v>
      </c>
      <c r="B44" s="249" t="s">
        <v>686</v>
      </c>
    </row>
    <row r="50" spans="2:5">
      <c r="E50" s="299"/>
    </row>
    <row r="51" spans="2:5">
      <c r="E51" s="299"/>
    </row>
    <row r="52" spans="2:5">
      <c r="B52" s="95"/>
      <c r="C52" s="95"/>
      <c r="D52" s="95"/>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AG70"/>
  <sheetViews>
    <sheetView topLeftCell="H1" zoomScale="110" zoomScaleNormal="110" workbookViewId="0">
      <pane ySplit="4" topLeftCell="A5" activePane="bottomLeft" state="frozen"/>
      <selection activeCell="K1" sqref="K1"/>
      <selection pane="bottomLeft" activeCell="M12" sqref="M12"/>
    </sheetView>
  </sheetViews>
  <sheetFormatPr defaultColWidth="9.140625" defaultRowHeight="12.75"/>
  <cols>
    <col min="1" max="1" width="23" bestFit="1" customWidth="1"/>
    <col min="2" max="2" width="14.85546875" bestFit="1" customWidth="1"/>
    <col min="3" max="3" width="16" bestFit="1" customWidth="1"/>
    <col min="4" max="4" width="19.85546875" customWidth="1"/>
    <col min="5" max="5" width="12" bestFit="1" customWidth="1"/>
    <col min="6" max="6" width="32.28515625" bestFit="1" customWidth="1"/>
    <col min="7" max="7" width="18.5703125" bestFit="1" customWidth="1"/>
    <col min="8" max="8" width="16.42578125" bestFit="1" customWidth="1"/>
    <col min="9" max="9" width="18.5703125" bestFit="1" customWidth="1"/>
    <col min="10" max="11" width="13.140625" customWidth="1"/>
    <col min="12" max="12" width="7.85546875" bestFit="1" customWidth="1"/>
    <col min="13" max="13" width="8.140625" bestFit="1" customWidth="1"/>
    <col min="14" max="14" width="7.5703125" bestFit="1" customWidth="1"/>
    <col min="15" max="17" width="7.5703125" hidden="1" customWidth="1"/>
    <col min="18" max="18" width="10.140625" style="249" bestFit="1" customWidth="1"/>
    <col min="19" max="20" width="10.140625" bestFit="1" customWidth="1"/>
    <col min="21" max="22" width="10.140625" customWidth="1"/>
    <col min="23" max="23" width="12.28515625" bestFit="1" customWidth="1"/>
    <col min="24" max="27" width="7.5703125" bestFit="1" customWidth="1"/>
    <col min="28" max="30" width="0" hidden="1" customWidth="1"/>
  </cols>
  <sheetData>
    <row r="2" spans="1:30">
      <c r="A2" s="260" t="s">
        <v>684</v>
      </c>
    </row>
    <row r="4" spans="1:30">
      <c r="A4" s="1064" t="s">
        <v>60</v>
      </c>
      <c r="B4" s="1065" t="s">
        <v>683</v>
      </c>
      <c r="C4" s="1064" t="s">
        <v>682</v>
      </c>
      <c r="D4" s="1064" t="s">
        <v>681</v>
      </c>
      <c r="E4" s="1065" t="s">
        <v>680</v>
      </c>
      <c r="F4" s="1065" t="s">
        <v>679</v>
      </c>
      <c r="G4" s="1065" t="s">
        <v>678</v>
      </c>
      <c r="H4" s="1065" t="s">
        <v>677</v>
      </c>
      <c r="I4" s="1065" t="s">
        <v>676</v>
      </c>
      <c r="J4" s="1066" t="s">
        <v>675</v>
      </c>
      <c r="K4" s="1067"/>
      <c r="L4" s="1067"/>
      <c r="M4" s="1067"/>
      <c r="N4" s="1068"/>
      <c r="O4" s="261"/>
      <c r="P4" s="261"/>
      <c r="Q4" s="261"/>
      <c r="R4" s="1066" t="s">
        <v>674</v>
      </c>
      <c r="S4" s="1067"/>
      <c r="T4" s="1067"/>
      <c r="U4" s="1067"/>
      <c r="V4" s="1068"/>
      <c r="W4" s="1064" t="s">
        <v>673</v>
      </c>
      <c r="X4" s="1064"/>
      <c r="Y4" s="1064"/>
      <c r="Z4" s="1064"/>
      <c r="AA4" s="1064"/>
    </row>
    <row r="5" spans="1:30">
      <c r="A5" s="1064"/>
      <c r="B5" s="1065"/>
      <c r="C5" s="1064"/>
      <c r="D5" s="1064"/>
      <c r="E5" s="1065"/>
      <c r="F5" s="1065"/>
      <c r="G5" s="1065"/>
      <c r="H5" s="1065"/>
      <c r="I5" s="1065"/>
      <c r="J5" s="88" t="s">
        <v>667</v>
      </c>
      <c r="K5" s="88" t="s">
        <v>74</v>
      </c>
      <c r="L5" s="88" t="s">
        <v>73</v>
      </c>
      <c r="M5" s="88" t="s">
        <v>66</v>
      </c>
      <c r="N5" s="88" t="s">
        <v>65</v>
      </c>
      <c r="O5" s="27" t="s">
        <v>64</v>
      </c>
      <c r="P5" s="27" t="s">
        <v>63</v>
      </c>
      <c r="Q5" s="27" t="s">
        <v>62</v>
      </c>
      <c r="R5" s="86" t="s">
        <v>672</v>
      </c>
      <c r="S5" s="88" t="s">
        <v>671</v>
      </c>
      <c r="T5" s="88" t="s">
        <v>670</v>
      </c>
      <c r="U5" s="88" t="s">
        <v>669</v>
      </c>
      <c r="V5" s="88" t="s">
        <v>668</v>
      </c>
      <c r="W5" s="88" t="s">
        <v>667</v>
      </c>
      <c r="X5" s="88" t="s">
        <v>74</v>
      </c>
      <c r="Y5" s="88" t="s">
        <v>73</v>
      </c>
      <c r="Z5" s="88" t="s">
        <v>66</v>
      </c>
      <c r="AA5" s="88" t="s">
        <v>65</v>
      </c>
      <c r="AB5" s="88" t="s">
        <v>64</v>
      </c>
      <c r="AC5" s="88" t="s">
        <v>63</v>
      </c>
      <c r="AD5" s="88" t="s">
        <v>62</v>
      </c>
    </row>
    <row r="6" spans="1:30">
      <c r="A6" s="22">
        <v>1</v>
      </c>
      <c r="B6" s="259">
        <v>242000</v>
      </c>
      <c r="C6" s="256" t="s">
        <v>654</v>
      </c>
      <c r="D6" s="259" t="s">
        <v>666</v>
      </c>
      <c r="E6" s="256">
        <v>35</v>
      </c>
      <c r="F6" s="256">
        <v>12</v>
      </c>
      <c r="G6" s="256">
        <f t="shared" ref="G6:G24" si="0">E6-F6</f>
        <v>23</v>
      </c>
      <c r="H6" s="259">
        <v>8374</v>
      </c>
      <c r="I6" s="256" t="s">
        <v>660</v>
      </c>
      <c r="J6" s="22">
        <f>5702+5765+5828+5893+5958+6023+6090+6157+6225+6294+6363+6434</f>
        <v>72732</v>
      </c>
      <c r="K6" s="22">
        <f>6505+6577+6649+6723+6797+6872+6948+7025+7102+7181+7260+7340</f>
        <v>82979</v>
      </c>
      <c r="L6" s="22">
        <f>7421+7503+7586+7670+7754+7840+7927+8014+8103+8192+8283</f>
        <v>86293</v>
      </c>
      <c r="M6" s="22">
        <v>0</v>
      </c>
      <c r="N6" s="22"/>
      <c r="O6" s="22"/>
      <c r="P6" s="22"/>
      <c r="Q6" s="22"/>
      <c r="R6" s="257">
        <f t="shared" ref="R6:R24" si="1">+B6-J6</f>
        <v>169268</v>
      </c>
      <c r="S6" s="22">
        <f t="shared" ref="S6:S24" si="2">+B6-J6-K6</f>
        <v>86289</v>
      </c>
      <c r="T6" s="22">
        <f t="shared" ref="T6:T24" si="3">+B6-J6-K6-L6</f>
        <v>-4</v>
      </c>
      <c r="U6" s="22">
        <f t="shared" ref="U6:U24" si="4">+B6-J6-K6-L6-M6</f>
        <v>-4</v>
      </c>
      <c r="V6" s="22"/>
      <c r="W6" s="256">
        <f>2672+2609+2546+2481+2416+2351+2284+2217+2149+2080+2011+1940</f>
        <v>27756</v>
      </c>
      <c r="X6" s="256">
        <f>1869+1797+1725+1651+1577+1502+1426+1349+1272+1193+1114+1034</f>
        <v>17509</v>
      </c>
      <c r="Y6" s="256">
        <f>953+871+788+704+620+534+447+360+271+182+91</f>
        <v>5821</v>
      </c>
      <c r="Z6" s="256"/>
      <c r="AA6" s="256"/>
      <c r="AB6" s="256"/>
      <c r="AC6" s="256"/>
      <c r="AD6" s="256"/>
    </row>
    <row r="7" spans="1:30">
      <c r="A7" s="22">
        <f t="shared" ref="A7:A24" si="5">+A6+1</f>
        <v>2</v>
      </c>
      <c r="B7" s="259">
        <v>242000</v>
      </c>
      <c r="C7" s="256" t="s">
        <v>654</v>
      </c>
      <c r="D7" s="259" t="s">
        <v>665</v>
      </c>
      <c r="E7" s="256">
        <v>35</v>
      </c>
      <c r="F7" s="256">
        <v>12</v>
      </c>
      <c r="G7" s="256">
        <f t="shared" si="0"/>
        <v>23</v>
      </c>
      <c r="H7" s="259">
        <v>8374</v>
      </c>
      <c r="I7" s="256" t="s">
        <v>660</v>
      </c>
      <c r="J7" s="22">
        <f>5702+5765+5828+5893+5958+6023+6090+6157+6225+6294+6363+6434</f>
        <v>72732</v>
      </c>
      <c r="K7" s="22">
        <f>6505+6577+6649+6723+6797+6872+6948+7025+7102+7181+7260+7340</f>
        <v>82979</v>
      </c>
      <c r="L7" s="22">
        <f>7421+7503+7586+7670+7754+7840+7927+8014+8103+8192+8283</f>
        <v>86293</v>
      </c>
      <c r="M7" s="22">
        <v>0</v>
      </c>
      <c r="N7" s="22"/>
      <c r="O7" s="22"/>
      <c r="P7" s="22"/>
      <c r="Q7" s="22"/>
      <c r="R7" s="257">
        <f t="shared" si="1"/>
        <v>169268</v>
      </c>
      <c r="S7" s="22">
        <f t="shared" si="2"/>
        <v>86289</v>
      </c>
      <c r="T7" s="22">
        <f t="shared" si="3"/>
        <v>-4</v>
      </c>
      <c r="U7" s="22">
        <f t="shared" si="4"/>
        <v>-4</v>
      </c>
      <c r="V7" s="22"/>
      <c r="W7" s="256">
        <f>2672+2609+2546+2481+2416+2351+2284+2217+2149+2080+2011+1940</f>
        <v>27756</v>
      </c>
      <c r="X7" s="256">
        <f>1869+1797+1725+1651+1577+1502+1426+1349+1272+1193+1114+1034</f>
        <v>17509</v>
      </c>
      <c r="Y7" s="256">
        <f>953+871+788+704+620+534+447+360+271+182+91</f>
        <v>5821</v>
      </c>
      <c r="Z7" s="256"/>
      <c r="AA7" s="256"/>
      <c r="AB7" s="256"/>
      <c r="AC7" s="256"/>
      <c r="AD7" s="256"/>
    </row>
    <row r="8" spans="1:30">
      <c r="A8" s="22">
        <f t="shared" si="5"/>
        <v>3</v>
      </c>
      <c r="B8" s="259">
        <v>358000</v>
      </c>
      <c r="C8" s="256" t="s">
        <v>654</v>
      </c>
      <c r="D8" s="259" t="s">
        <v>664</v>
      </c>
      <c r="E8" s="256">
        <v>35</v>
      </c>
      <c r="F8" s="256">
        <v>12</v>
      </c>
      <c r="G8" s="256">
        <f t="shared" si="0"/>
        <v>23</v>
      </c>
      <c r="H8" s="259">
        <v>12387</v>
      </c>
      <c r="I8" s="256" t="s">
        <v>660</v>
      </c>
      <c r="J8" s="22">
        <f>8435+8528+8623+8718+8814+8911+9010+9109+9210+9311+9414+9518</f>
        <v>107601</v>
      </c>
      <c r="K8" s="22">
        <f>9623+9729+9837+9945+10055+10166+10278+10392+10506+10622+10740+10858</f>
        <v>122751</v>
      </c>
      <c r="L8" s="22">
        <f>10978+11099+11222+11346+11471+11597+11725+11855+11986+12118+12252</f>
        <v>127649</v>
      </c>
      <c r="M8" s="22">
        <v>0</v>
      </c>
      <c r="N8" s="22"/>
      <c r="O8" s="22"/>
      <c r="P8" s="22"/>
      <c r="Q8" s="22"/>
      <c r="R8" s="257">
        <f t="shared" si="1"/>
        <v>250399</v>
      </c>
      <c r="S8" s="22">
        <f t="shared" si="2"/>
        <v>127648</v>
      </c>
      <c r="T8" s="22">
        <f t="shared" si="3"/>
        <v>-1</v>
      </c>
      <c r="U8" s="22">
        <f t="shared" si="4"/>
        <v>-1</v>
      </c>
      <c r="V8" s="22"/>
      <c r="W8" s="256">
        <f>3952+3859+3764+3669+3573+3476+3377+3278+3177+3076+2973+2869</f>
        <v>41043</v>
      </c>
      <c r="X8" s="256">
        <f>2764+2658+2550+2442+2332+2221+2109+1995+1881+1765+1647+1529</f>
        <v>25893</v>
      </c>
      <c r="Y8" s="256">
        <f>1409+1288+1165+1041+916+790+662+532+401+269+135</f>
        <v>8608</v>
      </c>
      <c r="Z8" s="256"/>
      <c r="AA8" s="256"/>
      <c r="AB8" s="256"/>
      <c r="AC8" s="256"/>
      <c r="AD8" s="256"/>
    </row>
    <row r="9" spans="1:30">
      <c r="A9" s="22">
        <f t="shared" si="5"/>
        <v>4</v>
      </c>
      <c r="B9" s="255">
        <v>365000</v>
      </c>
      <c r="C9" s="256" t="s">
        <v>654</v>
      </c>
      <c r="D9" s="259" t="s">
        <v>663</v>
      </c>
      <c r="E9" s="256">
        <v>35</v>
      </c>
      <c r="F9" s="256">
        <v>12</v>
      </c>
      <c r="G9" s="256">
        <f t="shared" si="0"/>
        <v>23</v>
      </c>
      <c r="H9" s="255">
        <v>12630</v>
      </c>
      <c r="I9" s="256" t="s">
        <v>660</v>
      </c>
      <c r="J9" s="22">
        <f>8600+8695+8791+8888+8986+9085+9185+9287+9389+9493+9598+9704</f>
        <v>109701</v>
      </c>
      <c r="K9" s="22">
        <f>9811+9919+10029+10140+10252+10365+10479+10595+10712+10830+10950+11071</f>
        <v>125153</v>
      </c>
      <c r="L9" s="22">
        <f>11193+11317+11441+11568+11696+11825+11955+12087+12221+12356+12492</f>
        <v>130151</v>
      </c>
      <c r="M9" s="22">
        <v>0</v>
      </c>
      <c r="N9" s="22"/>
      <c r="O9" s="22"/>
      <c r="P9" s="22"/>
      <c r="Q9" s="22"/>
      <c r="R9" s="257">
        <f t="shared" si="1"/>
        <v>255299</v>
      </c>
      <c r="S9" s="22">
        <f t="shared" si="2"/>
        <v>130146</v>
      </c>
      <c r="T9" s="22">
        <f t="shared" si="3"/>
        <v>-5</v>
      </c>
      <c r="U9" s="22">
        <f t="shared" si="4"/>
        <v>-5</v>
      </c>
      <c r="V9" s="22"/>
      <c r="W9" s="255">
        <f>4030+3935+3839+3742+3644+3545+3445+3343+3241+3137+3032+2926</f>
        <v>41859</v>
      </c>
      <c r="X9" s="255">
        <f>2819+2711+2601+2490+2378+2265+2151+2035+1918+1800+1680+1559</f>
        <v>26407</v>
      </c>
      <c r="Y9" s="255">
        <f>1437+1313+1189+1062+934+805+675+543+409+274+138</f>
        <v>8779</v>
      </c>
      <c r="Z9" s="255"/>
      <c r="AA9" s="255"/>
      <c r="AB9" s="255"/>
      <c r="AC9" s="255"/>
      <c r="AD9" s="255"/>
    </row>
    <row r="10" spans="1:30">
      <c r="A10" s="22">
        <f t="shared" si="5"/>
        <v>5</v>
      </c>
      <c r="B10" s="255">
        <v>278000</v>
      </c>
      <c r="C10" s="256" t="s">
        <v>654</v>
      </c>
      <c r="D10" s="259" t="s">
        <v>662</v>
      </c>
      <c r="E10" s="256">
        <v>35</v>
      </c>
      <c r="F10" s="256">
        <v>12</v>
      </c>
      <c r="G10" s="256">
        <f t="shared" si="0"/>
        <v>23</v>
      </c>
      <c r="H10" s="255">
        <v>9619</v>
      </c>
      <c r="I10" s="256" t="s">
        <v>660</v>
      </c>
      <c r="J10" s="22">
        <f>6550+6623+6696+6770+6844+6920+6996+7074+7152+7231+7310+7391</f>
        <v>83557</v>
      </c>
      <c r="K10" s="22">
        <f>7473+7555+7639+7723+7808+7894+7981+8070+8159+8249+8340+8432</f>
        <v>95323</v>
      </c>
      <c r="L10" s="22">
        <f>8525+8619+8714+8810+8908+9006+9105+9206+9307+9410+9514</f>
        <v>99124</v>
      </c>
      <c r="M10" s="22">
        <v>0</v>
      </c>
      <c r="N10" s="22"/>
      <c r="O10" s="22"/>
      <c r="P10" s="22"/>
      <c r="Q10" s="22"/>
      <c r="R10" s="257">
        <f t="shared" si="1"/>
        <v>194443</v>
      </c>
      <c r="S10" s="22">
        <f t="shared" si="2"/>
        <v>99120</v>
      </c>
      <c r="T10" s="22">
        <f t="shared" si="3"/>
        <v>-4</v>
      </c>
      <c r="U10" s="22">
        <f t="shared" si="4"/>
        <v>-4</v>
      </c>
      <c r="V10" s="22"/>
      <c r="W10" s="255">
        <f>3069+2996+2923+2849+2775+2699+2623+2545+2467+2388+2309+2228</f>
        <v>31871</v>
      </c>
      <c r="X10" s="255">
        <f>2146+2064+1980+1896+1811+1725+1638+1549+1460+1370+1279+1187</f>
        <v>20105</v>
      </c>
      <c r="Y10" s="255">
        <f>1094+1000+905+809+711+613+514+413+312+209+105</f>
        <v>6685</v>
      </c>
      <c r="Z10" s="255"/>
      <c r="AA10" s="255"/>
      <c r="AB10" s="255"/>
      <c r="AC10" s="255"/>
      <c r="AD10" s="255"/>
    </row>
    <row r="11" spans="1:30">
      <c r="A11" s="22">
        <f t="shared" si="5"/>
        <v>6</v>
      </c>
      <c r="B11" s="255">
        <v>275000</v>
      </c>
      <c r="C11" s="256" t="s">
        <v>654</v>
      </c>
      <c r="D11" s="259" t="s">
        <v>661</v>
      </c>
      <c r="E11" s="256">
        <v>35</v>
      </c>
      <c r="F11" s="256">
        <v>12</v>
      </c>
      <c r="G11" s="256">
        <f t="shared" si="0"/>
        <v>23</v>
      </c>
      <c r="H11" s="255">
        <v>9515</v>
      </c>
      <c r="I11" s="256" t="s">
        <v>660</v>
      </c>
      <c r="J11" s="22">
        <f>6480+6551+6624+6697+6771+6845+6921+6997+7074+7153+7232+7311</f>
        <v>82656</v>
      </c>
      <c r="K11" s="22">
        <f>7392+7474+7556+7640+7724+7809+7895+7982+8071+8160+8250+8341</f>
        <v>94294</v>
      </c>
      <c r="L11" s="22">
        <f>8433+8526+8620+8715+8811+8909+9007+9106+9207+9308+9411</f>
        <v>98053</v>
      </c>
      <c r="M11" s="22">
        <v>0</v>
      </c>
      <c r="N11" s="22"/>
      <c r="O11" s="22"/>
      <c r="P11" s="22"/>
      <c r="Q11" s="22"/>
      <c r="R11" s="257">
        <f t="shared" si="1"/>
        <v>192344</v>
      </c>
      <c r="S11" s="22">
        <f t="shared" si="2"/>
        <v>98050</v>
      </c>
      <c r="T11" s="22">
        <f t="shared" si="3"/>
        <v>-3</v>
      </c>
      <c r="U11" s="22">
        <f t="shared" si="4"/>
        <v>-3</v>
      </c>
      <c r="V11" s="22"/>
      <c r="W11" s="255">
        <f>3035+2964+2891+2818+2744+2670+2594+2518+2441+2362+2283+2204</f>
        <v>31524</v>
      </c>
      <c r="X11" s="255">
        <f>123+2041+1959+1875+1791+1706+1620+1533+1444+1355+1265+1174</f>
        <v>17886</v>
      </c>
      <c r="Y11" s="255">
        <f>1082+989+895+800+704+606+508+409+308+207+104</f>
        <v>6612</v>
      </c>
      <c r="Z11" s="255"/>
      <c r="AA11" s="255"/>
      <c r="AB11" s="255"/>
      <c r="AC11" s="255"/>
      <c r="AD11" s="255"/>
    </row>
    <row r="12" spans="1:30">
      <c r="A12" s="22">
        <f t="shared" si="5"/>
        <v>7</v>
      </c>
      <c r="B12" s="255">
        <v>432000</v>
      </c>
      <c r="C12" s="256" t="s">
        <v>654</v>
      </c>
      <c r="D12" s="259" t="s">
        <v>659</v>
      </c>
      <c r="E12" s="256">
        <v>47</v>
      </c>
      <c r="F12" s="256">
        <f>10+12</f>
        <v>22</v>
      </c>
      <c r="G12" s="256">
        <f t="shared" si="0"/>
        <v>25</v>
      </c>
      <c r="H12" s="255">
        <v>11580</v>
      </c>
      <c r="I12" s="258">
        <v>40730</v>
      </c>
      <c r="J12" s="22">
        <f>7669+7312+7385+7460+7535+7611+7687+7764+7842+7921+8001+8082+8163+8245+8328+8412+8496+8582+8668+8755+8843+8932-688</f>
        <v>177005</v>
      </c>
      <c r="K12" s="22">
        <f>9022+9113+9204+9297+9391+9485+9580+9677+9774+9872+9972+10072</f>
        <v>114459</v>
      </c>
      <c r="L12" s="22">
        <f>10173+10276+10379+10483+10589+10695+10803+10912+11021+11132+11244+11357</f>
        <v>129064</v>
      </c>
      <c r="M12" s="22">
        <v>11472</v>
      </c>
      <c r="N12" s="22"/>
      <c r="O12" s="22"/>
      <c r="P12" s="22"/>
      <c r="Q12" s="22"/>
      <c r="R12" s="257">
        <f t="shared" si="1"/>
        <v>254995</v>
      </c>
      <c r="S12" s="22">
        <f t="shared" si="2"/>
        <v>140536</v>
      </c>
      <c r="T12" s="22">
        <f t="shared" si="3"/>
        <v>11472</v>
      </c>
      <c r="U12" s="22">
        <f t="shared" si="4"/>
        <v>0</v>
      </c>
      <c r="V12" s="22"/>
      <c r="W12" s="255">
        <f>3911+4268+4195+4120+4045+3969+3893+3816+3738+3659+3579+3498+3417+3335+3252+3168+3084+2998+2912+2825+2737+2648</f>
        <v>77067</v>
      </c>
      <c r="X12" s="255">
        <f>2558+2467+2376+2283+2189+2095+2000+1903+1806+1708+1608+1508</f>
        <v>24501</v>
      </c>
      <c r="Y12" s="255">
        <f>1407+1304+1201+1097+991+885+777+668+559+448+336+223</f>
        <v>9896</v>
      </c>
      <c r="Z12" s="255">
        <v>108</v>
      </c>
      <c r="AA12" s="255"/>
      <c r="AB12" s="255"/>
      <c r="AC12" s="255"/>
      <c r="AD12" s="255"/>
    </row>
    <row r="13" spans="1:30">
      <c r="A13" s="22">
        <f t="shared" si="5"/>
        <v>8</v>
      </c>
      <c r="B13" s="255">
        <v>432000</v>
      </c>
      <c r="C13" s="256" t="s">
        <v>654</v>
      </c>
      <c r="D13" s="259" t="s">
        <v>658</v>
      </c>
      <c r="E13" s="256">
        <v>47</v>
      </c>
      <c r="F13" s="256">
        <f>10+12</f>
        <v>22</v>
      </c>
      <c r="G13" s="256">
        <f t="shared" si="0"/>
        <v>25</v>
      </c>
      <c r="H13" s="255">
        <v>11580</v>
      </c>
      <c r="I13" s="258">
        <v>40730</v>
      </c>
      <c r="J13" s="22">
        <f>7669+7312+7385+7460+7535+7611+7687+7764+7842+7921+8001+8082+8163+8245+8328+8412+8496+8582+8668+8755+8843+8932-688</f>
        <v>177005</v>
      </c>
      <c r="K13" s="22">
        <f>9022+9113+9204+9297+9391+9485+9580+9677+9774+9872+9972+10072</f>
        <v>114459</v>
      </c>
      <c r="L13" s="22">
        <f>10173+10276+10379+10483+10589+10695+10803+10912+11021+11132+11244+11357</f>
        <v>129064</v>
      </c>
      <c r="M13" s="22">
        <v>11472</v>
      </c>
      <c r="N13" s="22"/>
      <c r="O13" s="22"/>
      <c r="P13" s="22"/>
      <c r="Q13" s="22"/>
      <c r="R13" s="257">
        <f t="shared" si="1"/>
        <v>254995</v>
      </c>
      <c r="S13" s="22">
        <f t="shared" si="2"/>
        <v>140536</v>
      </c>
      <c r="T13" s="22">
        <f t="shared" si="3"/>
        <v>11472</v>
      </c>
      <c r="U13" s="22">
        <f t="shared" si="4"/>
        <v>0</v>
      </c>
      <c r="V13" s="22"/>
      <c r="W13" s="255">
        <f>3911+4268+4195+4120+4045+3969+3893+3816+3738+3659+3579+3498+3417+3335+3252+3168+3084+2998+2912+2825+2737+2648</f>
        <v>77067</v>
      </c>
      <c r="X13" s="255">
        <f>2558+2467+2376+2283+2189+2095+2000+1903+1806+1708+1608+1508</f>
        <v>24501</v>
      </c>
      <c r="Y13" s="255">
        <f>1407+1304+1201+1097+991+885+777+668+559+448+336+223</f>
        <v>9896</v>
      </c>
      <c r="Z13" s="255">
        <v>108</v>
      </c>
      <c r="AA13" s="255"/>
      <c r="AB13" s="255"/>
      <c r="AC13" s="255"/>
      <c r="AD13" s="255"/>
    </row>
    <row r="14" spans="1:30">
      <c r="A14" s="22">
        <f t="shared" si="5"/>
        <v>9</v>
      </c>
      <c r="B14" s="255">
        <v>432000</v>
      </c>
      <c r="C14" s="256" t="s">
        <v>654</v>
      </c>
      <c r="D14" s="259" t="s">
        <v>657</v>
      </c>
      <c r="E14" s="256">
        <v>47</v>
      </c>
      <c r="F14" s="256">
        <f>10+12</f>
        <v>22</v>
      </c>
      <c r="G14" s="256">
        <f t="shared" si="0"/>
        <v>25</v>
      </c>
      <c r="H14" s="255">
        <v>11580</v>
      </c>
      <c r="I14" s="258">
        <v>40730</v>
      </c>
      <c r="J14" s="22">
        <f>7669+7312+7385+7460+7535+7611+7687+7764+7842+7921+8001+8082+8163+8245+8328+8412+8496+8582+8668+8755+8843+8932-688</f>
        <v>177005</v>
      </c>
      <c r="K14" s="22">
        <f>9022+9113+9204+9297+9391+9485+9580+9677+9774+9872+9972+10072</f>
        <v>114459</v>
      </c>
      <c r="L14" s="22">
        <f>10173+10276+10379+10483+10589+10695+10803+10912+11021+11132+11244+11357</f>
        <v>129064</v>
      </c>
      <c r="M14" s="22">
        <v>11472</v>
      </c>
      <c r="N14" s="22"/>
      <c r="O14" s="22"/>
      <c r="P14" s="22"/>
      <c r="Q14" s="22"/>
      <c r="R14" s="257">
        <f t="shared" si="1"/>
        <v>254995</v>
      </c>
      <c r="S14" s="22">
        <f t="shared" si="2"/>
        <v>140536</v>
      </c>
      <c r="T14" s="22">
        <f t="shared" si="3"/>
        <v>11472</v>
      </c>
      <c r="U14" s="22">
        <f t="shared" si="4"/>
        <v>0</v>
      </c>
      <c r="V14" s="22"/>
      <c r="W14" s="255">
        <f>3911+4268+4195+4120+4045+3969+3893+3816+3738+3659+3579+3498+3417+3335+3252+3168+3084+2998+2912+2825+2737+2648</f>
        <v>77067</v>
      </c>
      <c r="X14" s="255">
        <f>2558+2467+2376+2283+2189+2095+2000+1903+1806+1708+1608+1508</f>
        <v>24501</v>
      </c>
      <c r="Y14" s="255">
        <f>1407+1304+1201+1097+991+885+777+668+559+448+336+223</f>
        <v>9896</v>
      </c>
      <c r="Z14" s="255">
        <v>108</v>
      </c>
      <c r="AA14" s="255"/>
      <c r="AB14" s="255"/>
      <c r="AC14" s="255"/>
      <c r="AD14" s="255"/>
    </row>
    <row r="15" spans="1:30">
      <c r="A15" s="22">
        <f t="shared" si="5"/>
        <v>10</v>
      </c>
      <c r="B15" s="255">
        <v>432000</v>
      </c>
      <c r="C15" s="256" t="s">
        <v>654</v>
      </c>
      <c r="D15" s="259" t="s">
        <v>656</v>
      </c>
      <c r="E15" s="256">
        <v>47</v>
      </c>
      <c r="F15" s="256">
        <f>10+12</f>
        <v>22</v>
      </c>
      <c r="G15" s="256">
        <f t="shared" si="0"/>
        <v>25</v>
      </c>
      <c r="H15" s="255">
        <v>11580</v>
      </c>
      <c r="I15" s="258">
        <v>40730</v>
      </c>
      <c r="J15" s="22">
        <f>7669+7312+7385+7460+7535+7611+7687+7764+7842+7921+8001+8082+8163+8245+8328+8412+8496+8582+8668+8755+8843+8932-688</f>
        <v>177005</v>
      </c>
      <c r="K15" s="22">
        <f>9022+9113+9204+9297+9391+9485+9580+9677+9774+9872+9972+10072</f>
        <v>114459</v>
      </c>
      <c r="L15" s="22">
        <f>10173+10276+10379+10483+10589+10695+10803+10912+11021+11132+11244+11357</f>
        <v>129064</v>
      </c>
      <c r="M15" s="22">
        <v>11472</v>
      </c>
      <c r="N15" s="22"/>
      <c r="O15" s="22"/>
      <c r="P15" s="22"/>
      <c r="Q15" s="22"/>
      <c r="R15" s="257">
        <f t="shared" si="1"/>
        <v>254995</v>
      </c>
      <c r="S15" s="22">
        <f t="shared" si="2"/>
        <v>140536</v>
      </c>
      <c r="T15" s="22">
        <f t="shared" si="3"/>
        <v>11472</v>
      </c>
      <c r="U15" s="22">
        <f t="shared" si="4"/>
        <v>0</v>
      </c>
      <c r="V15" s="22"/>
      <c r="W15" s="255">
        <f>3911+4268+4195+4120+4045+3969+3893+3816+3738+3659+3579+3498+3417+3335+3252+3168+3084+2998+2912+2825+2737+2648</f>
        <v>77067</v>
      </c>
      <c r="X15" s="255">
        <f>2558+2467+2376+2283+2189+2095+2000+1903+1806+1708+1608+1508</f>
        <v>24501</v>
      </c>
      <c r="Y15" s="255">
        <f>1407+1304+1201+1097+991+885+777+668+559+448+336+223</f>
        <v>9896</v>
      </c>
      <c r="Z15" s="255">
        <v>108</v>
      </c>
      <c r="AA15" s="255"/>
      <c r="AB15" s="255"/>
      <c r="AC15" s="255"/>
      <c r="AD15" s="255"/>
    </row>
    <row r="16" spans="1:30">
      <c r="A16" s="22">
        <f t="shared" si="5"/>
        <v>11</v>
      </c>
      <c r="B16" s="255">
        <v>230250</v>
      </c>
      <c r="C16" s="256" t="s">
        <v>654</v>
      </c>
      <c r="D16" s="259" t="s">
        <v>655</v>
      </c>
      <c r="E16" s="256">
        <v>47</v>
      </c>
      <c r="F16" s="256">
        <v>23</v>
      </c>
      <c r="G16" s="256">
        <f t="shared" si="0"/>
        <v>24</v>
      </c>
      <c r="H16" s="255">
        <v>6280</v>
      </c>
      <c r="I16" s="256" t="s">
        <v>652</v>
      </c>
      <c r="J16" s="22">
        <f>4031+3825+3867+3909+3951+3994+4037+4081+4125+4170+4215+4261+4307+4354+4401+4449+4497+4546+4595+4645+4696+4747+4798-409</f>
        <v>98092</v>
      </c>
      <c r="K16" s="22">
        <f>4850+4903+4956+5010+5064+5119+5175+5231+5288+5345+5403+5462</f>
        <v>61806</v>
      </c>
      <c r="L16" s="22">
        <f>5521+5581+5641+5703+5765+5827+5890+5954+6019+6084+6150+6217</f>
        <v>70352</v>
      </c>
      <c r="M16" s="22">
        <v>0</v>
      </c>
      <c r="N16" s="22"/>
      <c r="O16" s="22"/>
      <c r="P16" s="22"/>
      <c r="Q16" s="22"/>
      <c r="R16" s="257">
        <f t="shared" si="1"/>
        <v>132158</v>
      </c>
      <c r="S16" s="22">
        <f t="shared" si="2"/>
        <v>70352</v>
      </c>
      <c r="T16" s="22">
        <f t="shared" si="3"/>
        <v>0</v>
      </c>
      <c r="U16" s="22">
        <f t="shared" si="4"/>
        <v>0</v>
      </c>
      <c r="V16" s="22"/>
      <c r="W16" s="255">
        <f>2249+2455+2413+2371+2329+2286+2243+2199+2155+2110+2065+2019+1973+1926+1879+1831+1783+1734+1685+1635+1584+1533+1482</f>
        <v>45939</v>
      </c>
      <c r="X16" s="255">
        <f>1430+1377+1324+1270+1216+1161+1105+1049+992+935+877+818</f>
        <v>13554</v>
      </c>
      <c r="Y16" s="255">
        <f>759+699+639+577+515+453+390+326+261+196+130+63</f>
        <v>5008</v>
      </c>
      <c r="Z16" s="255"/>
      <c r="AA16" s="255"/>
      <c r="AB16" s="255"/>
      <c r="AC16" s="255"/>
      <c r="AD16" s="255"/>
    </row>
    <row r="17" spans="1:33">
      <c r="A17" s="22">
        <f t="shared" si="5"/>
        <v>12</v>
      </c>
      <c r="B17" s="255">
        <v>230250</v>
      </c>
      <c r="C17" s="256" t="s">
        <v>654</v>
      </c>
      <c r="D17" s="259" t="s">
        <v>653</v>
      </c>
      <c r="E17" s="256">
        <v>47</v>
      </c>
      <c r="F17" s="256">
        <v>23</v>
      </c>
      <c r="G17" s="256">
        <f t="shared" si="0"/>
        <v>24</v>
      </c>
      <c r="H17" s="255">
        <v>6280</v>
      </c>
      <c r="I17" s="256" t="s">
        <v>652</v>
      </c>
      <c r="J17" s="22">
        <f>4031+3825+3867+3909+3951+3994+4037+4081+4125+4170+4215+4261+4307+4354+4401+4449+4497+4546+4595+4645+4696+4747+4798-409</f>
        <v>98092</v>
      </c>
      <c r="K17" s="22">
        <f>4850+4903+4956+5010+5064+5119+5175+5231+5288+5345+5403+5462</f>
        <v>61806</v>
      </c>
      <c r="L17" s="22">
        <f>5521+5581+5641+5703+5765+5827+5890+5954+6019+6084+6150+6217</f>
        <v>70352</v>
      </c>
      <c r="M17" s="22">
        <v>0</v>
      </c>
      <c r="N17" s="22"/>
      <c r="O17" s="22"/>
      <c r="P17" s="22"/>
      <c r="Q17" s="22"/>
      <c r="R17" s="257">
        <f t="shared" si="1"/>
        <v>132158</v>
      </c>
      <c r="S17" s="22">
        <f t="shared" si="2"/>
        <v>70352</v>
      </c>
      <c r="T17" s="22">
        <f t="shared" si="3"/>
        <v>0</v>
      </c>
      <c r="U17" s="22">
        <f t="shared" si="4"/>
        <v>0</v>
      </c>
      <c r="V17" s="22"/>
      <c r="W17" s="255">
        <f>2249+2455+2413+2371+2329+2286+2243+2199+2155+2110+2065+2019+1973+1926+1879+1831+1783+1734+1685+1635+1584+1533+1482</f>
        <v>45939</v>
      </c>
      <c r="X17" s="255">
        <f>1430+1377+1324+1270+1216+1161+1105+1049+992+935+877+818</f>
        <v>13554</v>
      </c>
      <c r="Y17" s="255">
        <f>759+699+639+577+515+453+390+326+261+196+130+63</f>
        <v>5008</v>
      </c>
      <c r="Z17" s="255"/>
      <c r="AA17" s="255"/>
      <c r="AB17" s="255"/>
      <c r="AC17" s="255"/>
      <c r="AD17" s="255"/>
    </row>
    <row r="18" spans="1:33">
      <c r="A18" s="22">
        <f t="shared" si="5"/>
        <v>13</v>
      </c>
      <c r="B18" s="255">
        <v>679250</v>
      </c>
      <c r="C18" s="256" t="s">
        <v>644</v>
      </c>
      <c r="D18" s="255" t="s">
        <v>651</v>
      </c>
      <c r="E18" s="256">
        <v>47</v>
      </c>
      <c r="F18" s="256">
        <v>12</v>
      </c>
      <c r="G18" s="256">
        <f t="shared" si="0"/>
        <v>35</v>
      </c>
      <c r="H18" s="255">
        <v>17857</v>
      </c>
      <c r="I18" s="256" t="s">
        <v>649</v>
      </c>
      <c r="J18" s="22">
        <f>11624+11731+11839+11947+12057+12167+12279+12392+12506+12620+12736+12853</f>
        <v>146751</v>
      </c>
      <c r="K18" s="22">
        <f>12971+13090+13210+13331+13454+13577+13702+13827+13954+14082+14211+14342</f>
        <v>163751</v>
      </c>
      <c r="L18" s="22">
        <f>14473+14606+14740+14875+15012+15150+15289+15429+15571+15713+15858+16003</f>
        <v>182719</v>
      </c>
      <c r="M18" s="22">
        <f>16150+16298+16448+16599+16751+16905+17060+17216+17374+17534+17694</f>
        <v>186029</v>
      </c>
      <c r="N18" s="22"/>
      <c r="O18" s="22"/>
      <c r="P18" s="22"/>
      <c r="Q18" s="22"/>
      <c r="R18" s="257">
        <f t="shared" si="1"/>
        <v>532499</v>
      </c>
      <c r="S18" s="22">
        <f t="shared" si="2"/>
        <v>368748</v>
      </c>
      <c r="T18" s="22">
        <f t="shared" si="3"/>
        <v>186029</v>
      </c>
      <c r="U18" s="22">
        <f t="shared" si="4"/>
        <v>0</v>
      </c>
      <c r="V18" s="22"/>
      <c r="W18" s="255">
        <f>6233+6126+6018+5910+5800+5690+5578+5465+5351+5237+5121+5004</f>
        <v>67533</v>
      </c>
      <c r="X18" s="255">
        <f>4886+4767+4647+4526+4403+4280+4155+4030+3903+3775+3646+3515</f>
        <v>50533</v>
      </c>
      <c r="Y18" s="255">
        <f>3384+3251+3117+2982+2845+2707+2568+2428+2286+2144+1999+1854</f>
        <v>31565</v>
      </c>
      <c r="Z18" s="255">
        <f>1707+1559+1409+1258+1106+952+797+641+483+323+163</f>
        <v>10398</v>
      </c>
      <c r="AA18" s="255"/>
      <c r="AB18" s="255"/>
      <c r="AC18" s="255"/>
      <c r="AD18" s="255"/>
    </row>
    <row r="19" spans="1:33">
      <c r="A19" s="22">
        <f t="shared" si="5"/>
        <v>14</v>
      </c>
      <c r="B19" s="255">
        <v>679250</v>
      </c>
      <c r="C19" s="256" t="s">
        <v>644</v>
      </c>
      <c r="D19" s="255" t="s">
        <v>650</v>
      </c>
      <c r="E19" s="256">
        <v>47</v>
      </c>
      <c r="F19" s="256">
        <v>12</v>
      </c>
      <c r="G19" s="256">
        <f t="shared" si="0"/>
        <v>35</v>
      </c>
      <c r="H19" s="255">
        <v>17857</v>
      </c>
      <c r="I19" s="256" t="s">
        <v>649</v>
      </c>
      <c r="J19" s="22">
        <f>11624+11731+11839+11947+12057+12167+12279+12392+12506+12620+12736+12853</f>
        <v>146751</v>
      </c>
      <c r="K19" s="22">
        <f>12971+13090+13210+13331+13454+13577+13702+13827+13954+14082+14211+14342</f>
        <v>163751</v>
      </c>
      <c r="L19" s="22">
        <f>14473+14606+14740+14875+15012+15150+15289+15429+15571+15713+15858+16003</f>
        <v>182719</v>
      </c>
      <c r="M19" s="22">
        <f>16150+16298+16448+16599+16751+16905+17060+17216+17374+17534+17694</f>
        <v>186029</v>
      </c>
      <c r="N19" s="22"/>
      <c r="O19" s="22"/>
      <c r="P19" s="22"/>
      <c r="Q19" s="22"/>
      <c r="R19" s="257">
        <f t="shared" si="1"/>
        <v>532499</v>
      </c>
      <c r="S19" s="22">
        <f t="shared" si="2"/>
        <v>368748</v>
      </c>
      <c r="T19" s="22">
        <f t="shared" si="3"/>
        <v>186029</v>
      </c>
      <c r="U19" s="22">
        <f t="shared" si="4"/>
        <v>0</v>
      </c>
      <c r="V19" s="22"/>
      <c r="W19" s="255">
        <f>6233+6126+6018+5910+5800+5690+5578+5465+5351+5237+5121+5004</f>
        <v>67533</v>
      </c>
      <c r="X19" s="255">
        <f>4886+4767+4647+4526+4403+4280+4155+4030+3903+3775+3646+3515</f>
        <v>50533</v>
      </c>
      <c r="Y19" s="255">
        <f>3384+3251+3117+2982+2845+2707+2568+2428+2286+2144+1999+1854</f>
        <v>31565</v>
      </c>
      <c r="Z19" s="255">
        <f>1707+1559+1409+1258+1106+952+797+641+483+323+163</f>
        <v>10398</v>
      </c>
      <c r="AA19" s="255"/>
      <c r="AB19" s="255"/>
      <c r="AC19" s="255"/>
      <c r="AD19" s="255"/>
    </row>
    <row r="20" spans="1:33">
      <c r="A20" s="22">
        <f t="shared" si="5"/>
        <v>15</v>
      </c>
      <c r="B20" s="259">
        <v>931500</v>
      </c>
      <c r="C20" s="256" t="s">
        <v>644</v>
      </c>
      <c r="D20" s="255" t="s">
        <v>648</v>
      </c>
      <c r="E20" s="256">
        <v>47</v>
      </c>
      <c r="F20" s="256">
        <v>11</v>
      </c>
      <c r="G20" s="256">
        <f t="shared" si="0"/>
        <v>36</v>
      </c>
      <c r="H20" s="259">
        <v>24490</v>
      </c>
      <c r="I20" s="258">
        <v>41187</v>
      </c>
      <c r="J20" s="22">
        <f>15940+16086+16234+16383+16533+16685+16838+16993+17149+17306+17465</f>
        <v>183612</v>
      </c>
      <c r="K20" s="22">
        <f>17625+17787+17950+18115+18281+18449+18619+18789+18962+19136+19312+19489</f>
        <v>222514</v>
      </c>
      <c r="L20" s="22">
        <f>19668+19848+20030+20214+20400+20587+20776+20967+21159+21353+21549+21747</f>
        <v>248298</v>
      </c>
      <c r="M20" s="22">
        <f>21947+22148+22352+22557+22764+22973+23184+23396+23611+23828+24047+24269</f>
        <v>277076</v>
      </c>
      <c r="N20" s="256"/>
      <c r="O20" s="256"/>
      <c r="P20" s="256"/>
      <c r="Q20" s="256"/>
      <c r="R20" s="257">
        <f t="shared" si="1"/>
        <v>747888</v>
      </c>
      <c r="S20" s="22">
        <f t="shared" si="2"/>
        <v>525374</v>
      </c>
      <c r="T20" s="22">
        <f t="shared" si="3"/>
        <v>277076</v>
      </c>
      <c r="U20" s="22">
        <f t="shared" si="4"/>
        <v>0</v>
      </c>
      <c r="V20" s="22"/>
      <c r="W20" s="256">
        <f>8550+8404+8256+8107+7957+7805+7652+7497+7341+7184+7025</f>
        <v>85778</v>
      </c>
      <c r="X20" s="256">
        <f>6865+6703+6540+6375+6209+6041+5871+5701+5528+5354+5178+5001</f>
        <v>71366</v>
      </c>
      <c r="Y20" s="256">
        <f>4822+4642+4460+4276+4090+3903+3714+3523+3331+3137+2941+2743</f>
        <v>45582</v>
      </c>
      <c r="Z20" s="256">
        <f>2543+2342+2138+1933+1726+1517+1306+1094+879+662+443+221</f>
        <v>16804</v>
      </c>
      <c r="AA20" s="255"/>
      <c r="AB20" s="255"/>
      <c r="AC20" s="255"/>
      <c r="AD20" s="255"/>
    </row>
    <row r="21" spans="1:33">
      <c r="A21" s="22">
        <f t="shared" si="5"/>
        <v>16</v>
      </c>
      <c r="B21" s="259">
        <v>931500</v>
      </c>
      <c r="C21" s="256" t="s">
        <v>644</v>
      </c>
      <c r="D21" s="255" t="s">
        <v>647</v>
      </c>
      <c r="E21" s="256">
        <v>47</v>
      </c>
      <c r="F21" s="256">
        <v>10</v>
      </c>
      <c r="G21" s="256">
        <f t="shared" si="0"/>
        <v>37</v>
      </c>
      <c r="H21" s="259">
        <v>24490</v>
      </c>
      <c r="I21" s="258">
        <v>40914</v>
      </c>
      <c r="J21" s="22">
        <f>15940+16086+16234+16383+16533+16685+16838+16993+17149+17306</f>
        <v>166147</v>
      </c>
      <c r="K21" s="22">
        <f>17465+17625+17787+17950+18115+18281+18449+18619+18789+18962+19136+19312</f>
        <v>220490</v>
      </c>
      <c r="L21" s="22">
        <f>19489+19668+19848+20030+20214+20400+20587+20776+20967+21159+21353+21549</f>
        <v>246040</v>
      </c>
      <c r="M21" s="22">
        <f>21747+21947+22148+22352+22557+22764+22973+23184+23396+23611+23828+24047</f>
        <v>274554</v>
      </c>
      <c r="N21" s="256">
        <v>24269</v>
      </c>
      <c r="O21" s="256"/>
      <c r="P21" s="256"/>
      <c r="Q21" s="256"/>
      <c r="R21" s="257">
        <f t="shared" si="1"/>
        <v>765353</v>
      </c>
      <c r="S21" s="22">
        <f t="shared" si="2"/>
        <v>544863</v>
      </c>
      <c r="T21" s="22">
        <f t="shared" si="3"/>
        <v>298823</v>
      </c>
      <c r="U21" s="22">
        <f t="shared" si="4"/>
        <v>24269</v>
      </c>
      <c r="V21" s="22"/>
      <c r="W21" s="256">
        <f>8550+8404+8256+8107+7957+7805+7652+7497+7341+7184</f>
        <v>78753</v>
      </c>
      <c r="X21" s="256">
        <f>7025+6865+6703+6540+6375+6209+6041+5871+5701+5528+5354+5178</f>
        <v>73390</v>
      </c>
      <c r="Y21" s="256">
        <f>5001+4822+4642+4460+4276+4090+3903+3714+3523+3331+3137+2941</f>
        <v>47840</v>
      </c>
      <c r="Z21" s="256">
        <f>2743+2543+2342+2138+1933+1726+1517+1306+1094+879+662+443</f>
        <v>19326</v>
      </c>
      <c r="AA21" s="255">
        <v>221</v>
      </c>
      <c r="AB21" s="255">
        <v>0</v>
      </c>
      <c r="AC21" s="255">
        <v>0</v>
      </c>
      <c r="AD21" s="255">
        <v>0</v>
      </c>
    </row>
    <row r="22" spans="1:33">
      <c r="A22" s="22">
        <f t="shared" si="5"/>
        <v>17</v>
      </c>
      <c r="B22" s="259">
        <v>970000</v>
      </c>
      <c r="C22" s="256" t="s">
        <v>644</v>
      </c>
      <c r="D22" s="255" t="s">
        <v>646</v>
      </c>
      <c r="E22" s="256">
        <v>47</v>
      </c>
      <c r="F22" s="256">
        <v>0</v>
      </c>
      <c r="G22" s="256">
        <f t="shared" si="0"/>
        <v>47</v>
      </c>
      <c r="H22" s="259">
        <v>25145</v>
      </c>
      <c r="I22" s="258" t="s">
        <v>642</v>
      </c>
      <c r="J22" s="22">
        <v>0</v>
      </c>
      <c r="K22" s="22">
        <f>16858+17002+17148+17294+17442+17591+17741+17893+18045+18200+18355+18512</f>
        <v>212081</v>
      </c>
      <c r="L22" s="22">
        <f>18670+18830+18990+19153+19316+19481+19648+19816+19985+20156+20328+20501</f>
        <v>234874</v>
      </c>
      <c r="M22" s="22">
        <f>20677+20853+21031+21211+21392+21575+21759+21945+22133+22322+22512+22705</f>
        <v>260115</v>
      </c>
      <c r="N22" s="256">
        <f>22899+23094+23292+23491+23691+23894+24098+24304+24511+24721+24935</f>
        <v>262930</v>
      </c>
      <c r="O22" s="256"/>
      <c r="P22" s="256"/>
      <c r="Q22" s="256"/>
      <c r="R22" s="257">
        <f t="shared" si="1"/>
        <v>970000</v>
      </c>
      <c r="S22" s="22">
        <f t="shared" si="2"/>
        <v>757919</v>
      </c>
      <c r="T22" s="22">
        <f t="shared" si="3"/>
        <v>523045</v>
      </c>
      <c r="U22" s="22">
        <f t="shared" si="4"/>
        <v>262930</v>
      </c>
      <c r="V22" s="22"/>
      <c r="W22" s="256"/>
      <c r="X22" s="256">
        <f>8287+8143+7997+7851+7703+7554+7404+7252+7100+6945+6790+6633</f>
        <v>89659</v>
      </c>
      <c r="Y22" s="256">
        <f>6475+6315+6155+5992+5829+5664+5497+5329+5160+4989+4817+4644</f>
        <v>66866</v>
      </c>
      <c r="Z22" s="256">
        <f>4468+4292+4114+3934+3753+3570+3386+3200+3012+2823+2633+2440</f>
        <v>41625</v>
      </c>
      <c r="AA22" s="255">
        <f>2246+2051+1853+1654+1454+1251+1047+841+634+424+210</f>
        <v>13665</v>
      </c>
      <c r="AB22" s="255">
        <v>0</v>
      </c>
      <c r="AC22" s="255">
        <v>0</v>
      </c>
      <c r="AD22" s="255">
        <v>0</v>
      </c>
      <c r="AG22" s="37"/>
    </row>
    <row r="23" spans="1:33">
      <c r="A23" s="22">
        <f t="shared" si="5"/>
        <v>18</v>
      </c>
      <c r="B23" s="259">
        <v>970000</v>
      </c>
      <c r="C23" s="256" t="s">
        <v>644</v>
      </c>
      <c r="D23" s="255" t="s">
        <v>645</v>
      </c>
      <c r="E23" s="256">
        <v>47</v>
      </c>
      <c r="F23" s="256">
        <v>0</v>
      </c>
      <c r="G23" s="256">
        <f t="shared" si="0"/>
        <v>47</v>
      </c>
      <c r="H23" s="259">
        <v>25145</v>
      </c>
      <c r="I23" s="258" t="s">
        <v>642</v>
      </c>
      <c r="J23" s="22">
        <v>0</v>
      </c>
      <c r="K23" s="22">
        <f>16858+17002+17148+17294+17442+17591+17741+17893+18045+18200+18355+18512</f>
        <v>212081</v>
      </c>
      <c r="L23" s="22">
        <f>18670+18830+18990+19153+19316+19481+19648+19816+19985+20156+20328+20501</f>
        <v>234874</v>
      </c>
      <c r="M23" s="22">
        <f>20677+20853+21031+21211+21392+21575+21759+21945+22133+22322+22512+22705</f>
        <v>260115</v>
      </c>
      <c r="N23" s="256">
        <f>22899+23094+23292+23491+23691+23894+24098+24304+24511+24721+24935</f>
        <v>262930</v>
      </c>
      <c r="O23" s="256"/>
      <c r="P23" s="256"/>
      <c r="Q23" s="256"/>
      <c r="R23" s="257">
        <f t="shared" si="1"/>
        <v>970000</v>
      </c>
      <c r="S23" s="22">
        <f t="shared" si="2"/>
        <v>757919</v>
      </c>
      <c r="T23" s="22">
        <f t="shared" si="3"/>
        <v>523045</v>
      </c>
      <c r="U23" s="22">
        <f t="shared" si="4"/>
        <v>262930</v>
      </c>
      <c r="V23" s="22"/>
      <c r="W23" s="256"/>
      <c r="X23" s="256">
        <f>8287+8143+7997+7851+7703+7554+7404+7252+7100+6945+6790+6633</f>
        <v>89659</v>
      </c>
      <c r="Y23" s="256">
        <f>6475+6315+6155+5992+5829+5664+5497+5329+5160+4989+4817+4644</f>
        <v>66866</v>
      </c>
      <c r="Z23" s="256">
        <f>4468+4292+4114+3934+3753+3570+3386+3200+3012+2823+2633+2440</f>
        <v>41625</v>
      </c>
      <c r="AA23" s="255">
        <f>2246+2051+1853+1654+1454+1251+1047+841+634+424+210</f>
        <v>13665</v>
      </c>
      <c r="AB23" s="255">
        <v>0</v>
      </c>
      <c r="AC23" s="255">
        <v>0</v>
      </c>
      <c r="AD23" s="255">
        <v>0</v>
      </c>
      <c r="AG23" s="37"/>
    </row>
    <row r="24" spans="1:33">
      <c r="A24" s="22">
        <f t="shared" si="5"/>
        <v>19</v>
      </c>
      <c r="B24" s="259">
        <v>970000</v>
      </c>
      <c r="C24" s="256" t="s">
        <v>644</v>
      </c>
      <c r="D24" s="255" t="s">
        <v>643</v>
      </c>
      <c r="E24" s="256">
        <v>47</v>
      </c>
      <c r="F24" s="256">
        <v>0</v>
      </c>
      <c r="G24" s="256">
        <f t="shared" si="0"/>
        <v>47</v>
      </c>
      <c r="H24" s="259">
        <v>25145</v>
      </c>
      <c r="I24" s="258" t="s">
        <v>642</v>
      </c>
      <c r="J24" s="22">
        <v>0</v>
      </c>
      <c r="K24" s="22">
        <f>16858+17002+17148+17294+17442+17591+17741+17893+18045+18200+18355+18512</f>
        <v>212081</v>
      </c>
      <c r="L24" s="22">
        <f>18670+18830+18990+19153+19316+19481+19648+19816+19985+20156+20328+20501</f>
        <v>234874</v>
      </c>
      <c r="M24" s="22">
        <f>20677+20853+21031+21211+21392+21575+21759+21945+22133+22322+22512+22705</f>
        <v>260115</v>
      </c>
      <c r="N24" s="256">
        <f>22899+23094+23292+23491+23691+23894+24098+24304+24511+24721+24935</f>
        <v>262930</v>
      </c>
      <c r="O24" s="256"/>
      <c r="P24" s="256"/>
      <c r="Q24" s="256"/>
      <c r="R24" s="257">
        <f t="shared" si="1"/>
        <v>970000</v>
      </c>
      <c r="S24" s="22">
        <f t="shared" si="2"/>
        <v>757919</v>
      </c>
      <c r="T24" s="22">
        <f t="shared" si="3"/>
        <v>523045</v>
      </c>
      <c r="U24" s="22">
        <f t="shared" si="4"/>
        <v>262930</v>
      </c>
      <c r="V24" s="22"/>
      <c r="W24" s="256"/>
      <c r="X24" s="256">
        <f>8287+8143+7997+7851+7703+7554+7404+7252+7100+6945+6790+6633</f>
        <v>89659</v>
      </c>
      <c r="Y24" s="256">
        <f>6475+6315+6155+5992+5829+5664+5497+5329+5160+4989+4817+4644</f>
        <v>66866</v>
      </c>
      <c r="Z24" s="256">
        <f>4468+4292+4114+3934+3753+3570+3386+3200+3012+2823+2633+2440</f>
        <v>41625</v>
      </c>
      <c r="AA24" s="255">
        <f>2246+2051+1853+1654+1454+1251+1047+841+634+424+210</f>
        <v>13665</v>
      </c>
      <c r="AB24" s="255">
        <v>0</v>
      </c>
      <c r="AC24" s="255">
        <v>0</v>
      </c>
      <c r="AD24" s="255">
        <v>0</v>
      </c>
      <c r="AG24" s="37"/>
    </row>
    <row r="25" spans="1:33">
      <c r="A25" s="88"/>
      <c r="B25" s="253"/>
      <c r="C25" s="254"/>
      <c r="D25" s="253"/>
      <c r="E25" s="254"/>
      <c r="F25" s="254"/>
      <c r="G25" s="254"/>
      <c r="H25" s="253"/>
      <c r="I25" s="254"/>
      <c r="J25" s="253">
        <f>SUM(J6:J24)</f>
        <v>2076444</v>
      </c>
      <c r="K25" s="253">
        <f>SUM(K6:K24)</f>
        <v>2591676</v>
      </c>
      <c r="L25" s="253">
        <f>SUM(L6:L24)</f>
        <v>2848921</v>
      </c>
      <c r="M25" s="253">
        <f>SUM(M6:M24)</f>
        <v>1749921</v>
      </c>
      <c r="N25" s="253">
        <f>SUM(N6:N24)</f>
        <v>813059</v>
      </c>
      <c r="O25" s="253">
        <v>0</v>
      </c>
      <c r="P25" s="253">
        <v>0</v>
      </c>
      <c r="Q25" s="253">
        <v>0</v>
      </c>
      <c r="R25" s="253">
        <f>SUM(R6:R24)</f>
        <v>8003556</v>
      </c>
      <c r="S25" s="253">
        <f>SUM(S6:S24)</f>
        <v>5411880</v>
      </c>
      <c r="T25" s="253">
        <f>SUM(T6:T24)</f>
        <v>2562959</v>
      </c>
      <c r="U25" s="253">
        <f>SUM(U6:U24)</f>
        <v>813038</v>
      </c>
      <c r="V25" s="88"/>
      <c r="W25" s="253">
        <f t="shared" ref="W25:AD25" si="6">SUM(W6:W24)</f>
        <v>901552</v>
      </c>
      <c r="X25" s="253">
        <f t="shared" si="6"/>
        <v>765220</v>
      </c>
      <c r="Y25" s="253">
        <f t="shared" si="6"/>
        <v>449076</v>
      </c>
      <c r="Z25" s="253">
        <f t="shared" si="6"/>
        <v>182233</v>
      </c>
      <c r="AA25" s="253">
        <f t="shared" si="6"/>
        <v>41216</v>
      </c>
      <c r="AB25" s="253">
        <f t="shared" si="6"/>
        <v>0</v>
      </c>
      <c r="AC25" s="253">
        <f t="shared" si="6"/>
        <v>0</v>
      </c>
      <c r="AD25" s="253">
        <f t="shared" si="6"/>
        <v>0</v>
      </c>
    </row>
    <row r="26" spans="1:33">
      <c r="A26" s="39"/>
      <c r="R26" s="37"/>
      <c r="S26" s="37"/>
      <c r="T26" s="37"/>
      <c r="U26" s="37"/>
    </row>
    <row r="27" spans="1:33">
      <c r="A27" s="39"/>
      <c r="D27" s="37"/>
      <c r="E27" s="250"/>
      <c r="F27" s="37"/>
      <c r="G27" s="37"/>
      <c r="R27" s="251"/>
    </row>
    <row r="28" spans="1:33">
      <c r="A28" s="39"/>
      <c r="D28" s="37"/>
      <c r="E28" s="250"/>
      <c r="F28" s="37"/>
      <c r="G28" s="252"/>
      <c r="H28" s="37"/>
    </row>
    <row r="29" spans="1:33">
      <c r="A29" s="39"/>
      <c r="C29" s="38"/>
      <c r="D29" s="37"/>
      <c r="E29" s="250"/>
      <c r="F29" s="37"/>
      <c r="G29" s="37"/>
      <c r="H29" s="37"/>
      <c r="L29" s="37"/>
      <c r="M29" s="37"/>
      <c r="N29" s="37"/>
      <c r="O29" s="37"/>
      <c r="P29" s="37"/>
      <c r="Q29" s="37"/>
      <c r="R29" s="251"/>
      <c r="S29" s="37"/>
    </row>
    <row r="30" spans="1:33">
      <c r="A30" s="39"/>
      <c r="C30" s="38"/>
      <c r="D30" s="37"/>
      <c r="E30" s="250"/>
      <c r="F30" s="37"/>
      <c r="G30" s="37"/>
      <c r="H30" s="37"/>
      <c r="L30" s="37"/>
      <c r="M30" s="37"/>
      <c r="N30" s="37"/>
      <c r="O30" s="37"/>
      <c r="P30" s="37"/>
      <c r="Q30" s="37"/>
      <c r="R30" s="251"/>
      <c r="S30" s="37"/>
    </row>
    <row r="31" spans="1:33">
      <c r="A31" s="39"/>
      <c r="C31" s="38"/>
      <c r="D31" s="37"/>
      <c r="E31" s="250"/>
      <c r="F31" s="37"/>
      <c r="G31" s="37"/>
      <c r="H31" s="37"/>
      <c r="L31" s="37"/>
      <c r="M31" s="37"/>
      <c r="N31" s="37"/>
      <c r="O31" s="37"/>
      <c r="P31" s="37"/>
      <c r="Q31" s="37"/>
      <c r="R31" s="251"/>
      <c r="S31" s="37"/>
    </row>
    <row r="32" spans="1:33">
      <c r="A32" s="39"/>
      <c r="C32" s="38"/>
      <c r="D32" s="37"/>
      <c r="E32" s="250"/>
      <c r="F32" s="37"/>
      <c r="G32" s="37"/>
      <c r="H32" s="37"/>
      <c r="L32" s="37"/>
      <c r="M32" s="37"/>
      <c r="N32" s="37"/>
      <c r="O32" s="37"/>
      <c r="P32" s="37"/>
      <c r="Q32" s="37"/>
      <c r="R32" s="251"/>
      <c r="S32" s="37"/>
    </row>
    <row r="33" spans="1:19">
      <c r="A33" s="39"/>
      <c r="C33" s="38"/>
      <c r="D33" s="37"/>
      <c r="E33" s="250"/>
      <c r="F33" s="37"/>
      <c r="G33" s="37"/>
      <c r="H33" s="37"/>
      <c r="L33" s="37"/>
      <c r="M33" s="37"/>
      <c r="N33" s="37"/>
      <c r="O33" s="37"/>
      <c r="P33" s="37"/>
      <c r="Q33" s="37"/>
      <c r="R33" s="251"/>
      <c r="S33" s="37"/>
    </row>
    <row r="34" spans="1:19">
      <c r="C34" s="38"/>
      <c r="D34" s="37"/>
      <c r="E34" s="250"/>
      <c r="F34" s="37"/>
      <c r="G34" s="37"/>
      <c r="H34" s="37"/>
      <c r="L34" s="37"/>
      <c r="M34" s="37"/>
      <c r="N34" s="37"/>
      <c r="O34" s="37"/>
      <c r="P34" s="37"/>
      <c r="Q34" s="37"/>
      <c r="R34" s="251"/>
      <c r="S34" s="37"/>
    </row>
    <row r="35" spans="1:19">
      <c r="C35" s="38"/>
      <c r="D35" s="37"/>
      <c r="E35" s="250"/>
      <c r="F35" s="37"/>
      <c r="G35" s="37"/>
      <c r="H35" s="37"/>
      <c r="L35" s="37"/>
      <c r="M35" s="37"/>
      <c r="N35" s="37"/>
      <c r="O35" s="37"/>
      <c r="P35" s="37"/>
      <c r="Q35" s="37"/>
      <c r="R35" s="251"/>
      <c r="S35" s="37"/>
    </row>
    <row r="36" spans="1:19">
      <c r="C36" s="38"/>
      <c r="D36" s="37"/>
      <c r="E36" s="250"/>
      <c r="F36" s="37"/>
      <c r="G36" s="37"/>
      <c r="H36" s="37"/>
      <c r="L36" s="37"/>
      <c r="M36" s="37"/>
      <c r="N36" s="37"/>
      <c r="O36" s="37"/>
      <c r="P36" s="37"/>
      <c r="Q36" s="37"/>
      <c r="R36" s="251"/>
      <c r="S36" s="37"/>
    </row>
    <row r="37" spans="1:19">
      <c r="C37" s="38"/>
      <c r="D37" s="37"/>
      <c r="E37" s="250"/>
      <c r="F37" s="37"/>
      <c r="G37" s="37"/>
      <c r="H37" s="37"/>
      <c r="L37" s="37"/>
      <c r="M37" s="37"/>
      <c r="N37" s="37"/>
      <c r="O37" s="37"/>
      <c r="P37" s="37"/>
      <c r="Q37" s="37"/>
      <c r="R37" s="251"/>
      <c r="S37" s="37"/>
    </row>
    <row r="38" spans="1:19">
      <c r="C38" s="38"/>
      <c r="D38" s="37"/>
      <c r="E38" s="250"/>
      <c r="F38" s="37"/>
      <c r="G38" s="37"/>
      <c r="H38" s="37"/>
      <c r="L38" s="37"/>
      <c r="M38" s="37"/>
      <c r="N38" s="37"/>
      <c r="O38" s="37"/>
      <c r="P38" s="37"/>
      <c r="Q38" s="37"/>
      <c r="R38" s="251"/>
      <c r="S38" s="37"/>
    </row>
    <row r="39" spans="1:19">
      <c r="C39" s="38"/>
      <c r="D39" s="37"/>
      <c r="E39" s="250"/>
      <c r="F39" s="37"/>
      <c r="G39" s="37"/>
      <c r="H39" s="37"/>
      <c r="L39" s="37"/>
      <c r="M39" s="37"/>
      <c r="N39" s="37"/>
      <c r="O39" s="37"/>
      <c r="P39" s="37"/>
      <c r="Q39" s="37"/>
      <c r="R39" s="251"/>
      <c r="S39" s="37"/>
    </row>
    <row r="40" spans="1:19">
      <c r="C40" s="38"/>
      <c r="D40" s="37"/>
      <c r="E40" s="250"/>
      <c r="F40" s="37"/>
      <c r="G40" s="37"/>
      <c r="H40" s="37"/>
      <c r="L40" s="37"/>
      <c r="M40" s="37"/>
      <c r="N40" s="37"/>
      <c r="O40" s="37"/>
      <c r="P40" s="37"/>
      <c r="Q40" s="37"/>
      <c r="R40" s="251"/>
      <c r="S40" s="37"/>
    </row>
    <row r="41" spans="1:19">
      <c r="C41" s="38"/>
      <c r="D41" s="37"/>
      <c r="E41" s="250"/>
      <c r="F41" s="37"/>
      <c r="G41" s="37"/>
      <c r="H41" s="37"/>
      <c r="L41" s="37"/>
      <c r="M41" s="37"/>
      <c r="N41" s="37"/>
      <c r="O41" s="37"/>
      <c r="P41" s="37"/>
      <c r="Q41" s="37"/>
      <c r="R41" s="251"/>
      <c r="S41" s="37"/>
    </row>
    <row r="42" spans="1:19">
      <c r="C42" s="38"/>
      <c r="D42" s="37"/>
      <c r="E42" s="250"/>
      <c r="F42" s="37"/>
      <c r="G42" s="37"/>
      <c r="H42" s="37"/>
      <c r="L42" s="37"/>
      <c r="M42" s="37"/>
      <c r="N42" s="37"/>
      <c r="O42" s="37"/>
      <c r="P42" s="37"/>
      <c r="Q42" s="37"/>
      <c r="R42" s="251"/>
      <c r="S42" s="37"/>
    </row>
    <row r="43" spans="1:19">
      <c r="C43" s="38"/>
      <c r="D43" s="37"/>
      <c r="E43" s="250"/>
      <c r="F43" s="37"/>
      <c r="G43" s="37"/>
      <c r="H43" s="37"/>
      <c r="L43" s="37"/>
      <c r="M43" s="37"/>
      <c r="N43" s="37"/>
      <c r="O43" s="37"/>
      <c r="P43" s="37"/>
      <c r="Q43" s="37"/>
      <c r="R43" s="251"/>
      <c r="S43" s="37"/>
    </row>
    <row r="44" spans="1:19">
      <c r="C44" s="38"/>
      <c r="D44" s="37"/>
      <c r="E44" s="250"/>
      <c r="F44" s="37"/>
      <c r="G44" s="37"/>
      <c r="H44" s="37"/>
      <c r="L44" s="37"/>
      <c r="M44" s="37"/>
      <c r="N44" s="37"/>
      <c r="O44" s="37"/>
      <c r="P44" s="37"/>
      <c r="Q44" s="37"/>
      <c r="R44" s="251"/>
      <c r="S44" s="37"/>
    </row>
    <row r="45" spans="1:19">
      <c r="C45" s="38"/>
      <c r="D45" s="37"/>
      <c r="E45" s="250"/>
      <c r="F45" s="37"/>
      <c r="G45" s="37"/>
      <c r="H45" s="37"/>
      <c r="L45" s="37"/>
      <c r="M45" s="37"/>
      <c r="N45" s="37"/>
      <c r="O45" s="37"/>
      <c r="P45" s="37"/>
      <c r="Q45" s="37"/>
      <c r="R45" s="251"/>
      <c r="S45" s="37"/>
    </row>
    <row r="46" spans="1:19">
      <c r="C46" s="38"/>
      <c r="D46" s="37"/>
      <c r="E46" s="250"/>
      <c r="F46" s="37"/>
      <c r="G46" s="37"/>
      <c r="H46" s="37"/>
      <c r="L46" s="37"/>
      <c r="M46" s="37"/>
      <c r="N46" s="37"/>
      <c r="O46" s="37"/>
      <c r="P46" s="37"/>
      <c r="Q46" s="37"/>
      <c r="R46" s="251"/>
      <c r="S46" s="37"/>
    </row>
    <row r="47" spans="1:19">
      <c r="C47" s="38"/>
      <c r="D47" s="37"/>
      <c r="E47" s="250"/>
      <c r="F47" s="37"/>
      <c r="G47" s="37"/>
      <c r="H47" s="37"/>
      <c r="L47" s="37"/>
      <c r="M47" s="37"/>
      <c r="N47" s="37"/>
      <c r="O47" s="37"/>
      <c r="P47" s="37"/>
      <c r="Q47" s="37"/>
      <c r="R47" s="251"/>
      <c r="S47" s="37"/>
    </row>
    <row r="48" spans="1:19">
      <c r="C48" s="38"/>
      <c r="D48" s="37"/>
      <c r="E48" s="250"/>
      <c r="F48" s="37"/>
      <c r="G48" s="37"/>
      <c r="H48" s="37"/>
      <c r="L48" s="37"/>
      <c r="M48" s="37"/>
      <c r="N48" s="37"/>
      <c r="O48" s="37"/>
      <c r="P48" s="37"/>
      <c r="Q48" s="37"/>
      <c r="R48" s="251"/>
      <c r="S48" s="37"/>
    </row>
    <row r="49" spans="3:19">
      <c r="C49" s="38"/>
      <c r="D49" s="37"/>
      <c r="E49" s="250"/>
      <c r="F49" s="37"/>
      <c r="G49" s="37"/>
      <c r="H49" s="37"/>
      <c r="L49" s="37"/>
      <c r="M49" s="37"/>
      <c r="N49" s="37"/>
      <c r="O49" s="37"/>
      <c r="P49" s="37"/>
      <c r="Q49" s="37"/>
      <c r="R49" s="251"/>
      <c r="S49" s="37"/>
    </row>
    <row r="50" spans="3:19">
      <c r="C50" s="38"/>
      <c r="D50" s="37"/>
      <c r="E50" s="250"/>
      <c r="F50" s="37"/>
      <c r="G50" s="37"/>
      <c r="H50" s="37"/>
      <c r="L50" s="37"/>
      <c r="M50" s="37"/>
      <c r="N50" s="37"/>
      <c r="O50" s="37"/>
      <c r="P50" s="37"/>
      <c r="Q50" s="37"/>
      <c r="R50" s="251"/>
      <c r="S50" s="37"/>
    </row>
    <row r="51" spans="3:19">
      <c r="C51" s="38"/>
      <c r="D51" s="37"/>
      <c r="E51" s="250"/>
      <c r="F51" s="37"/>
      <c r="G51" s="37"/>
      <c r="H51" s="37"/>
      <c r="L51" s="37"/>
      <c r="M51" s="37"/>
      <c r="N51" s="37"/>
      <c r="O51" s="37"/>
      <c r="P51" s="37"/>
      <c r="Q51" s="37"/>
      <c r="R51" s="251"/>
      <c r="S51" s="37"/>
    </row>
    <row r="52" spans="3:19">
      <c r="C52" s="38"/>
      <c r="D52" s="37"/>
      <c r="E52" s="250"/>
      <c r="F52" s="37"/>
      <c r="G52" s="37"/>
      <c r="H52" s="37"/>
      <c r="L52" s="37"/>
      <c r="M52" s="37"/>
      <c r="N52" s="37"/>
      <c r="O52" s="37"/>
      <c r="P52" s="37"/>
      <c r="Q52" s="37"/>
      <c r="R52" s="251"/>
      <c r="S52" s="37"/>
    </row>
    <row r="53" spans="3:19">
      <c r="C53" s="38"/>
      <c r="D53" s="37"/>
      <c r="E53" s="250"/>
      <c r="F53" s="37"/>
      <c r="G53" s="37"/>
      <c r="H53" s="37"/>
      <c r="L53" s="37"/>
      <c r="M53" s="37"/>
      <c r="N53" s="37"/>
      <c r="O53" s="37"/>
      <c r="P53" s="37"/>
      <c r="Q53" s="37"/>
      <c r="R53" s="251"/>
      <c r="S53" s="37"/>
    </row>
    <row r="54" spans="3:19">
      <c r="C54" s="38"/>
      <c r="D54" s="37"/>
      <c r="E54" s="250"/>
      <c r="F54" s="37"/>
      <c r="G54" s="37"/>
      <c r="H54" s="37"/>
      <c r="L54" s="37"/>
      <c r="M54" s="37"/>
      <c r="N54" s="37"/>
      <c r="O54" s="37"/>
      <c r="P54" s="37"/>
      <c r="Q54" s="37"/>
      <c r="R54" s="251"/>
      <c r="S54" s="37"/>
    </row>
    <row r="55" spans="3:19">
      <c r="C55" s="38"/>
      <c r="D55" s="37"/>
      <c r="E55" s="250"/>
      <c r="F55" s="37"/>
      <c r="G55" s="37"/>
      <c r="H55" s="37"/>
      <c r="L55" s="37"/>
      <c r="M55" s="37"/>
      <c r="N55" s="37"/>
      <c r="O55" s="37"/>
      <c r="P55" s="37"/>
      <c r="Q55" s="37"/>
      <c r="R55" s="251"/>
      <c r="S55" s="37"/>
    </row>
    <row r="56" spans="3:19">
      <c r="C56" s="38"/>
      <c r="D56" s="37"/>
      <c r="E56" s="250"/>
      <c r="F56" s="37"/>
      <c r="G56" s="37"/>
      <c r="H56" s="37"/>
      <c r="L56" s="37"/>
      <c r="M56" s="37"/>
      <c r="N56" s="37"/>
      <c r="O56" s="37"/>
      <c r="P56" s="37"/>
      <c r="Q56" s="37"/>
      <c r="R56" s="251"/>
      <c r="S56" s="37"/>
    </row>
    <row r="57" spans="3:19">
      <c r="C57" s="38"/>
      <c r="D57" s="37"/>
      <c r="E57" s="250"/>
      <c r="F57" s="37"/>
      <c r="G57" s="37"/>
      <c r="H57" s="37"/>
      <c r="L57" s="37"/>
      <c r="M57" s="37"/>
      <c r="N57" s="37"/>
      <c r="O57" s="37"/>
      <c r="P57" s="37"/>
      <c r="Q57" s="37"/>
      <c r="R57" s="251"/>
      <c r="S57" s="37"/>
    </row>
    <row r="58" spans="3:19">
      <c r="C58" s="38"/>
      <c r="D58" s="37"/>
      <c r="E58" s="250"/>
      <c r="F58" s="37"/>
      <c r="G58" s="37"/>
      <c r="H58" s="37"/>
      <c r="L58" s="37"/>
      <c r="M58" s="37"/>
      <c r="N58" s="37"/>
      <c r="O58" s="37"/>
      <c r="P58" s="37"/>
      <c r="Q58" s="37"/>
      <c r="R58" s="251"/>
      <c r="S58" s="37"/>
    </row>
    <row r="59" spans="3:19">
      <c r="C59" s="38"/>
      <c r="D59" s="37"/>
      <c r="E59" s="250"/>
      <c r="F59" s="37"/>
      <c r="G59" s="37"/>
      <c r="H59" s="37"/>
      <c r="L59" s="37"/>
      <c r="M59" s="37"/>
      <c r="N59" s="37"/>
      <c r="O59" s="37"/>
      <c r="P59" s="37"/>
      <c r="Q59" s="37"/>
      <c r="R59" s="251"/>
      <c r="S59" s="37"/>
    </row>
    <row r="60" spans="3:19">
      <c r="C60" s="38"/>
      <c r="D60" s="37"/>
      <c r="E60" s="250"/>
      <c r="F60" s="37"/>
      <c r="G60" s="37"/>
      <c r="H60" s="37"/>
      <c r="L60" s="37"/>
      <c r="M60" s="37"/>
      <c r="N60" s="37"/>
      <c r="O60" s="37"/>
      <c r="P60" s="37"/>
      <c r="Q60" s="37"/>
      <c r="R60" s="251"/>
      <c r="S60" s="37"/>
    </row>
    <row r="61" spans="3:19">
      <c r="C61" s="38"/>
      <c r="D61" s="37"/>
      <c r="E61" s="250"/>
      <c r="F61" s="37"/>
      <c r="G61" s="37"/>
      <c r="H61" s="37"/>
      <c r="L61" s="37"/>
      <c r="M61" s="37"/>
      <c r="N61" s="37"/>
      <c r="O61" s="37"/>
      <c r="P61" s="37"/>
      <c r="Q61" s="37"/>
      <c r="R61" s="251"/>
      <c r="S61" s="37"/>
    </row>
    <row r="62" spans="3:19">
      <c r="C62" s="38"/>
      <c r="D62" s="37"/>
      <c r="E62" s="250"/>
      <c r="F62" s="37"/>
      <c r="G62" s="37"/>
      <c r="H62" s="37"/>
      <c r="L62" s="37"/>
      <c r="M62" s="37"/>
      <c r="N62" s="37"/>
      <c r="O62" s="37"/>
      <c r="P62" s="37"/>
      <c r="Q62" s="37"/>
      <c r="R62" s="251"/>
      <c r="S62" s="37"/>
    </row>
    <row r="63" spans="3:19">
      <c r="C63" s="38"/>
      <c r="D63" s="37"/>
      <c r="E63" s="250"/>
      <c r="F63" s="37"/>
      <c r="G63" s="37"/>
      <c r="L63" s="37"/>
      <c r="M63" s="37"/>
      <c r="N63" s="37"/>
      <c r="O63" s="37"/>
      <c r="P63" s="37"/>
      <c r="Q63" s="37"/>
      <c r="R63" s="251"/>
      <c r="S63" s="37"/>
    </row>
    <row r="64" spans="3:19">
      <c r="C64" s="38"/>
      <c r="D64" s="37"/>
      <c r="E64" s="250"/>
      <c r="F64" s="37"/>
      <c r="G64" s="37"/>
      <c r="H64" s="37"/>
      <c r="L64" s="37"/>
      <c r="R64" s="251"/>
    </row>
    <row r="65" spans="3:8">
      <c r="C65" s="38"/>
      <c r="D65" s="37"/>
      <c r="E65" s="250"/>
      <c r="F65" s="37"/>
      <c r="G65" s="37"/>
    </row>
    <row r="66" spans="3:8">
      <c r="C66" s="38"/>
      <c r="D66" s="37"/>
      <c r="E66" s="250"/>
      <c r="F66" s="37"/>
      <c r="G66" s="37"/>
      <c r="H66" s="37"/>
    </row>
    <row r="67" spans="3:8">
      <c r="C67" s="38"/>
      <c r="D67" s="37"/>
      <c r="E67" s="250"/>
      <c r="F67" s="37"/>
      <c r="G67" s="37"/>
    </row>
    <row r="68" spans="3:8">
      <c r="C68" s="38"/>
      <c r="D68" s="37"/>
      <c r="E68" s="250"/>
      <c r="F68" s="37"/>
      <c r="G68" s="37"/>
    </row>
    <row r="69" spans="3:8">
      <c r="C69" s="38"/>
      <c r="D69" s="37"/>
      <c r="E69" s="250"/>
      <c r="F69" s="37"/>
      <c r="G69" s="37"/>
    </row>
    <row r="70" spans="3:8">
      <c r="C70" s="38"/>
      <c r="D70" s="37"/>
      <c r="E70" s="250"/>
      <c r="F70" s="37"/>
      <c r="G70" s="37"/>
    </row>
  </sheetData>
  <mergeCells count="12">
    <mergeCell ref="R4:V4"/>
    <mergeCell ref="W4:AA4"/>
    <mergeCell ref="F4:F5"/>
    <mergeCell ref="G4:G5"/>
    <mergeCell ref="H4:H5"/>
    <mergeCell ref="I4:I5"/>
    <mergeCell ref="J4:N4"/>
    <mergeCell ref="A4:A5"/>
    <mergeCell ref="B4:B5"/>
    <mergeCell ref="C4:C5"/>
    <mergeCell ref="D4:D5"/>
    <mergeCell ref="E4:E5"/>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AE68"/>
  <sheetViews>
    <sheetView topLeftCell="J1" workbookViewId="0">
      <selection activeCell="T15" sqref="T15"/>
    </sheetView>
  </sheetViews>
  <sheetFormatPr defaultRowHeight="15"/>
  <cols>
    <col min="1" max="1" width="33" style="42" customWidth="1"/>
    <col min="2" max="2" width="12.140625" style="42" bestFit="1" customWidth="1"/>
    <col min="3" max="3" width="12.42578125" style="42" bestFit="1" customWidth="1"/>
    <col min="4" max="4" width="13.28515625" style="42" bestFit="1" customWidth="1"/>
    <col min="5" max="5" width="12.5703125" style="42" bestFit="1" customWidth="1"/>
    <col min="6" max="6" width="12.42578125" style="42" bestFit="1" customWidth="1"/>
    <col min="7" max="7" width="13.28515625" style="42" bestFit="1" customWidth="1"/>
    <col min="8" max="8" width="12.5703125" style="42" bestFit="1" customWidth="1"/>
    <col min="9" max="9" width="12.42578125" style="42" bestFit="1" customWidth="1"/>
    <col min="10" max="10" width="13.28515625" style="42" bestFit="1" customWidth="1"/>
    <col min="11" max="11" width="12.5703125" style="42" bestFit="1" customWidth="1"/>
    <col min="12" max="12" width="12.42578125" style="42" bestFit="1" customWidth="1"/>
    <col min="13" max="13" width="13.28515625" style="42" bestFit="1" customWidth="1"/>
    <col min="14" max="14" width="12.5703125" style="42" bestFit="1" customWidth="1"/>
    <col min="15" max="15" width="12.42578125" style="42" bestFit="1" customWidth="1"/>
    <col min="16" max="16" width="13.28515625" style="42" bestFit="1" customWidth="1"/>
    <col min="17" max="17" width="12.5703125" style="42" bestFit="1" customWidth="1"/>
    <col min="18" max="18" width="12.42578125" style="42" bestFit="1" customWidth="1"/>
    <col min="19" max="19" width="13.28515625" style="42" bestFit="1" customWidth="1"/>
    <col min="20" max="20" width="12.5703125" style="42" bestFit="1" customWidth="1"/>
    <col min="21" max="21" width="12.42578125" style="42" bestFit="1" customWidth="1"/>
    <col min="22" max="22" width="13.28515625" style="42" bestFit="1" customWidth="1"/>
    <col min="23" max="23" width="11.5703125" style="42" bestFit="1" customWidth="1"/>
    <col min="24" max="24" width="12.140625" style="42" bestFit="1" customWidth="1"/>
    <col min="25" max="25" width="13.140625" style="42" bestFit="1" customWidth="1"/>
    <col min="26" max="26" width="11.5703125" style="42" bestFit="1" customWidth="1"/>
    <col min="27" max="27" width="12.42578125" style="42" bestFit="1" customWidth="1"/>
    <col min="28" max="28" width="13.28515625" style="42" bestFit="1" customWidth="1"/>
    <col min="29" max="29" width="12.28515625" style="42" bestFit="1" customWidth="1"/>
    <col min="30" max="30" width="12.42578125" style="42" bestFit="1" customWidth="1"/>
    <col min="31" max="31" width="13.28515625" style="42" bestFit="1" customWidth="1"/>
    <col min="32" max="250" width="9.140625" style="42"/>
    <col min="251" max="251" width="24.85546875" style="42" customWidth="1"/>
    <col min="252" max="252" width="13" style="42" customWidth="1"/>
    <col min="253" max="253" width="12.140625" style="42" customWidth="1"/>
    <col min="254" max="254" width="13.140625" style="42" customWidth="1"/>
    <col min="255" max="255" width="10.7109375" style="42" customWidth="1"/>
    <col min="256" max="256" width="12.140625" style="42" customWidth="1"/>
    <col min="257" max="257" width="13.140625" style="42" customWidth="1"/>
    <col min="258" max="258" width="10.7109375" style="42" customWidth="1"/>
    <col min="259" max="259" width="12.140625" style="42" customWidth="1"/>
    <col min="260" max="260" width="13.140625" style="42" customWidth="1"/>
    <col min="261" max="261" width="10.7109375" style="42" customWidth="1"/>
    <col min="262" max="262" width="12.140625" style="42" customWidth="1"/>
    <col min="263" max="263" width="13.140625" style="42" customWidth="1"/>
    <col min="264" max="264" width="10.7109375" style="42" customWidth="1"/>
    <col min="265" max="265" width="12.140625" style="42" customWidth="1"/>
    <col min="266" max="266" width="13.140625" style="42" customWidth="1"/>
    <col min="267" max="267" width="10.7109375" style="42" customWidth="1"/>
    <col min="268" max="268" width="12.140625" style="42" customWidth="1"/>
    <col min="269" max="269" width="13.140625" style="42" customWidth="1"/>
    <col min="270" max="270" width="10.7109375" style="42" customWidth="1"/>
    <col min="271" max="271" width="12.140625" style="42" customWidth="1"/>
    <col min="272" max="272" width="13.140625" style="42" customWidth="1"/>
    <col min="273" max="273" width="10.7109375" style="42" customWidth="1"/>
    <col min="274" max="274" width="12.140625" style="42" customWidth="1"/>
    <col min="275" max="275" width="13.140625" style="42" customWidth="1"/>
    <col min="276" max="276" width="10.7109375" style="42" bestFit="1" customWidth="1"/>
    <col min="277" max="277" width="12.140625" style="42" bestFit="1" customWidth="1"/>
    <col min="278" max="278" width="13.140625" style="42" bestFit="1" customWidth="1"/>
    <col min="279" max="279" width="10.7109375" style="42" bestFit="1" customWidth="1"/>
    <col min="280" max="280" width="12.140625" style="42" bestFit="1" customWidth="1"/>
    <col min="281" max="281" width="13.140625" style="42" bestFit="1" customWidth="1"/>
    <col min="282" max="506" width="9.140625" style="42"/>
    <col min="507" max="507" width="24.85546875" style="42" customWidth="1"/>
    <col min="508" max="508" width="13" style="42" customWidth="1"/>
    <col min="509" max="509" width="12.140625" style="42" customWidth="1"/>
    <col min="510" max="510" width="13.140625" style="42" customWidth="1"/>
    <col min="511" max="511" width="10.7109375" style="42" customWidth="1"/>
    <col min="512" max="512" width="12.140625" style="42" customWidth="1"/>
    <col min="513" max="513" width="13.140625" style="42" customWidth="1"/>
    <col min="514" max="514" width="10.7109375" style="42" customWidth="1"/>
    <col min="515" max="515" width="12.140625" style="42" customWidth="1"/>
    <col min="516" max="516" width="13.140625" style="42" customWidth="1"/>
    <col min="517" max="517" width="10.7109375" style="42" customWidth="1"/>
    <col min="518" max="518" width="12.140625" style="42" customWidth="1"/>
    <col min="519" max="519" width="13.140625" style="42" customWidth="1"/>
    <col min="520" max="520" width="10.7109375" style="42" customWidth="1"/>
    <col min="521" max="521" width="12.140625" style="42" customWidth="1"/>
    <col min="522" max="522" width="13.140625" style="42" customWidth="1"/>
    <col min="523" max="523" width="10.7109375" style="42" customWidth="1"/>
    <col min="524" max="524" width="12.140625" style="42" customWidth="1"/>
    <col min="525" max="525" width="13.140625" style="42" customWidth="1"/>
    <col min="526" max="526" width="10.7109375" style="42" customWidth="1"/>
    <col min="527" max="527" width="12.140625" style="42" customWidth="1"/>
    <col min="528" max="528" width="13.140625" style="42" customWidth="1"/>
    <col min="529" max="529" width="10.7109375" style="42" customWidth="1"/>
    <col min="530" max="530" width="12.140625" style="42" customWidth="1"/>
    <col min="531" max="531" width="13.140625" style="42" customWidth="1"/>
    <col min="532" max="532" width="10.7109375" style="42" bestFit="1" customWidth="1"/>
    <col min="533" max="533" width="12.140625" style="42" bestFit="1" customWidth="1"/>
    <col min="534" max="534" width="13.140625" style="42" bestFit="1" customWidth="1"/>
    <col min="535" max="535" width="10.7109375" style="42" bestFit="1" customWidth="1"/>
    <col min="536" max="536" width="12.140625" style="42" bestFit="1" customWidth="1"/>
    <col min="537" max="537" width="13.140625" style="42" bestFit="1" customWidth="1"/>
    <col min="538" max="762" width="9.140625" style="42"/>
    <col min="763" max="763" width="24.85546875" style="42" customWidth="1"/>
    <col min="764" max="764" width="13" style="42" customWidth="1"/>
    <col min="765" max="765" width="12.140625" style="42" customWidth="1"/>
    <col min="766" max="766" width="13.140625" style="42" customWidth="1"/>
    <col min="767" max="767" width="10.7109375" style="42" customWidth="1"/>
    <col min="768" max="768" width="12.140625" style="42" customWidth="1"/>
    <col min="769" max="769" width="13.140625" style="42" customWidth="1"/>
    <col min="770" max="770" width="10.7109375" style="42" customWidth="1"/>
    <col min="771" max="771" width="12.140625" style="42" customWidth="1"/>
    <col min="772" max="772" width="13.140625" style="42" customWidth="1"/>
    <col min="773" max="773" width="10.7109375" style="42" customWidth="1"/>
    <col min="774" max="774" width="12.140625" style="42" customWidth="1"/>
    <col min="775" max="775" width="13.140625" style="42" customWidth="1"/>
    <col min="776" max="776" width="10.7109375" style="42" customWidth="1"/>
    <col min="777" max="777" width="12.140625" style="42" customWidth="1"/>
    <col min="778" max="778" width="13.140625" style="42" customWidth="1"/>
    <col min="779" max="779" width="10.7109375" style="42" customWidth="1"/>
    <col min="780" max="780" width="12.140625" style="42" customWidth="1"/>
    <col min="781" max="781" width="13.140625" style="42" customWidth="1"/>
    <col min="782" max="782" width="10.7109375" style="42" customWidth="1"/>
    <col min="783" max="783" width="12.140625" style="42" customWidth="1"/>
    <col min="784" max="784" width="13.140625" style="42" customWidth="1"/>
    <col min="785" max="785" width="10.7109375" style="42" customWidth="1"/>
    <col min="786" max="786" width="12.140625" style="42" customWidth="1"/>
    <col min="787" max="787" width="13.140625" style="42" customWidth="1"/>
    <col min="788" max="788" width="10.7109375" style="42" bestFit="1" customWidth="1"/>
    <col min="789" max="789" width="12.140625" style="42" bestFit="1" customWidth="1"/>
    <col min="790" max="790" width="13.140625" style="42" bestFit="1" customWidth="1"/>
    <col min="791" max="791" width="10.7109375" style="42" bestFit="1" customWidth="1"/>
    <col min="792" max="792" width="12.140625" style="42" bestFit="1" customWidth="1"/>
    <col min="793" max="793" width="13.140625" style="42" bestFit="1" customWidth="1"/>
    <col min="794" max="1018" width="9.140625" style="42"/>
    <col min="1019" max="1019" width="24.85546875" style="42" customWidth="1"/>
    <col min="1020" max="1020" width="13" style="42" customWidth="1"/>
    <col min="1021" max="1021" width="12.140625" style="42" customWidth="1"/>
    <col min="1022" max="1022" width="13.140625" style="42" customWidth="1"/>
    <col min="1023" max="1023" width="10.7109375" style="42" customWidth="1"/>
    <col min="1024" max="1024" width="12.140625" style="42" customWidth="1"/>
    <col min="1025" max="1025" width="13.140625" style="42" customWidth="1"/>
    <col min="1026" max="1026" width="10.7109375" style="42" customWidth="1"/>
    <col min="1027" max="1027" width="12.140625" style="42" customWidth="1"/>
    <col min="1028" max="1028" width="13.140625" style="42" customWidth="1"/>
    <col min="1029" max="1029" width="10.7109375" style="42" customWidth="1"/>
    <col min="1030" max="1030" width="12.140625" style="42" customWidth="1"/>
    <col min="1031" max="1031" width="13.140625" style="42" customWidth="1"/>
    <col min="1032" max="1032" width="10.7109375" style="42" customWidth="1"/>
    <col min="1033" max="1033" width="12.140625" style="42" customWidth="1"/>
    <col min="1034" max="1034" width="13.140625" style="42" customWidth="1"/>
    <col min="1035" max="1035" width="10.7109375" style="42" customWidth="1"/>
    <col min="1036" max="1036" width="12.140625" style="42" customWidth="1"/>
    <col min="1037" max="1037" width="13.140625" style="42" customWidth="1"/>
    <col min="1038" max="1038" width="10.7109375" style="42" customWidth="1"/>
    <col min="1039" max="1039" width="12.140625" style="42" customWidth="1"/>
    <col min="1040" max="1040" width="13.140625" style="42" customWidth="1"/>
    <col min="1041" max="1041" width="10.7109375" style="42" customWidth="1"/>
    <col min="1042" max="1042" width="12.140625" style="42" customWidth="1"/>
    <col min="1043" max="1043" width="13.140625" style="42" customWidth="1"/>
    <col min="1044" max="1044" width="10.7109375" style="42" bestFit="1" customWidth="1"/>
    <col min="1045" max="1045" width="12.140625" style="42" bestFit="1" customWidth="1"/>
    <col min="1046" max="1046" width="13.140625" style="42" bestFit="1" customWidth="1"/>
    <col min="1047" max="1047" width="10.7109375" style="42" bestFit="1" customWidth="1"/>
    <col min="1048" max="1048" width="12.140625" style="42" bestFit="1" customWidth="1"/>
    <col min="1049" max="1049" width="13.140625" style="42" bestFit="1" customWidth="1"/>
    <col min="1050" max="1274" width="9.140625" style="42"/>
    <col min="1275" max="1275" width="24.85546875" style="42" customWidth="1"/>
    <col min="1276" max="1276" width="13" style="42" customWidth="1"/>
    <col min="1277" max="1277" width="12.140625" style="42" customWidth="1"/>
    <col min="1278" max="1278" width="13.140625" style="42" customWidth="1"/>
    <col min="1279" max="1279" width="10.7109375" style="42" customWidth="1"/>
    <col min="1280" max="1280" width="12.140625" style="42" customWidth="1"/>
    <col min="1281" max="1281" width="13.140625" style="42" customWidth="1"/>
    <col min="1282" max="1282" width="10.7109375" style="42" customWidth="1"/>
    <col min="1283" max="1283" width="12.140625" style="42" customWidth="1"/>
    <col min="1284" max="1284" width="13.140625" style="42" customWidth="1"/>
    <col min="1285" max="1285" width="10.7109375" style="42" customWidth="1"/>
    <col min="1286" max="1286" width="12.140625" style="42" customWidth="1"/>
    <col min="1287" max="1287" width="13.140625" style="42" customWidth="1"/>
    <col min="1288" max="1288" width="10.7109375" style="42" customWidth="1"/>
    <col min="1289" max="1289" width="12.140625" style="42" customWidth="1"/>
    <col min="1290" max="1290" width="13.140625" style="42" customWidth="1"/>
    <col min="1291" max="1291" width="10.7109375" style="42" customWidth="1"/>
    <col min="1292" max="1292" width="12.140625" style="42" customWidth="1"/>
    <col min="1293" max="1293" width="13.140625" style="42" customWidth="1"/>
    <col min="1294" max="1294" width="10.7109375" style="42" customWidth="1"/>
    <col min="1295" max="1295" width="12.140625" style="42" customWidth="1"/>
    <col min="1296" max="1296" width="13.140625" style="42" customWidth="1"/>
    <col min="1297" max="1297" width="10.7109375" style="42" customWidth="1"/>
    <col min="1298" max="1298" width="12.140625" style="42" customWidth="1"/>
    <col min="1299" max="1299" width="13.140625" style="42" customWidth="1"/>
    <col min="1300" max="1300" width="10.7109375" style="42" bestFit="1" customWidth="1"/>
    <col min="1301" max="1301" width="12.140625" style="42" bestFit="1" customWidth="1"/>
    <col min="1302" max="1302" width="13.140625" style="42" bestFit="1" customWidth="1"/>
    <col min="1303" max="1303" width="10.7109375" style="42" bestFit="1" customWidth="1"/>
    <col min="1304" max="1304" width="12.140625" style="42" bestFit="1" customWidth="1"/>
    <col min="1305" max="1305" width="13.140625" style="42" bestFit="1" customWidth="1"/>
    <col min="1306" max="1530" width="9.140625" style="42"/>
    <col min="1531" max="1531" width="24.85546875" style="42" customWidth="1"/>
    <col min="1532" max="1532" width="13" style="42" customWidth="1"/>
    <col min="1533" max="1533" width="12.140625" style="42" customWidth="1"/>
    <col min="1534" max="1534" width="13.140625" style="42" customWidth="1"/>
    <col min="1535" max="1535" width="10.7109375" style="42" customWidth="1"/>
    <col min="1536" max="1536" width="12.140625" style="42" customWidth="1"/>
    <col min="1537" max="1537" width="13.140625" style="42" customWidth="1"/>
    <col min="1538" max="1538" width="10.7109375" style="42" customWidth="1"/>
    <col min="1539" max="1539" width="12.140625" style="42" customWidth="1"/>
    <col min="1540" max="1540" width="13.140625" style="42" customWidth="1"/>
    <col min="1541" max="1541" width="10.7109375" style="42" customWidth="1"/>
    <col min="1542" max="1542" width="12.140625" style="42" customWidth="1"/>
    <col min="1543" max="1543" width="13.140625" style="42" customWidth="1"/>
    <col min="1544" max="1544" width="10.7109375" style="42" customWidth="1"/>
    <col min="1545" max="1545" width="12.140625" style="42" customWidth="1"/>
    <col min="1546" max="1546" width="13.140625" style="42" customWidth="1"/>
    <col min="1547" max="1547" width="10.7109375" style="42" customWidth="1"/>
    <col min="1548" max="1548" width="12.140625" style="42" customWidth="1"/>
    <col min="1549" max="1549" width="13.140625" style="42" customWidth="1"/>
    <col min="1550" max="1550" width="10.7109375" style="42" customWidth="1"/>
    <col min="1551" max="1551" width="12.140625" style="42" customWidth="1"/>
    <col min="1552" max="1552" width="13.140625" style="42" customWidth="1"/>
    <col min="1553" max="1553" width="10.7109375" style="42" customWidth="1"/>
    <col min="1554" max="1554" width="12.140625" style="42" customWidth="1"/>
    <col min="1555" max="1555" width="13.140625" style="42" customWidth="1"/>
    <col min="1556" max="1556" width="10.7109375" style="42" bestFit="1" customWidth="1"/>
    <col min="1557" max="1557" width="12.140625" style="42" bestFit="1" customWidth="1"/>
    <col min="1558" max="1558" width="13.140625" style="42" bestFit="1" customWidth="1"/>
    <col min="1559" max="1559" width="10.7109375" style="42" bestFit="1" customWidth="1"/>
    <col min="1560" max="1560" width="12.140625" style="42" bestFit="1" customWidth="1"/>
    <col min="1561" max="1561" width="13.140625" style="42" bestFit="1" customWidth="1"/>
    <col min="1562" max="1786" width="9.140625" style="42"/>
    <col min="1787" max="1787" width="24.85546875" style="42" customWidth="1"/>
    <col min="1788" max="1788" width="13" style="42" customWidth="1"/>
    <col min="1789" max="1789" width="12.140625" style="42" customWidth="1"/>
    <col min="1790" max="1790" width="13.140625" style="42" customWidth="1"/>
    <col min="1791" max="1791" width="10.7109375" style="42" customWidth="1"/>
    <col min="1792" max="1792" width="12.140625" style="42" customWidth="1"/>
    <col min="1793" max="1793" width="13.140625" style="42" customWidth="1"/>
    <col min="1794" max="1794" width="10.7109375" style="42" customWidth="1"/>
    <col min="1795" max="1795" width="12.140625" style="42" customWidth="1"/>
    <col min="1796" max="1796" width="13.140625" style="42" customWidth="1"/>
    <col min="1797" max="1797" width="10.7109375" style="42" customWidth="1"/>
    <col min="1798" max="1798" width="12.140625" style="42" customWidth="1"/>
    <col min="1799" max="1799" width="13.140625" style="42" customWidth="1"/>
    <col min="1800" max="1800" width="10.7109375" style="42" customWidth="1"/>
    <col min="1801" max="1801" width="12.140625" style="42" customWidth="1"/>
    <col min="1802" max="1802" width="13.140625" style="42" customWidth="1"/>
    <col min="1803" max="1803" width="10.7109375" style="42" customWidth="1"/>
    <col min="1804" max="1804" width="12.140625" style="42" customWidth="1"/>
    <col min="1805" max="1805" width="13.140625" style="42" customWidth="1"/>
    <col min="1806" max="1806" width="10.7109375" style="42" customWidth="1"/>
    <col min="1807" max="1807" width="12.140625" style="42" customWidth="1"/>
    <col min="1808" max="1808" width="13.140625" style="42" customWidth="1"/>
    <col min="1809" max="1809" width="10.7109375" style="42" customWidth="1"/>
    <col min="1810" max="1810" width="12.140625" style="42" customWidth="1"/>
    <col min="1811" max="1811" width="13.140625" style="42" customWidth="1"/>
    <col min="1812" max="1812" width="10.7109375" style="42" bestFit="1" customWidth="1"/>
    <col min="1813" max="1813" width="12.140625" style="42" bestFit="1" customWidth="1"/>
    <col min="1814" max="1814" width="13.140625" style="42" bestFit="1" customWidth="1"/>
    <col min="1815" max="1815" width="10.7109375" style="42" bestFit="1" customWidth="1"/>
    <col min="1816" max="1816" width="12.140625" style="42" bestFit="1" customWidth="1"/>
    <col min="1817" max="1817" width="13.140625" style="42" bestFit="1" customWidth="1"/>
    <col min="1818" max="2042" width="9.140625" style="42"/>
    <col min="2043" max="2043" width="24.85546875" style="42" customWidth="1"/>
    <col min="2044" max="2044" width="13" style="42" customWidth="1"/>
    <col min="2045" max="2045" width="12.140625" style="42" customWidth="1"/>
    <col min="2046" max="2046" width="13.140625" style="42" customWidth="1"/>
    <col min="2047" max="2047" width="10.7109375" style="42" customWidth="1"/>
    <col min="2048" max="2048" width="12.140625" style="42" customWidth="1"/>
    <col min="2049" max="2049" width="13.140625" style="42" customWidth="1"/>
    <col min="2050" max="2050" width="10.7109375" style="42" customWidth="1"/>
    <col min="2051" max="2051" width="12.140625" style="42" customWidth="1"/>
    <col min="2052" max="2052" width="13.140625" style="42" customWidth="1"/>
    <col min="2053" max="2053" width="10.7109375" style="42" customWidth="1"/>
    <col min="2054" max="2054" width="12.140625" style="42" customWidth="1"/>
    <col min="2055" max="2055" width="13.140625" style="42" customWidth="1"/>
    <col min="2056" max="2056" width="10.7109375" style="42" customWidth="1"/>
    <col min="2057" max="2057" width="12.140625" style="42" customWidth="1"/>
    <col min="2058" max="2058" width="13.140625" style="42" customWidth="1"/>
    <col min="2059" max="2059" width="10.7109375" style="42" customWidth="1"/>
    <col min="2060" max="2060" width="12.140625" style="42" customWidth="1"/>
    <col min="2061" max="2061" width="13.140625" style="42" customWidth="1"/>
    <col min="2062" max="2062" width="10.7109375" style="42" customWidth="1"/>
    <col min="2063" max="2063" width="12.140625" style="42" customWidth="1"/>
    <col min="2064" max="2064" width="13.140625" style="42" customWidth="1"/>
    <col min="2065" max="2065" width="10.7109375" style="42" customWidth="1"/>
    <col min="2066" max="2066" width="12.140625" style="42" customWidth="1"/>
    <col min="2067" max="2067" width="13.140625" style="42" customWidth="1"/>
    <col min="2068" max="2068" width="10.7109375" style="42" bestFit="1" customWidth="1"/>
    <col min="2069" max="2069" width="12.140625" style="42" bestFit="1" customWidth="1"/>
    <col min="2070" max="2070" width="13.140625" style="42" bestFit="1" customWidth="1"/>
    <col min="2071" max="2071" width="10.7109375" style="42" bestFit="1" customWidth="1"/>
    <col min="2072" max="2072" width="12.140625" style="42" bestFit="1" customWidth="1"/>
    <col min="2073" max="2073" width="13.140625" style="42" bestFit="1" customWidth="1"/>
    <col min="2074" max="2298" width="9.140625" style="42"/>
    <col min="2299" max="2299" width="24.85546875" style="42" customWidth="1"/>
    <col min="2300" max="2300" width="13" style="42" customWidth="1"/>
    <col min="2301" max="2301" width="12.140625" style="42" customWidth="1"/>
    <col min="2302" max="2302" width="13.140625" style="42" customWidth="1"/>
    <col min="2303" max="2303" width="10.7109375" style="42" customWidth="1"/>
    <col min="2304" max="2304" width="12.140625" style="42" customWidth="1"/>
    <col min="2305" max="2305" width="13.140625" style="42" customWidth="1"/>
    <col min="2306" max="2306" width="10.7109375" style="42" customWidth="1"/>
    <col min="2307" max="2307" width="12.140625" style="42" customWidth="1"/>
    <col min="2308" max="2308" width="13.140625" style="42" customWidth="1"/>
    <col min="2309" max="2309" width="10.7109375" style="42" customWidth="1"/>
    <col min="2310" max="2310" width="12.140625" style="42" customWidth="1"/>
    <col min="2311" max="2311" width="13.140625" style="42" customWidth="1"/>
    <col min="2312" max="2312" width="10.7109375" style="42" customWidth="1"/>
    <col min="2313" max="2313" width="12.140625" style="42" customWidth="1"/>
    <col min="2314" max="2314" width="13.140625" style="42" customWidth="1"/>
    <col min="2315" max="2315" width="10.7109375" style="42" customWidth="1"/>
    <col min="2316" max="2316" width="12.140625" style="42" customWidth="1"/>
    <col min="2317" max="2317" width="13.140625" style="42" customWidth="1"/>
    <col min="2318" max="2318" width="10.7109375" style="42" customWidth="1"/>
    <col min="2319" max="2319" width="12.140625" style="42" customWidth="1"/>
    <col min="2320" max="2320" width="13.140625" style="42" customWidth="1"/>
    <col min="2321" max="2321" width="10.7109375" style="42" customWidth="1"/>
    <col min="2322" max="2322" width="12.140625" style="42" customWidth="1"/>
    <col min="2323" max="2323" width="13.140625" style="42" customWidth="1"/>
    <col min="2324" max="2324" width="10.7109375" style="42" bestFit="1" customWidth="1"/>
    <col min="2325" max="2325" width="12.140625" style="42" bestFit="1" customWidth="1"/>
    <col min="2326" max="2326" width="13.140625" style="42" bestFit="1" customWidth="1"/>
    <col min="2327" max="2327" width="10.7109375" style="42" bestFit="1" customWidth="1"/>
    <col min="2328" max="2328" width="12.140625" style="42" bestFit="1" customWidth="1"/>
    <col min="2329" max="2329" width="13.140625" style="42" bestFit="1" customWidth="1"/>
    <col min="2330" max="2554" width="9.140625" style="42"/>
    <col min="2555" max="2555" width="24.85546875" style="42" customWidth="1"/>
    <col min="2556" max="2556" width="13" style="42" customWidth="1"/>
    <col min="2557" max="2557" width="12.140625" style="42" customWidth="1"/>
    <col min="2558" max="2558" width="13.140625" style="42" customWidth="1"/>
    <col min="2559" max="2559" width="10.7109375" style="42" customWidth="1"/>
    <col min="2560" max="2560" width="12.140625" style="42" customWidth="1"/>
    <col min="2561" max="2561" width="13.140625" style="42" customWidth="1"/>
    <col min="2562" max="2562" width="10.7109375" style="42" customWidth="1"/>
    <col min="2563" max="2563" width="12.140625" style="42" customWidth="1"/>
    <col min="2564" max="2564" width="13.140625" style="42" customWidth="1"/>
    <col min="2565" max="2565" width="10.7109375" style="42" customWidth="1"/>
    <col min="2566" max="2566" width="12.140625" style="42" customWidth="1"/>
    <col min="2567" max="2567" width="13.140625" style="42" customWidth="1"/>
    <col min="2568" max="2568" width="10.7109375" style="42" customWidth="1"/>
    <col min="2569" max="2569" width="12.140625" style="42" customWidth="1"/>
    <col min="2570" max="2570" width="13.140625" style="42" customWidth="1"/>
    <col min="2571" max="2571" width="10.7109375" style="42" customWidth="1"/>
    <col min="2572" max="2572" width="12.140625" style="42" customWidth="1"/>
    <col min="2573" max="2573" width="13.140625" style="42" customWidth="1"/>
    <col min="2574" max="2574" width="10.7109375" style="42" customWidth="1"/>
    <col min="2575" max="2575" width="12.140625" style="42" customWidth="1"/>
    <col min="2576" max="2576" width="13.140625" style="42" customWidth="1"/>
    <col min="2577" max="2577" width="10.7109375" style="42" customWidth="1"/>
    <col min="2578" max="2578" width="12.140625" style="42" customWidth="1"/>
    <col min="2579" max="2579" width="13.140625" style="42" customWidth="1"/>
    <col min="2580" max="2580" width="10.7109375" style="42" bestFit="1" customWidth="1"/>
    <col min="2581" max="2581" width="12.140625" style="42" bestFit="1" customWidth="1"/>
    <col min="2582" max="2582" width="13.140625" style="42" bestFit="1" customWidth="1"/>
    <col min="2583" max="2583" width="10.7109375" style="42" bestFit="1" customWidth="1"/>
    <col min="2584" max="2584" width="12.140625" style="42" bestFit="1" customWidth="1"/>
    <col min="2585" max="2585" width="13.140625" style="42" bestFit="1" customWidth="1"/>
    <col min="2586" max="2810" width="9.140625" style="42"/>
    <col min="2811" max="2811" width="24.85546875" style="42" customWidth="1"/>
    <col min="2812" max="2812" width="13" style="42" customWidth="1"/>
    <col min="2813" max="2813" width="12.140625" style="42" customWidth="1"/>
    <col min="2814" max="2814" width="13.140625" style="42" customWidth="1"/>
    <col min="2815" max="2815" width="10.7109375" style="42" customWidth="1"/>
    <col min="2816" max="2816" width="12.140625" style="42" customWidth="1"/>
    <col min="2817" max="2817" width="13.140625" style="42" customWidth="1"/>
    <col min="2818" max="2818" width="10.7109375" style="42" customWidth="1"/>
    <col min="2819" max="2819" width="12.140625" style="42" customWidth="1"/>
    <col min="2820" max="2820" width="13.140625" style="42" customWidth="1"/>
    <col min="2821" max="2821" width="10.7109375" style="42" customWidth="1"/>
    <col min="2822" max="2822" width="12.140625" style="42" customWidth="1"/>
    <col min="2823" max="2823" width="13.140625" style="42" customWidth="1"/>
    <col min="2824" max="2824" width="10.7109375" style="42" customWidth="1"/>
    <col min="2825" max="2825" width="12.140625" style="42" customWidth="1"/>
    <col min="2826" max="2826" width="13.140625" style="42" customWidth="1"/>
    <col min="2827" max="2827" width="10.7109375" style="42" customWidth="1"/>
    <col min="2828" max="2828" width="12.140625" style="42" customWidth="1"/>
    <col min="2829" max="2829" width="13.140625" style="42" customWidth="1"/>
    <col min="2830" max="2830" width="10.7109375" style="42" customWidth="1"/>
    <col min="2831" max="2831" width="12.140625" style="42" customWidth="1"/>
    <col min="2832" max="2832" width="13.140625" style="42" customWidth="1"/>
    <col min="2833" max="2833" width="10.7109375" style="42" customWidth="1"/>
    <col min="2834" max="2834" width="12.140625" style="42" customWidth="1"/>
    <col min="2835" max="2835" width="13.140625" style="42" customWidth="1"/>
    <col min="2836" max="2836" width="10.7109375" style="42" bestFit="1" customWidth="1"/>
    <col min="2837" max="2837" width="12.140625" style="42" bestFit="1" customWidth="1"/>
    <col min="2838" max="2838" width="13.140625" style="42" bestFit="1" customWidth="1"/>
    <col min="2839" max="2839" width="10.7109375" style="42" bestFit="1" customWidth="1"/>
    <col min="2840" max="2840" width="12.140625" style="42" bestFit="1" customWidth="1"/>
    <col min="2841" max="2841" width="13.140625" style="42" bestFit="1" customWidth="1"/>
    <col min="2842" max="3066" width="9.140625" style="42"/>
    <col min="3067" max="3067" width="24.85546875" style="42" customWidth="1"/>
    <col min="3068" max="3068" width="13" style="42" customWidth="1"/>
    <col min="3069" max="3069" width="12.140625" style="42" customWidth="1"/>
    <col min="3070" max="3070" width="13.140625" style="42" customWidth="1"/>
    <col min="3071" max="3071" width="10.7109375" style="42" customWidth="1"/>
    <col min="3072" max="3072" width="12.140625" style="42" customWidth="1"/>
    <col min="3073" max="3073" width="13.140625" style="42" customWidth="1"/>
    <col min="3074" max="3074" width="10.7109375" style="42" customWidth="1"/>
    <col min="3075" max="3075" width="12.140625" style="42" customWidth="1"/>
    <col min="3076" max="3076" width="13.140625" style="42" customWidth="1"/>
    <col min="3077" max="3077" width="10.7109375" style="42" customWidth="1"/>
    <col min="3078" max="3078" width="12.140625" style="42" customWidth="1"/>
    <col min="3079" max="3079" width="13.140625" style="42" customWidth="1"/>
    <col min="3080" max="3080" width="10.7109375" style="42" customWidth="1"/>
    <col min="3081" max="3081" width="12.140625" style="42" customWidth="1"/>
    <col min="3082" max="3082" width="13.140625" style="42" customWidth="1"/>
    <col min="3083" max="3083" width="10.7109375" style="42" customWidth="1"/>
    <col min="3084" max="3084" width="12.140625" style="42" customWidth="1"/>
    <col min="3085" max="3085" width="13.140625" style="42" customWidth="1"/>
    <col min="3086" max="3086" width="10.7109375" style="42" customWidth="1"/>
    <col min="3087" max="3087" width="12.140625" style="42" customWidth="1"/>
    <col min="3088" max="3088" width="13.140625" style="42" customWidth="1"/>
    <col min="3089" max="3089" width="10.7109375" style="42" customWidth="1"/>
    <col min="3090" max="3090" width="12.140625" style="42" customWidth="1"/>
    <col min="3091" max="3091" width="13.140625" style="42" customWidth="1"/>
    <col min="3092" max="3092" width="10.7109375" style="42" bestFit="1" customWidth="1"/>
    <col min="3093" max="3093" width="12.140625" style="42" bestFit="1" customWidth="1"/>
    <col min="3094" max="3094" width="13.140625" style="42" bestFit="1" customWidth="1"/>
    <col min="3095" max="3095" width="10.7109375" style="42" bestFit="1" customWidth="1"/>
    <col min="3096" max="3096" width="12.140625" style="42" bestFit="1" customWidth="1"/>
    <col min="3097" max="3097" width="13.140625" style="42" bestFit="1" customWidth="1"/>
    <col min="3098" max="3322" width="9.140625" style="42"/>
    <col min="3323" max="3323" width="24.85546875" style="42" customWidth="1"/>
    <col min="3324" max="3324" width="13" style="42" customWidth="1"/>
    <col min="3325" max="3325" width="12.140625" style="42" customWidth="1"/>
    <col min="3326" max="3326" width="13.140625" style="42" customWidth="1"/>
    <col min="3327" max="3327" width="10.7109375" style="42" customWidth="1"/>
    <col min="3328" max="3328" width="12.140625" style="42" customWidth="1"/>
    <col min="3329" max="3329" width="13.140625" style="42" customWidth="1"/>
    <col min="3330" max="3330" width="10.7109375" style="42" customWidth="1"/>
    <col min="3331" max="3331" width="12.140625" style="42" customWidth="1"/>
    <col min="3332" max="3332" width="13.140625" style="42" customWidth="1"/>
    <col min="3333" max="3333" width="10.7109375" style="42" customWidth="1"/>
    <col min="3334" max="3334" width="12.140625" style="42" customWidth="1"/>
    <col min="3335" max="3335" width="13.140625" style="42" customWidth="1"/>
    <col min="3336" max="3336" width="10.7109375" style="42" customWidth="1"/>
    <col min="3337" max="3337" width="12.140625" style="42" customWidth="1"/>
    <col min="3338" max="3338" width="13.140625" style="42" customWidth="1"/>
    <col min="3339" max="3339" width="10.7109375" style="42" customWidth="1"/>
    <col min="3340" max="3340" width="12.140625" style="42" customWidth="1"/>
    <col min="3341" max="3341" width="13.140625" style="42" customWidth="1"/>
    <col min="3342" max="3342" width="10.7109375" style="42" customWidth="1"/>
    <col min="3343" max="3343" width="12.140625" style="42" customWidth="1"/>
    <col min="3344" max="3344" width="13.140625" style="42" customWidth="1"/>
    <col min="3345" max="3345" width="10.7109375" style="42" customWidth="1"/>
    <col min="3346" max="3346" width="12.140625" style="42" customWidth="1"/>
    <col min="3347" max="3347" width="13.140625" style="42" customWidth="1"/>
    <col min="3348" max="3348" width="10.7109375" style="42" bestFit="1" customWidth="1"/>
    <col min="3349" max="3349" width="12.140625" style="42" bestFit="1" customWidth="1"/>
    <col min="3350" max="3350" width="13.140625" style="42" bestFit="1" customWidth="1"/>
    <col min="3351" max="3351" width="10.7109375" style="42" bestFit="1" customWidth="1"/>
    <col min="3352" max="3352" width="12.140625" style="42" bestFit="1" customWidth="1"/>
    <col min="3353" max="3353" width="13.140625" style="42" bestFit="1" customWidth="1"/>
    <col min="3354" max="3578" width="9.140625" style="42"/>
    <col min="3579" max="3579" width="24.85546875" style="42" customWidth="1"/>
    <col min="3580" max="3580" width="13" style="42" customWidth="1"/>
    <col min="3581" max="3581" width="12.140625" style="42" customWidth="1"/>
    <col min="3582" max="3582" width="13.140625" style="42" customWidth="1"/>
    <col min="3583" max="3583" width="10.7109375" style="42" customWidth="1"/>
    <col min="3584" max="3584" width="12.140625" style="42" customWidth="1"/>
    <col min="3585" max="3585" width="13.140625" style="42" customWidth="1"/>
    <col min="3586" max="3586" width="10.7109375" style="42" customWidth="1"/>
    <col min="3587" max="3587" width="12.140625" style="42" customWidth="1"/>
    <col min="3588" max="3588" width="13.140625" style="42" customWidth="1"/>
    <col min="3589" max="3589" width="10.7109375" style="42" customWidth="1"/>
    <col min="3590" max="3590" width="12.140625" style="42" customWidth="1"/>
    <col min="3591" max="3591" width="13.140625" style="42" customWidth="1"/>
    <col min="3592" max="3592" width="10.7109375" style="42" customWidth="1"/>
    <col min="3593" max="3593" width="12.140625" style="42" customWidth="1"/>
    <col min="3594" max="3594" width="13.140625" style="42" customWidth="1"/>
    <col min="3595" max="3595" width="10.7109375" style="42" customWidth="1"/>
    <col min="3596" max="3596" width="12.140625" style="42" customWidth="1"/>
    <col min="3597" max="3597" width="13.140625" style="42" customWidth="1"/>
    <col min="3598" max="3598" width="10.7109375" style="42" customWidth="1"/>
    <col min="3599" max="3599" width="12.140625" style="42" customWidth="1"/>
    <col min="3600" max="3600" width="13.140625" style="42" customWidth="1"/>
    <col min="3601" max="3601" width="10.7109375" style="42" customWidth="1"/>
    <col min="3602" max="3602" width="12.140625" style="42" customWidth="1"/>
    <col min="3603" max="3603" width="13.140625" style="42" customWidth="1"/>
    <col min="3604" max="3604" width="10.7109375" style="42" bestFit="1" customWidth="1"/>
    <col min="3605" max="3605" width="12.140625" style="42" bestFit="1" customWidth="1"/>
    <col min="3606" max="3606" width="13.140625" style="42" bestFit="1" customWidth="1"/>
    <col min="3607" max="3607" width="10.7109375" style="42" bestFit="1" customWidth="1"/>
    <col min="3608" max="3608" width="12.140625" style="42" bestFit="1" customWidth="1"/>
    <col min="3609" max="3609" width="13.140625" style="42" bestFit="1" customWidth="1"/>
    <col min="3610" max="3834" width="9.140625" style="42"/>
    <col min="3835" max="3835" width="24.85546875" style="42" customWidth="1"/>
    <col min="3836" max="3836" width="13" style="42" customWidth="1"/>
    <col min="3837" max="3837" width="12.140625" style="42" customWidth="1"/>
    <col min="3838" max="3838" width="13.140625" style="42" customWidth="1"/>
    <col min="3839" max="3839" width="10.7109375" style="42" customWidth="1"/>
    <col min="3840" max="3840" width="12.140625" style="42" customWidth="1"/>
    <col min="3841" max="3841" width="13.140625" style="42" customWidth="1"/>
    <col min="3842" max="3842" width="10.7109375" style="42" customWidth="1"/>
    <col min="3843" max="3843" width="12.140625" style="42" customWidth="1"/>
    <col min="3844" max="3844" width="13.140625" style="42" customWidth="1"/>
    <col min="3845" max="3845" width="10.7109375" style="42" customWidth="1"/>
    <col min="3846" max="3846" width="12.140625" style="42" customWidth="1"/>
    <col min="3847" max="3847" width="13.140625" style="42" customWidth="1"/>
    <col min="3848" max="3848" width="10.7109375" style="42" customWidth="1"/>
    <col min="3849" max="3849" width="12.140625" style="42" customWidth="1"/>
    <col min="3850" max="3850" width="13.140625" style="42" customWidth="1"/>
    <col min="3851" max="3851" width="10.7109375" style="42" customWidth="1"/>
    <col min="3852" max="3852" width="12.140625" style="42" customWidth="1"/>
    <col min="3853" max="3853" width="13.140625" style="42" customWidth="1"/>
    <col min="3854" max="3854" width="10.7109375" style="42" customWidth="1"/>
    <col min="3855" max="3855" width="12.140625" style="42" customWidth="1"/>
    <col min="3856" max="3856" width="13.140625" style="42" customWidth="1"/>
    <col min="3857" max="3857" width="10.7109375" style="42" customWidth="1"/>
    <col min="3858" max="3858" width="12.140625" style="42" customWidth="1"/>
    <col min="3859" max="3859" width="13.140625" style="42" customWidth="1"/>
    <col min="3860" max="3860" width="10.7109375" style="42" bestFit="1" customWidth="1"/>
    <col min="3861" max="3861" width="12.140625" style="42" bestFit="1" customWidth="1"/>
    <col min="3862" max="3862" width="13.140625" style="42" bestFit="1" customWidth="1"/>
    <col min="3863" max="3863" width="10.7109375" style="42" bestFit="1" customWidth="1"/>
    <col min="3864" max="3864" width="12.140625" style="42" bestFit="1" customWidth="1"/>
    <col min="3865" max="3865" width="13.140625" style="42" bestFit="1" customWidth="1"/>
    <col min="3866" max="4090" width="9.140625" style="42"/>
    <col min="4091" max="4091" width="24.85546875" style="42" customWidth="1"/>
    <col min="4092" max="4092" width="13" style="42" customWidth="1"/>
    <col min="4093" max="4093" width="12.140625" style="42" customWidth="1"/>
    <col min="4094" max="4094" width="13.140625" style="42" customWidth="1"/>
    <col min="4095" max="4095" width="10.7109375" style="42" customWidth="1"/>
    <col min="4096" max="4096" width="12.140625" style="42" customWidth="1"/>
    <col min="4097" max="4097" width="13.140625" style="42" customWidth="1"/>
    <col min="4098" max="4098" width="10.7109375" style="42" customWidth="1"/>
    <col min="4099" max="4099" width="12.140625" style="42" customWidth="1"/>
    <col min="4100" max="4100" width="13.140625" style="42" customWidth="1"/>
    <col min="4101" max="4101" width="10.7109375" style="42" customWidth="1"/>
    <col min="4102" max="4102" width="12.140625" style="42" customWidth="1"/>
    <col min="4103" max="4103" width="13.140625" style="42" customWidth="1"/>
    <col min="4104" max="4104" width="10.7109375" style="42" customWidth="1"/>
    <col min="4105" max="4105" width="12.140625" style="42" customWidth="1"/>
    <col min="4106" max="4106" width="13.140625" style="42" customWidth="1"/>
    <col min="4107" max="4107" width="10.7109375" style="42" customWidth="1"/>
    <col min="4108" max="4108" width="12.140625" style="42" customWidth="1"/>
    <col min="4109" max="4109" width="13.140625" style="42" customWidth="1"/>
    <col min="4110" max="4110" width="10.7109375" style="42" customWidth="1"/>
    <col min="4111" max="4111" width="12.140625" style="42" customWidth="1"/>
    <col min="4112" max="4112" width="13.140625" style="42" customWidth="1"/>
    <col min="4113" max="4113" width="10.7109375" style="42" customWidth="1"/>
    <col min="4114" max="4114" width="12.140625" style="42" customWidth="1"/>
    <col min="4115" max="4115" width="13.140625" style="42" customWidth="1"/>
    <col min="4116" max="4116" width="10.7109375" style="42" bestFit="1" customWidth="1"/>
    <col min="4117" max="4117" width="12.140625" style="42" bestFit="1" customWidth="1"/>
    <col min="4118" max="4118" width="13.140625" style="42" bestFit="1" customWidth="1"/>
    <col min="4119" max="4119" width="10.7109375" style="42" bestFit="1" customWidth="1"/>
    <col min="4120" max="4120" width="12.140625" style="42" bestFit="1" customWidth="1"/>
    <col min="4121" max="4121" width="13.140625" style="42" bestFit="1" customWidth="1"/>
    <col min="4122" max="4346" width="9.140625" style="42"/>
    <col min="4347" max="4347" width="24.85546875" style="42" customWidth="1"/>
    <col min="4348" max="4348" width="13" style="42" customWidth="1"/>
    <col min="4349" max="4349" width="12.140625" style="42" customWidth="1"/>
    <col min="4350" max="4350" width="13.140625" style="42" customWidth="1"/>
    <col min="4351" max="4351" width="10.7109375" style="42" customWidth="1"/>
    <col min="4352" max="4352" width="12.140625" style="42" customWidth="1"/>
    <col min="4353" max="4353" width="13.140625" style="42" customWidth="1"/>
    <col min="4354" max="4354" width="10.7109375" style="42" customWidth="1"/>
    <col min="4355" max="4355" width="12.140625" style="42" customWidth="1"/>
    <col min="4356" max="4356" width="13.140625" style="42" customWidth="1"/>
    <col min="4357" max="4357" width="10.7109375" style="42" customWidth="1"/>
    <col min="4358" max="4358" width="12.140625" style="42" customWidth="1"/>
    <col min="4359" max="4359" width="13.140625" style="42" customWidth="1"/>
    <col min="4360" max="4360" width="10.7109375" style="42" customWidth="1"/>
    <col min="4361" max="4361" width="12.140625" style="42" customWidth="1"/>
    <col min="4362" max="4362" width="13.140625" style="42" customWidth="1"/>
    <col min="4363" max="4363" width="10.7109375" style="42" customWidth="1"/>
    <col min="4364" max="4364" width="12.140625" style="42" customWidth="1"/>
    <col min="4365" max="4365" width="13.140625" style="42" customWidth="1"/>
    <col min="4366" max="4366" width="10.7109375" style="42" customWidth="1"/>
    <col min="4367" max="4367" width="12.140625" style="42" customWidth="1"/>
    <col min="4368" max="4368" width="13.140625" style="42" customWidth="1"/>
    <col min="4369" max="4369" width="10.7109375" style="42" customWidth="1"/>
    <col min="4370" max="4370" width="12.140625" style="42" customWidth="1"/>
    <col min="4371" max="4371" width="13.140625" style="42" customWidth="1"/>
    <col min="4372" max="4372" width="10.7109375" style="42" bestFit="1" customWidth="1"/>
    <col min="4373" max="4373" width="12.140625" style="42" bestFit="1" customWidth="1"/>
    <col min="4374" max="4374" width="13.140625" style="42" bestFit="1" customWidth="1"/>
    <col min="4375" max="4375" width="10.7109375" style="42" bestFit="1" customWidth="1"/>
    <col min="4376" max="4376" width="12.140625" style="42" bestFit="1" customWidth="1"/>
    <col min="4377" max="4377" width="13.140625" style="42" bestFit="1" customWidth="1"/>
    <col min="4378" max="4602" width="9.140625" style="42"/>
    <col min="4603" max="4603" width="24.85546875" style="42" customWidth="1"/>
    <col min="4604" max="4604" width="13" style="42" customWidth="1"/>
    <col min="4605" max="4605" width="12.140625" style="42" customWidth="1"/>
    <col min="4606" max="4606" width="13.140625" style="42" customWidth="1"/>
    <col min="4607" max="4607" width="10.7109375" style="42" customWidth="1"/>
    <col min="4608" max="4608" width="12.140625" style="42" customWidth="1"/>
    <col min="4609" max="4609" width="13.140625" style="42" customWidth="1"/>
    <col min="4610" max="4610" width="10.7109375" style="42" customWidth="1"/>
    <col min="4611" max="4611" width="12.140625" style="42" customWidth="1"/>
    <col min="4612" max="4612" width="13.140625" style="42" customWidth="1"/>
    <col min="4613" max="4613" width="10.7109375" style="42" customWidth="1"/>
    <col min="4614" max="4614" width="12.140625" style="42" customWidth="1"/>
    <col min="4615" max="4615" width="13.140625" style="42" customWidth="1"/>
    <col min="4616" max="4616" width="10.7109375" style="42" customWidth="1"/>
    <col min="4617" max="4617" width="12.140625" style="42" customWidth="1"/>
    <col min="4618" max="4618" width="13.140625" style="42" customWidth="1"/>
    <col min="4619" max="4619" width="10.7109375" style="42" customWidth="1"/>
    <col min="4620" max="4620" width="12.140625" style="42" customWidth="1"/>
    <col min="4621" max="4621" width="13.140625" style="42" customWidth="1"/>
    <col min="4622" max="4622" width="10.7109375" style="42" customWidth="1"/>
    <col min="4623" max="4623" width="12.140625" style="42" customWidth="1"/>
    <col min="4624" max="4624" width="13.140625" style="42" customWidth="1"/>
    <col min="4625" max="4625" width="10.7109375" style="42" customWidth="1"/>
    <col min="4626" max="4626" width="12.140625" style="42" customWidth="1"/>
    <col min="4627" max="4627" width="13.140625" style="42" customWidth="1"/>
    <col min="4628" max="4628" width="10.7109375" style="42" bestFit="1" customWidth="1"/>
    <col min="4629" max="4629" width="12.140625" style="42" bestFit="1" customWidth="1"/>
    <col min="4630" max="4630" width="13.140625" style="42" bestFit="1" customWidth="1"/>
    <col min="4631" max="4631" width="10.7109375" style="42" bestFit="1" customWidth="1"/>
    <col min="4632" max="4632" width="12.140625" style="42" bestFit="1" customWidth="1"/>
    <col min="4633" max="4633" width="13.140625" style="42" bestFit="1" customWidth="1"/>
    <col min="4634" max="4858" width="9.140625" style="42"/>
    <col min="4859" max="4859" width="24.85546875" style="42" customWidth="1"/>
    <col min="4860" max="4860" width="13" style="42" customWidth="1"/>
    <col min="4861" max="4861" width="12.140625" style="42" customWidth="1"/>
    <col min="4862" max="4862" width="13.140625" style="42" customWidth="1"/>
    <col min="4863" max="4863" width="10.7109375" style="42" customWidth="1"/>
    <col min="4864" max="4864" width="12.140625" style="42" customWidth="1"/>
    <col min="4865" max="4865" width="13.140625" style="42" customWidth="1"/>
    <col min="4866" max="4866" width="10.7109375" style="42" customWidth="1"/>
    <col min="4867" max="4867" width="12.140625" style="42" customWidth="1"/>
    <col min="4868" max="4868" width="13.140625" style="42" customWidth="1"/>
    <col min="4869" max="4869" width="10.7109375" style="42" customWidth="1"/>
    <col min="4870" max="4870" width="12.140625" style="42" customWidth="1"/>
    <col min="4871" max="4871" width="13.140625" style="42" customWidth="1"/>
    <col min="4872" max="4872" width="10.7109375" style="42" customWidth="1"/>
    <col min="4873" max="4873" width="12.140625" style="42" customWidth="1"/>
    <col min="4874" max="4874" width="13.140625" style="42" customWidth="1"/>
    <col min="4875" max="4875" width="10.7109375" style="42" customWidth="1"/>
    <col min="4876" max="4876" width="12.140625" style="42" customWidth="1"/>
    <col min="4877" max="4877" width="13.140625" style="42" customWidth="1"/>
    <col min="4878" max="4878" width="10.7109375" style="42" customWidth="1"/>
    <col min="4879" max="4879" width="12.140625" style="42" customWidth="1"/>
    <col min="4880" max="4880" width="13.140625" style="42" customWidth="1"/>
    <col min="4881" max="4881" width="10.7109375" style="42" customWidth="1"/>
    <col min="4882" max="4882" width="12.140625" style="42" customWidth="1"/>
    <col min="4883" max="4883" width="13.140625" style="42" customWidth="1"/>
    <col min="4884" max="4884" width="10.7109375" style="42" bestFit="1" customWidth="1"/>
    <col min="4885" max="4885" width="12.140625" style="42" bestFit="1" customWidth="1"/>
    <col min="4886" max="4886" width="13.140625" style="42" bestFit="1" customWidth="1"/>
    <col min="4887" max="4887" width="10.7109375" style="42" bestFit="1" customWidth="1"/>
    <col min="4888" max="4888" width="12.140625" style="42" bestFit="1" customWidth="1"/>
    <col min="4889" max="4889" width="13.140625" style="42" bestFit="1" customWidth="1"/>
    <col min="4890" max="5114" width="9.140625" style="42"/>
    <col min="5115" max="5115" width="24.85546875" style="42" customWidth="1"/>
    <col min="5116" max="5116" width="13" style="42" customWidth="1"/>
    <col min="5117" max="5117" width="12.140625" style="42" customWidth="1"/>
    <col min="5118" max="5118" width="13.140625" style="42" customWidth="1"/>
    <col min="5119" max="5119" width="10.7109375" style="42" customWidth="1"/>
    <col min="5120" max="5120" width="12.140625" style="42" customWidth="1"/>
    <col min="5121" max="5121" width="13.140625" style="42" customWidth="1"/>
    <col min="5122" max="5122" width="10.7109375" style="42" customWidth="1"/>
    <col min="5123" max="5123" width="12.140625" style="42" customWidth="1"/>
    <col min="5124" max="5124" width="13.140625" style="42" customWidth="1"/>
    <col min="5125" max="5125" width="10.7109375" style="42" customWidth="1"/>
    <col min="5126" max="5126" width="12.140625" style="42" customWidth="1"/>
    <col min="5127" max="5127" width="13.140625" style="42" customWidth="1"/>
    <col min="5128" max="5128" width="10.7109375" style="42" customWidth="1"/>
    <col min="5129" max="5129" width="12.140625" style="42" customWidth="1"/>
    <col min="5130" max="5130" width="13.140625" style="42" customWidth="1"/>
    <col min="5131" max="5131" width="10.7109375" style="42" customWidth="1"/>
    <col min="5132" max="5132" width="12.140625" style="42" customWidth="1"/>
    <col min="5133" max="5133" width="13.140625" style="42" customWidth="1"/>
    <col min="5134" max="5134" width="10.7109375" style="42" customWidth="1"/>
    <col min="5135" max="5135" width="12.140625" style="42" customWidth="1"/>
    <col min="5136" max="5136" width="13.140625" style="42" customWidth="1"/>
    <col min="5137" max="5137" width="10.7109375" style="42" customWidth="1"/>
    <col min="5138" max="5138" width="12.140625" style="42" customWidth="1"/>
    <col min="5139" max="5139" width="13.140625" style="42" customWidth="1"/>
    <col min="5140" max="5140" width="10.7109375" style="42" bestFit="1" customWidth="1"/>
    <col min="5141" max="5141" width="12.140625" style="42" bestFit="1" customWidth="1"/>
    <col min="5142" max="5142" width="13.140625" style="42" bestFit="1" customWidth="1"/>
    <col min="5143" max="5143" width="10.7109375" style="42" bestFit="1" customWidth="1"/>
    <col min="5144" max="5144" width="12.140625" style="42" bestFit="1" customWidth="1"/>
    <col min="5145" max="5145" width="13.140625" style="42" bestFit="1" customWidth="1"/>
    <col min="5146" max="5370" width="9.140625" style="42"/>
    <col min="5371" max="5371" width="24.85546875" style="42" customWidth="1"/>
    <col min="5372" max="5372" width="13" style="42" customWidth="1"/>
    <col min="5373" max="5373" width="12.140625" style="42" customWidth="1"/>
    <col min="5374" max="5374" width="13.140625" style="42" customWidth="1"/>
    <col min="5375" max="5375" width="10.7109375" style="42" customWidth="1"/>
    <col min="5376" max="5376" width="12.140625" style="42" customWidth="1"/>
    <col min="5377" max="5377" width="13.140625" style="42" customWidth="1"/>
    <col min="5378" max="5378" width="10.7109375" style="42" customWidth="1"/>
    <col min="5379" max="5379" width="12.140625" style="42" customWidth="1"/>
    <col min="5380" max="5380" width="13.140625" style="42" customWidth="1"/>
    <col min="5381" max="5381" width="10.7109375" style="42" customWidth="1"/>
    <col min="5382" max="5382" width="12.140625" style="42" customWidth="1"/>
    <col min="5383" max="5383" width="13.140625" style="42" customWidth="1"/>
    <col min="5384" max="5384" width="10.7109375" style="42" customWidth="1"/>
    <col min="5385" max="5385" width="12.140625" style="42" customWidth="1"/>
    <col min="5386" max="5386" width="13.140625" style="42" customWidth="1"/>
    <col min="5387" max="5387" width="10.7109375" style="42" customWidth="1"/>
    <col min="5388" max="5388" width="12.140625" style="42" customWidth="1"/>
    <col min="5389" max="5389" width="13.140625" style="42" customWidth="1"/>
    <col min="5390" max="5390" width="10.7109375" style="42" customWidth="1"/>
    <col min="5391" max="5391" width="12.140625" style="42" customWidth="1"/>
    <col min="5392" max="5392" width="13.140625" style="42" customWidth="1"/>
    <col min="5393" max="5393" width="10.7109375" style="42" customWidth="1"/>
    <col min="5394" max="5394" width="12.140625" style="42" customWidth="1"/>
    <col min="5395" max="5395" width="13.140625" style="42" customWidth="1"/>
    <col min="5396" max="5396" width="10.7109375" style="42" bestFit="1" customWidth="1"/>
    <col min="5397" max="5397" width="12.140625" style="42" bestFit="1" customWidth="1"/>
    <col min="5398" max="5398" width="13.140625" style="42" bestFit="1" customWidth="1"/>
    <col min="5399" max="5399" width="10.7109375" style="42" bestFit="1" customWidth="1"/>
    <col min="5400" max="5400" width="12.140625" style="42" bestFit="1" customWidth="1"/>
    <col min="5401" max="5401" width="13.140625" style="42" bestFit="1" customWidth="1"/>
    <col min="5402" max="5626" width="9.140625" style="42"/>
    <col min="5627" max="5627" width="24.85546875" style="42" customWidth="1"/>
    <col min="5628" max="5628" width="13" style="42" customWidth="1"/>
    <col min="5629" max="5629" width="12.140625" style="42" customWidth="1"/>
    <col min="5630" max="5630" width="13.140625" style="42" customWidth="1"/>
    <col min="5631" max="5631" width="10.7109375" style="42" customWidth="1"/>
    <col min="5632" max="5632" width="12.140625" style="42" customWidth="1"/>
    <col min="5633" max="5633" width="13.140625" style="42" customWidth="1"/>
    <col min="5634" max="5634" width="10.7109375" style="42" customWidth="1"/>
    <col min="5635" max="5635" width="12.140625" style="42" customWidth="1"/>
    <col min="5636" max="5636" width="13.140625" style="42" customWidth="1"/>
    <col min="5637" max="5637" width="10.7109375" style="42" customWidth="1"/>
    <col min="5638" max="5638" width="12.140625" style="42" customWidth="1"/>
    <col min="5639" max="5639" width="13.140625" style="42" customWidth="1"/>
    <col min="5640" max="5640" width="10.7109375" style="42" customWidth="1"/>
    <col min="5641" max="5641" width="12.140625" style="42" customWidth="1"/>
    <col min="5642" max="5642" width="13.140625" style="42" customWidth="1"/>
    <col min="5643" max="5643" width="10.7109375" style="42" customWidth="1"/>
    <col min="5644" max="5644" width="12.140625" style="42" customWidth="1"/>
    <col min="5645" max="5645" width="13.140625" style="42" customWidth="1"/>
    <col min="5646" max="5646" width="10.7109375" style="42" customWidth="1"/>
    <col min="5647" max="5647" width="12.140625" style="42" customWidth="1"/>
    <col min="5648" max="5648" width="13.140625" style="42" customWidth="1"/>
    <col min="5649" max="5649" width="10.7109375" style="42" customWidth="1"/>
    <col min="5650" max="5650" width="12.140625" style="42" customWidth="1"/>
    <col min="5651" max="5651" width="13.140625" style="42" customWidth="1"/>
    <col min="5652" max="5652" width="10.7109375" style="42" bestFit="1" customWidth="1"/>
    <col min="5653" max="5653" width="12.140625" style="42" bestFit="1" customWidth="1"/>
    <col min="5654" max="5654" width="13.140625" style="42" bestFit="1" customWidth="1"/>
    <col min="5655" max="5655" width="10.7109375" style="42" bestFit="1" customWidth="1"/>
    <col min="5656" max="5656" width="12.140625" style="42" bestFit="1" customWidth="1"/>
    <col min="5657" max="5657" width="13.140625" style="42" bestFit="1" customWidth="1"/>
    <col min="5658" max="5882" width="9.140625" style="42"/>
    <col min="5883" max="5883" width="24.85546875" style="42" customWidth="1"/>
    <col min="5884" max="5884" width="13" style="42" customWidth="1"/>
    <col min="5885" max="5885" width="12.140625" style="42" customWidth="1"/>
    <col min="5886" max="5886" width="13.140625" style="42" customWidth="1"/>
    <col min="5887" max="5887" width="10.7109375" style="42" customWidth="1"/>
    <col min="5888" max="5888" width="12.140625" style="42" customWidth="1"/>
    <col min="5889" max="5889" width="13.140625" style="42" customWidth="1"/>
    <col min="5890" max="5890" width="10.7109375" style="42" customWidth="1"/>
    <col min="5891" max="5891" width="12.140625" style="42" customWidth="1"/>
    <col min="5892" max="5892" width="13.140625" style="42" customWidth="1"/>
    <col min="5893" max="5893" width="10.7109375" style="42" customWidth="1"/>
    <col min="5894" max="5894" width="12.140625" style="42" customWidth="1"/>
    <col min="5895" max="5895" width="13.140625" style="42" customWidth="1"/>
    <col min="5896" max="5896" width="10.7109375" style="42" customWidth="1"/>
    <col min="5897" max="5897" width="12.140625" style="42" customWidth="1"/>
    <col min="5898" max="5898" width="13.140625" style="42" customWidth="1"/>
    <col min="5899" max="5899" width="10.7109375" style="42" customWidth="1"/>
    <col min="5900" max="5900" width="12.140625" style="42" customWidth="1"/>
    <col min="5901" max="5901" width="13.140625" style="42" customWidth="1"/>
    <col min="5902" max="5902" width="10.7109375" style="42" customWidth="1"/>
    <col min="5903" max="5903" width="12.140625" style="42" customWidth="1"/>
    <col min="5904" max="5904" width="13.140625" style="42" customWidth="1"/>
    <col min="5905" max="5905" width="10.7109375" style="42" customWidth="1"/>
    <col min="5906" max="5906" width="12.140625" style="42" customWidth="1"/>
    <col min="5907" max="5907" width="13.140625" style="42" customWidth="1"/>
    <col min="5908" max="5908" width="10.7109375" style="42" bestFit="1" customWidth="1"/>
    <col min="5909" max="5909" width="12.140625" style="42" bestFit="1" customWidth="1"/>
    <col min="5910" max="5910" width="13.140625" style="42" bestFit="1" customWidth="1"/>
    <col min="5911" max="5911" width="10.7109375" style="42" bestFit="1" customWidth="1"/>
    <col min="5912" max="5912" width="12.140625" style="42" bestFit="1" customWidth="1"/>
    <col min="5913" max="5913" width="13.140625" style="42" bestFit="1" customWidth="1"/>
    <col min="5914" max="6138" width="9.140625" style="42"/>
    <col min="6139" max="6139" width="24.85546875" style="42" customWidth="1"/>
    <col min="6140" max="6140" width="13" style="42" customWidth="1"/>
    <col min="6141" max="6141" width="12.140625" style="42" customWidth="1"/>
    <col min="6142" max="6142" width="13.140625" style="42" customWidth="1"/>
    <col min="6143" max="6143" width="10.7109375" style="42" customWidth="1"/>
    <col min="6144" max="6144" width="12.140625" style="42" customWidth="1"/>
    <col min="6145" max="6145" width="13.140625" style="42" customWidth="1"/>
    <col min="6146" max="6146" width="10.7109375" style="42" customWidth="1"/>
    <col min="6147" max="6147" width="12.140625" style="42" customWidth="1"/>
    <col min="6148" max="6148" width="13.140625" style="42" customWidth="1"/>
    <col min="6149" max="6149" width="10.7109375" style="42" customWidth="1"/>
    <col min="6150" max="6150" width="12.140625" style="42" customWidth="1"/>
    <col min="6151" max="6151" width="13.140625" style="42" customWidth="1"/>
    <col min="6152" max="6152" width="10.7109375" style="42" customWidth="1"/>
    <col min="6153" max="6153" width="12.140625" style="42" customWidth="1"/>
    <col min="6154" max="6154" width="13.140625" style="42" customWidth="1"/>
    <col min="6155" max="6155" width="10.7109375" style="42" customWidth="1"/>
    <col min="6156" max="6156" width="12.140625" style="42" customWidth="1"/>
    <col min="6157" max="6157" width="13.140625" style="42" customWidth="1"/>
    <col min="6158" max="6158" width="10.7109375" style="42" customWidth="1"/>
    <col min="6159" max="6159" width="12.140625" style="42" customWidth="1"/>
    <col min="6160" max="6160" width="13.140625" style="42" customWidth="1"/>
    <col min="6161" max="6161" width="10.7109375" style="42" customWidth="1"/>
    <col min="6162" max="6162" width="12.140625" style="42" customWidth="1"/>
    <col min="6163" max="6163" width="13.140625" style="42" customWidth="1"/>
    <col min="6164" max="6164" width="10.7109375" style="42" bestFit="1" customWidth="1"/>
    <col min="6165" max="6165" width="12.140625" style="42" bestFit="1" customWidth="1"/>
    <col min="6166" max="6166" width="13.140625" style="42" bestFit="1" customWidth="1"/>
    <col min="6167" max="6167" width="10.7109375" style="42" bestFit="1" customWidth="1"/>
    <col min="6168" max="6168" width="12.140625" style="42" bestFit="1" customWidth="1"/>
    <col min="6169" max="6169" width="13.140625" style="42" bestFit="1" customWidth="1"/>
    <col min="6170" max="6394" width="9.140625" style="42"/>
    <col min="6395" max="6395" width="24.85546875" style="42" customWidth="1"/>
    <col min="6396" max="6396" width="13" style="42" customWidth="1"/>
    <col min="6397" max="6397" width="12.140625" style="42" customWidth="1"/>
    <col min="6398" max="6398" width="13.140625" style="42" customWidth="1"/>
    <col min="6399" max="6399" width="10.7109375" style="42" customWidth="1"/>
    <col min="6400" max="6400" width="12.140625" style="42" customWidth="1"/>
    <col min="6401" max="6401" width="13.140625" style="42" customWidth="1"/>
    <col min="6402" max="6402" width="10.7109375" style="42" customWidth="1"/>
    <col min="6403" max="6403" width="12.140625" style="42" customWidth="1"/>
    <col min="6404" max="6404" width="13.140625" style="42" customWidth="1"/>
    <col min="6405" max="6405" width="10.7109375" style="42" customWidth="1"/>
    <col min="6406" max="6406" width="12.140625" style="42" customWidth="1"/>
    <col min="6407" max="6407" width="13.140625" style="42" customWidth="1"/>
    <col min="6408" max="6408" width="10.7109375" style="42" customWidth="1"/>
    <col min="6409" max="6409" width="12.140625" style="42" customWidth="1"/>
    <col min="6410" max="6410" width="13.140625" style="42" customWidth="1"/>
    <col min="6411" max="6411" width="10.7109375" style="42" customWidth="1"/>
    <col min="6412" max="6412" width="12.140625" style="42" customWidth="1"/>
    <col min="6413" max="6413" width="13.140625" style="42" customWidth="1"/>
    <col min="6414" max="6414" width="10.7109375" style="42" customWidth="1"/>
    <col min="6415" max="6415" width="12.140625" style="42" customWidth="1"/>
    <col min="6416" max="6416" width="13.140625" style="42" customWidth="1"/>
    <col min="6417" max="6417" width="10.7109375" style="42" customWidth="1"/>
    <col min="6418" max="6418" width="12.140625" style="42" customWidth="1"/>
    <col min="6419" max="6419" width="13.140625" style="42" customWidth="1"/>
    <col min="6420" max="6420" width="10.7109375" style="42" bestFit="1" customWidth="1"/>
    <col min="6421" max="6421" width="12.140625" style="42" bestFit="1" customWidth="1"/>
    <col min="6422" max="6422" width="13.140625" style="42" bestFit="1" customWidth="1"/>
    <col min="6423" max="6423" width="10.7109375" style="42" bestFit="1" customWidth="1"/>
    <col min="6424" max="6424" width="12.140625" style="42" bestFit="1" customWidth="1"/>
    <col min="6425" max="6425" width="13.140625" style="42" bestFit="1" customWidth="1"/>
    <col min="6426" max="6650" width="9.140625" style="42"/>
    <col min="6651" max="6651" width="24.85546875" style="42" customWidth="1"/>
    <col min="6652" max="6652" width="13" style="42" customWidth="1"/>
    <col min="6653" max="6653" width="12.140625" style="42" customWidth="1"/>
    <col min="6654" max="6654" width="13.140625" style="42" customWidth="1"/>
    <col min="6655" max="6655" width="10.7109375" style="42" customWidth="1"/>
    <col min="6656" max="6656" width="12.140625" style="42" customWidth="1"/>
    <col min="6657" max="6657" width="13.140625" style="42" customWidth="1"/>
    <col min="6658" max="6658" width="10.7109375" style="42" customWidth="1"/>
    <col min="6659" max="6659" width="12.140625" style="42" customWidth="1"/>
    <col min="6660" max="6660" width="13.140625" style="42" customWidth="1"/>
    <col min="6661" max="6661" width="10.7109375" style="42" customWidth="1"/>
    <col min="6662" max="6662" width="12.140625" style="42" customWidth="1"/>
    <col min="6663" max="6663" width="13.140625" style="42" customWidth="1"/>
    <col min="6664" max="6664" width="10.7109375" style="42" customWidth="1"/>
    <col min="6665" max="6665" width="12.140625" style="42" customWidth="1"/>
    <col min="6666" max="6666" width="13.140625" style="42" customWidth="1"/>
    <col min="6667" max="6667" width="10.7109375" style="42" customWidth="1"/>
    <col min="6668" max="6668" width="12.140625" style="42" customWidth="1"/>
    <col min="6669" max="6669" width="13.140625" style="42" customWidth="1"/>
    <col min="6670" max="6670" width="10.7109375" style="42" customWidth="1"/>
    <col min="6671" max="6671" width="12.140625" style="42" customWidth="1"/>
    <col min="6672" max="6672" width="13.140625" style="42" customWidth="1"/>
    <col min="6673" max="6673" width="10.7109375" style="42" customWidth="1"/>
    <col min="6674" max="6674" width="12.140625" style="42" customWidth="1"/>
    <col min="6675" max="6675" width="13.140625" style="42" customWidth="1"/>
    <col min="6676" max="6676" width="10.7109375" style="42" bestFit="1" customWidth="1"/>
    <col min="6677" max="6677" width="12.140625" style="42" bestFit="1" customWidth="1"/>
    <col min="6678" max="6678" width="13.140625" style="42" bestFit="1" customWidth="1"/>
    <col min="6679" max="6679" width="10.7109375" style="42" bestFit="1" customWidth="1"/>
    <col min="6680" max="6680" width="12.140625" style="42" bestFit="1" customWidth="1"/>
    <col min="6681" max="6681" width="13.140625" style="42" bestFit="1" customWidth="1"/>
    <col min="6682" max="6906" width="9.140625" style="42"/>
    <col min="6907" max="6907" width="24.85546875" style="42" customWidth="1"/>
    <col min="6908" max="6908" width="13" style="42" customWidth="1"/>
    <col min="6909" max="6909" width="12.140625" style="42" customWidth="1"/>
    <col min="6910" max="6910" width="13.140625" style="42" customWidth="1"/>
    <col min="6911" max="6911" width="10.7109375" style="42" customWidth="1"/>
    <col min="6912" max="6912" width="12.140625" style="42" customWidth="1"/>
    <col min="6913" max="6913" width="13.140625" style="42" customWidth="1"/>
    <col min="6914" max="6914" width="10.7109375" style="42" customWidth="1"/>
    <col min="6915" max="6915" width="12.140625" style="42" customWidth="1"/>
    <col min="6916" max="6916" width="13.140625" style="42" customWidth="1"/>
    <col min="6917" max="6917" width="10.7109375" style="42" customWidth="1"/>
    <col min="6918" max="6918" width="12.140625" style="42" customWidth="1"/>
    <col min="6919" max="6919" width="13.140625" style="42" customWidth="1"/>
    <col min="6920" max="6920" width="10.7109375" style="42" customWidth="1"/>
    <col min="6921" max="6921" width="12.140625" style="42" customWidth="1"/>
    <col min="6922" max="6922" width="13.140625" style="42" customWidth="1"/>
    <col min="6923" max="6923" width="10.7109375" style="42" customWidth="1"/>
    <col min="6924" max="6924" width="12.140625" style="42" customWidth="1"/>
    <col min="6925" max="6925" width="13.140625" style="42" customWidth="1"/>
    <col min="6926" max="6926" width="10.7109375" style="42" customWidth="1"/>
    <col min="6927" max="6927" width="12.140625" style="42" customWidth="1"/>
    <col min="6928" max="6928" width="13.140625" style="42" customWidth="1"/>
    <col min="6929" max="6929" width="10.7109375" style="42" customWidth="1"/>
    <col min="6930" max="6930" width="12.140625" style="42" customWidth="1"/>
    <col min="6931" max="6931" width="13.140625" style="42" customWidth="1"/>
    <col min="6932" max="6932" width="10.7109375" style="42" bestFit="1" customWidth="1"/>
    <col min="6933" max="6933" width="12.140625" style="42" bestFit="1" customWidth="1"/>
    <col min="6934" max="6934" width="13.140625" style="42" bestFit="1" customWidth="1"/>
    <col min="6935" max="6935" width="10.7109375" style="42" bestFit="1" customWidth="1"/>
    <col min="6936" max="6936" width="12.140625" style="42" bestFit="1" customWidth="1"/>
    <col min="6937" max="6937" width="13.140625" style="42" bestFit="1" customWidth="1"/>
    <col min="6938" max="7162" width="9.140625" style="42"/>
    <col min="7163" max="7163" width="24.85546875" style="42" customWidth="1"/>
    <col min="7164" max="7164" width="13" style="42" customWidth="1"/>
    <col min="7165" max="7165" width="12.140625" style="42" customWidth="1"/>
    <col min="7166" max="7166" width="13.140625" style="42" customWidth="1"/>
    <col min="7167" max="7167" width="10.7109375" style="42" customWidth="1"/>
    <col min="7168" max="7168" width="12.140625" style="42" customWidth="1"/>
    <col min="7169" max="7169" width="13.140625" style="42" customWidth="1"/>
    <col min="7170" max="7170" width="10.7109375" style="42" customWidth="1"/>
    <col min="7171" max="7171" width="12.140625" style="42" customWidth="1"/>
    <col min="7172" max="7172" width="13.140625" style="42" customWidth="1"/>
    <col min="7173" max="7173" width="10.7109375" style="42" customWidth="1"/>
    <col min="7174" max="7174" width="12.140625" style="42" customWidth="1"/>
    <col min="7175" max="7175" width="13.140625" style="42" customWidth="1"/>
    <col min="7176" max="7176" width="10.7109375" style="42" customWidth="1"/>
    <col min="7177" max="7177" width="12.140625" style="42" customWidth="1"/>
    <col min="7178" max="7178" width="13.140625" style="42" customWidth="1"/>
    <col min="7179" max="7179" width="10.7109375" style="42" customWidth="1"/>
    <col min="7180" max="7180" width="12.140625" style="42" customWidth="1"/>
    <col min="7181" max="7181" width="13.140625" style="42" customWidth="1"/>
    <col min="7182" max="7182" width="10.7109375" style="42" customWidth="1"/>
    <col min="7183" max="7183" width="12.140625" style="42" customWidth="1"/>
    <col min="7184" max="7184" width="13.140625" style="42" customWidth="1"/>
    <col min="7185" max="7185" width="10.7109375" style="42" customWidth="1"/>
    <col min="7186" max="7186" width="12.140625" style="42" customWidth="1"/>
    <col min="7187" max="7187" width="13.140625" style="42" customWidth="1"/>
    <col min="7188" max="7188" width="10.7109375" style="42" bestFit="1" customWidth="1"/>
    <col min="7189" max="7189" width="12.140625" style="42" bestFit="1" customWidth="1"/>
    <col min="7190" max="7190" width="13.140625" style="42" bestFit="1" customWidth="1"/>
    <col min="7191" max="7191" width="10.7109375" style="42" bestFit="1" customWidth="1"/>
    <col min="7192" max="7192" width="12.140625" style="42" bestFit="1" customWidth="1"/>
    <col min="7193" max="7193" width="13.140625" style="42" bestFit="1" customWidth="1"/>
    <col min="7194" max="7418" width="9.140625" style="42"/>
    <col min="7419" max="7419" width="24.85546875" style="42" customWidth="1"/>
    <col min="7420" max="7420" width="13" style="42" customWidth="1"/>
    <col min="7421" max="7421" width="12.140625" style="42" customWidth="1"/>
    <col min="7422" max="7422" width="13.140625" style="42" customWidth="1"/>
    <col min="7423" max="7423" width="10.7109375" style="42" customWidth="1"/>
    <col min="7424" max="7424" width="12.140625" style="42" customWidth="1"/>
    <col min="7425" max="7425" width="13.140625" style="42" customWidth="1"/>
    <col min="7426" max="7426" width="10.7109375" style="42" customWidth="1"/>
    <col min="7427" max="7427" width="12.140625" style="42" customWidth="1"/>
    <col min="7428" max="7428" width="13.140625" style="42" customWidth="1"/>
    <col min="7429" max="7429" width="10.7109375" style="42" customWidth="1"/>
    <col min="7430" max="7430" width="12.140625" style="42" customWidth="1"/>
    <col min="7431" max="7431" width="13.140625" style="42" customWidth="1"/>
    <col min="7432" max="7432" width="10.7109375" style="42" customWidth="1"/>
    <col min="7433" max="7433" width="12.140625" style="42" customWidth="1"/>
    <col min="7434" max="7434" width="13.140625" style="42" customWidth="1"/>
    <col min="7435" max="7435" width="10.7109375" style="42" customWidth="1"/>
    <col min="7436" max="7436" width="12.140625" style="42" customWidth="1"/>
    <col min="7437" max="7437" width="13.140625" style="42" customWidth="1"/>
    <col min="7438" max="7438" width="10.7109375" style="42" customWidth="1"/>
    <col min="7439" max="7439" width="12.140625" style="42" customWidth="1"/>
    <col min="7440" max="7440" width="13.140625" style="42" customWidth="1"/>
    <col min="7441" max="7441" width="10.7109375" style="42" customWidth="1"/>
    <col min="7442" max="7442" width="12.140625" style="42" customWidth="1"/>
    <col min="7443" max="7443" width="13.140625" style="42" customWidth="1"/>
    <col min="7444" max="7444" width="10.7109375" style="42" bestFit="1" customWidth="1"/>
    <col min="7445" max="7445" width="12.140625" style="42" bestFit="1" customWidth="1"/>
    <col min="7446" max="7446" width="13.140625" style="42" bestFit="1" customWidth="1"/>
    <col min="7447" max="7447" width="10.7109375" style="42" bestFit="1" customWidth="1"/>
    <col min="7448" max="7448" width="12.140625" style="42" bestFit="1" customWidth="1"/>
    <col min="7449" max="7449" width="13.140625" style="42" bestFit="1" customWidth="1"/>
    <col min="7450" max="7674" width="9.140625" style="42"/>
    <col min="7675" max="7675" width="24.85546875" style="42" customWidth="1"/>
    <col min="7676" max="7676" width="13" style="42" customWidth="1"/>
    <col min="7677" max="7677" width="12.140625" style="42" customWidth="1"/>
    <col min="7678" max="7678" width="13.140625" style="42" customWidth="1"/>
    <col min="7679" max="7679" width="10.7109375" style="42" customWidth="1"/>
    <col min="7680" max="7680" width="12.140625" style="42" customWidth="1"/>
    <col min="7681" max="7681" width="13.140625" style="42" customWidth="1"/>
    <col min="7682" max="7682" width="10.7109375" style="42" customWidth="1"/>
    <col min="7683" max="7683" width="12.140625" style="42" customWidth="1"/>
    <col min="7684" max="7684" width="13.140625" style="42" customWidth="1"/>
    <col min="7685" max="7685" width="10.7109375" style="42" customWidth="1"/>
    <col min="7686" max="7686" width="12.140625" style="42" customWidth="1"/>
    <col min="7687" max="7687" width="13.140625" style="42" customWidth="1"/>
    <col min="7688" max="7688" width="10.7109375" style="42" customWidth="1"/>
    <col min="7689" max="7689" width="12.140625" style="42" customWidth="1"/>
    <col min="7690" max="7690" width="13.140625" style="42" customWidth="1"/>
    <col min="7691" max="7691" width="10.7109375" style="42" customWidth="1"/>
    <col min="7692" max="7692" width="12.140625" style="42" customWidth="1"/>
    <col min="7693" max="7693" width="13.140625" style="42" customWidth="1"/>
    <col min="7694" max="7694" width="10.7109375" style="42" customWidth="1"/>
    <col min="7695" max="7695" width="12.140625" style="42" customWidth="1"/>
    <col min="7696" max="7696" width="13.140625" style="42" customWidth="1"/>
    <col min="7697" max="7697" width="10.7109375" style="42" customWidth="1"/>
    <col min="7698" max="7698" width="12.140625" style="42" customWidth="1"/>
    <col min="7699" max="7699" width="13.140625" style="42" customWidth="1"/>
    <col min="7700" max="7700" width="10.7109375" style="42" bestFit="1" customWidth="1"/>
    <col min="7701" max="7701" width="12.140625" style="42" bestFit="1" customWidth="1"/>
    <col min="7702" max="7702" width="13.140625" style="42" bestFit="1" customWidth="1"/>
    <col min="7703" max="7703" width="10.7109375" style="42" bestFit="1" customWidth="1"/>
    <col min="7704" max="7704" width="12.140625" style="42" bestFit="1" customWidth="1"/>
    <col min="7705" max="7705" width="13.140625" style="42" bestFit="1" customWidth="1"/>
    <col min="7706" max="7930" width="9.140625" style="42"/>
    <col min="7931" max="7931" width="24.85546875" style="42" customWidth="1"/>
    <col min="7932" max="7932" width="13" style="42" customWidth="1"/>
    <col min="7933" max="7933" width="12.140625" style="42" customWidth="1"/>
    <col min="7934" max="7934" width="13.140625" style="42" customWidth="1"/>
    <col min="7935" max="7935" width="10.7109375" style="42" customWidth="1"/>
    <col min="7936" max="7936" width="12.140625" style="42" customWidth="1"/>
    <col min="7937" max="7937" width="13.140625" style="42" customWidth="1"/>
    <col min="7938" max="7938" width="10.7109375" style="42" customWidth="1"/>
    <col min="7939" max="7939" width="12.140625" style="42" customWidth="1"/>
    <col min="7940" max="7940" width="13.140625" style="42" customWidth="1"/>
    <col min="7941" max="7941" width="10.7109375" style="42" customWidth="1"/>
    <col min="7942" max="7942" width="12.140625" style="42" customWidth="1"/>
    <col min="7943" max="7943" width="13.140625" style="42" customWidth="1"/>
    <col min="7944" max="7944" width="10.7109375" style="42" customWidth="1"/>
    <col min="7945" max="7945" width="12.140625" style="42" customWidth="1"/>
    <col min="7946" max="7946" width="13.140625" style="42" customWidth="1"/>
    <col min="7947" max="7947" width="10.7109375" style="42" customWidth="1"/>
    <col min="7948" max="7948" width="12.140625" style="42" customWidth="1"/>
    <col min="7949" max="7949" width="13.140625" style="42" customWidth="1"/>
    <col min="7950" max="7950" width="10.7109375" style="42" customWidth="1"/>
    <col min="7951" max="7951" width="12.140625" style="42" customWidth="1"/>
    <col min="7952" max="7952" width="13.140625" style="42" customWidth="1"/>
    <col min="7953" max="7953" width="10.7109375" style="42" customWidth="1"/>
    <col min="7954" max="7954" width="12.140625" style="42" customWidth="1"/>
    <col min="7955" max="7955" width="13.140625" style="42" customWidth="1"/>
    <col min="7956" max="7956" width="10.7109375" style="42" bestFit="1" customWidth="1"/>
    <col min="7957" max="7957" width="12.140625" style="42" bestFit="1" customWidth="1"/>
    <col min="7958" max="7958" width="13.140625" style="42" bestFit="1" customWidth="1"/>
    <col min="7959" max="7959" width="10.7109375" style="42" bestFit="1" customWidth="1"/>
    <col min="7960" max="7960" width="12.140625" style="42" bestFit="1" customWidth="1"/>
    <col min="7961" max="7961" width="13.140625" style="42" bestFit="1" customWidth="1"/>
    <col min="7962" max="8186" width="9.140625" style="42"/>
    <col min="8187" max="8187" width="24.85546875" style="42" customWidth="1"/>
    <col min="8188" max="8188" width="13" style="42" customWidth="1"/>
    <col min="8189" max="8189" width="12.140625" style="42" customWidth="1"/>
    <col min="8190" max="8190" width="13.140625" style="42" customWidth="1"/>
    <col min="8191" max="8191" width="10.7109375" style="42" customWidth="1"/>
    <col min="8192" max="8192" width="12.140625" style="42" customWidth="1"/>
    <col min="8193" max="8193" width="13.140625" style="42" customWidth="1"/>
    <col min="8194" max="8194" width="10.7109375" style="42" customWidth="1"/>
    <col min="8195" max="8195" width="12.140625" style="42" customWidth="1"/>
    <col min="8196" max="8196" width="13.140625" style="42" customWidth="1"/>
    <col min="8197" max="8197" width="10.7109375" style="42" customWidth="1"/>
    <col min="8198" max="8198" width="12.140625" style="42" customWidth="1"/>
    <col min="8199" max="8199" width="13.140625" style="42" customWidth="1"/>
    <col min="8200" max="8200" width="10.7109375" style="42" customWidth="1"/>
    <col min="8201" max="8201" width="12.140625" style="42" customWidth="1"/>
    <col min="8202" max="8202" width="13.140625" style="42" customWidth="1"/>
    <col min="8203" max="8203" width="10.7109375" style="42" customWidth="1"/>
    <col min="8204" max="8204" width="12.140625" style="42" customWidth="1"/>
    <col min="8205" max="8205" width="13.140625" style="42" customWidth="1"/>
    <col min="8206" max="8206" width="10.7109375" style="42" customWidth="1"/>
    <col min="8207" max="8207" width="12.140625" style="42" customWidth="1"/>
    <col min="8208" max="8208" width="13.140625" style="42" customWidth="1"/>
    <col min="8209" max="8209" width="10.7109375" style="42" customWidth="1"/>
    <col min="8210" max="8210" width="12.140625" style="42" customWidth="1"/>
    <col min="8211" max="8211" width="13.140625" style="42" customWidth="1"/>
    <col min="8212" max="8212" width="10.7109375" style="42" bestFit="1" customWidth="1"/>
    <col min="8213" max="8213" width="12.140625" style="42" bestFit="1" customWidth="1"/>
    <col min="8214" max="8214" width="13.140625" style="42" bestFit="1" customWidth="1"/>
    <col min="8215" max="8215" width="10.7109375" style="42" bestFit="1" customWidth="1"/>
    <col min="8216" max="8216" width="12.140625" style="42" bestFit="1" customWidth="1"/>
    <col min="8217" max="8217" width="13.140625" style="42" bestFit="1" customWidth="1"/>
    <col min="8218" max="8442" width="9.140625" style="42"/>
    <col min="8443" max="8443" width="24.85546875" style="42" customWidth="1"/>
    <col min="8444" max="8444" width="13" style="42" customWidth="1"/>
    <col min="8445" max="8445" width="12.140625" style="42" customWidth="1"/>
    <col min="8446" max="8446" width="13.140625" style="42" customWidth="1"/>
    <col min="8447" max="8447" width="10.7109375" style="42" customWidth="1"/>
    <col min="8448" max="8448" width="12.140625" style="42" customWidth="1"/>
    <col min="8449" max="8449" width="13.140625" style="42" customWidth="1"/>
    <col min="8450" max="8450" width="10.7109375" style="42" customWidth="1"/>
    <col min="8451" max="8451" width="12.140625" style="42" customWidth="1"/>
    <col min="8452" max="8452" width="13.140625" style="42" customWidth="1"/>
    <col min="8453" max="8453" width="10.7109375" style="42" customWidth="1"/>
    <col min="8454" max="8454" width="12.140625" style="42" customWidth="1"/>
    <col min="8455" max="8455" width="13.140625" style="42" customWidth="1"/>
    <col min="8456" max="8456" width="10.7109375" style="42" customWidth="1"/>
    <col min="8457" max="8457" width="12.140625" style="42" customWidth="1"/>
    <col min="8458" max="8458" width="13.140625" style="42" customWidth="1"/>
    <col min="8459" max="8459" width="10.7109375" style="42" customWidth="1"/>
    <col min="8460" max="8460" width="12.140625" style="42" customWidth="1"/>
    <col min="8461" max="8461" width="13.140625" style="42" customWidth="1"/>
    <col min="8462" max="8462" width="10.7109375" style="42" customWidth="1"/>
    <col min="8463" max="8463" width="12.140625" style="42" customWidth="1"/>
    <col min="8464" max="8464" width="13.140625" style="42" customWidth="1"/>
    <col min="8465" max="8465" width="10.7109375" style="42" customWidth="1"/>
    <col min="8466" max="8466" width="12.140625" style="42" customWidth="1"/>
    <col min="8467" max="8467" width="13.140625" style="42" customWidth="1"/>
    <col min="8468" max="8468" width="10.7109375" style="42" bestFit="1" customWidth="1"/>
    <col min="8469" max="8469" width="12.140625" style="42" bestFit="1" customWidth="1"/>
    <col min="8470" max="8470" width="13.140625" style="42" bestFit="1" customWidth="1"/>
    <col min="8471" max="8471" width="10.7109375" style="42" bestFit="1" customWidth="1"/>
    <col min="8472" max="8472" width="12.140625" style="42" bestFit="1" customWidth="1"/>
    <col min="8473" max="8473" width="13.140625" style="42" bestFit="1" customWidth="1"/>
    <col min="8474" max="8698" width="9.140625" style="42"/>
    <col min="8699" max="8699" width="24.85546875" style="42" customWidth="1"/>
    <col min="8700" max="8700" width="13" style="42" customWidth="1"/>
    <col min="8701" max="8701" width="12.140625" style="42" customWidth="1"/>
    <col min="8702" max="8702" width="13.140625" style="42" customWidth="1"/>
    <col min="8703" max="8703" width="10.7109375" style="42" customWidth="1"/>
    <col min="8704" max="8704" width="12.140625" style="42" customWidth="1"/>
    <col min="8705" max="8705" width="13.140625" style="42" customWidth="1"/>
    <col min="8706" max="8706" width="10.7109375" style="42" customWidth="1"/>
    <col min="8707" max="8707" width="12.140625" style="42" customWidth="1"/>
    <col min="8708" max="8708" width="13.140625" style="42" customWidth="1"/>
    <col min="8709" max="8709" width="10.7109375" style="42" customWidth="1"/>
    <col min="8710" max="8710" width="12.140625" style="42" customWidth="1"/>
    <col min="8711" max="8711" width="13.140625" style="42" customWidth="1"/>
    <col min="8712" max="8712" width="10.7109375" style="42" customWidth="1"/>
    <col min="8713" max="8713" width="12.140625" style="42" customWidth="1"/>
    <col min="8714" max="8714" width="13.140625" style="42" customWidth="1"/>
    <col min="8715" max="8715" width="10.7109375" style="42" customWidth="1"/>
    <col min="8716" max="8716" width="12.140625" style="42" customWidth="1"/>
    <col min="8717" max="8717" width="13.140625" style="42" customWidth="1"/>
    <col min="8718" max="8718" width="10.7109375" style="42" customWidth="1"/>
    <col min="8719" max="8719" width="12.140625" style="42" customWidth="1"/>
    <col min="8720" max="8720" width="13.140625" style="42" customWidth="1"/>
    <col min="8721" max="8721" width="10.7109375" style="42" customWidth="1"/>
    <col min="8722" max="8722" width="12.140625" style="42" customWidth="1"/>
    <col min="8723" max="8723" width="13.140625" style="42" customWidth="1"/>
    <col min="8724" max="8724" width="10.7109375" style="42" bestFit="1" customWidth="1"/>
    <col min="8725" max="8725" width="12.140625" style="42" bestFit="1" customWidth="1"/>
    <col min="8726" max="8726" width="13.140625" style="42" bestFit="1" customWidth="1"/>
    <col min="8727" max="8727" width="10.7109375" style="42" bestFit="1" customWidth="1"/>
    <col min="8728" max="8728" width="12.140625" style="42" bestFit="1" customWidth="1"/>
    <col min="8729" max="8729" width="13.140625" style="42" bestFit="1" customWidth="1"/>
    <col min="8730" max="8954" width="9.140625" style="42"/>
    <col min="8955" max="8955" width="24.85546875" style="42" customWidth="1"/>
    <col min="8956" max="8956" width="13" style="42" customWidth="1"/>
    <col min="8957" max="8957" width="12.140625" style="42" customWidth="1"/>
    <col min="8958" max="8958" width="13.140625" style="42" customWidth="1"/>
    <col min="8959" max="8959" width="10.7109375" style="42" customWidth="1"/>
    <col min="8960" max="8960" width="12.140625" style="42" customWidth="1"/>
    <col min="8961" max="8961" width="13.140625" style="42" customWidth="1"/>
    <col min="8962" max="8962" width="10.7109375" style="42" customWidth="1"/>
    <col min="8963" max="8963" width="12.140625" style="42" customWidth="1"/>
    <col min="8964" max="8964" width="13.140625" style="42" customWidth="1"/>
    <col min="8965" max="8965" width="10.7109375" style="42" customWidth="1"/>
    <col min="8966" max="8966" width="12.140625" style="42" customWidth="1"/>
    <col min="8967" max="8967" width="13.140625" style="42" customWidth="1"/>
    <col min="8968" max="8968" width="10.7109375" style="42" customWidth="1"/>
    <col min="8969" max="8969" width="12.140625" style="42" customWidth="1"/>
    <col min="8970" max="8970" width="13.140625" style="42" customWidth="1"/>
    <col min="8971" max="8971" width="10.7109375" style="42" customWidth="1"/>
    <col min="8972" max="8972" width="12.140625" style="42" customWidth="1"/>
    <col min="8973" max="8973" width="13.140625" style="42" customWidth="1"/>
    <col min="8974" max="8974" width="10.7109375" style="42" customWidth="1"/>
    <col min="8975" max="8975" width="12.140625" style="42" customWidth="1"/>
    <col min="8976" max="8976" width="13.140625" style="42" customWidth="1"/>
    <col min="8977" max="8977" width="10.7109375" style="42" customWidth="1"/>
    <col min="8978" max="8978" width="12.140625" style="42" customWidth="1"/>
    <col min="8979" max="8979" width="13.140625" style="42" customWidth="1"/>
    <col min="8980" max="8980" width="10.7109375" style="42" bestFit="1" customWidth="1"/>
    <col min="8981" max="8981" width="12.140625" style="42" bestFit="1" customWidth="1"/>
    <col min="8982" max="8982" width="13.140625" style="42" bestFit="1" customWidth="1"/>
    <col min="8983" max="8983" width="10.7109375" style="42" bestFit="1" customWidth="1"/>
    <col min="8984" max="8984" width="12.140625" style="42" bestFit="1" customWidth="1"/>
    <col min="8985" max="8985" width="13.140625" style="42" bestFit="1" customWidth="1"/>
    <col min="8986" max="9210" width="9.140625" style="42"/>
    <col min="9211" max="9211" width="24.85546875" style="42" customWidth="1"/>
    <col min="9212" max="9212" width="13" style="42" customWidth="1"/>
    <col min="9213" max="9213" width="12.140625" style="42" customWidth="1"/>
    <col min="9214" max="9214" width="13.140625" style="42" customWidth="1"/>
    <col min="9215" max="9215" width="10.7109375" style="42" customWidth="1"/>
    <col min="9216" max="9216" width="12.140625" style="42" customWidth="1"/>
    <col min="9217" max="9217" width="13.140625" style="42" customWidth="1"/>
    <col min="9218" max="9218" width="10.7109375" style="42" customWidth="1"/>
    <col min="9219" max="9219" width="12.140625" style="42" customWidth="1"/>
    <col min="9220" max="9220" width="13.140625" style="42" customWidth="1"/>
    <col min="9221" max="9221" width="10.7109375" style="42" customWidth="1"/>
    <col min="9222" max="9222" width="12.140625" style="42" customWidth="1"/>
    <col min="9223" max="9223" width="13.140625" style="42" customWidth="1"/>
    <col min="9224" max="9224" width="10.7109375" style="42" customWidth="1"/>
    <col min="9225" max="9225" width="12.140625" style="42" customWidth="1"/>
    <col min="9226" max="9226" width="13.140625" style="42" customWidth="1"/>
    <col min="9227" max="9227" width="10.7109375" style="42" customWidth="1"/>
    <col min="9228" max="9228" width="12.140625" style="42" customWidth="1"/>
    <col min="9229" max="9229" width="13.140625" style="42" customWidth="1"/>
    <col min="9230" max="9230" width="10.7109375" style="42" customWidth="1"/>
    <col min="9231" max="9231" width="12.140625" style="42" customWidth="1"/>
    <col min="9232" max="9232" width="13.140625" style="42" customWidth="1"/>
    <col min="9233" max="9233" width="10.7109375" style="42" customWidth="1"/>
    <col min="9234" max="9234" width="12.140625" style="42" customWidth="1"/>
    <col min="9235" max="9235" width="13.140625" style="42" customWidth="1"/>
    <col min="9236" max="9236" width="10.7109375" style="42" bestFit="1" customWidth="1"/>
    <col min="9237" max="9237" width="12.140625" style="42" bestFit="1" customWidth="1"/>
    <col min="9238" max="9238" width="13.140625" style="42" bestFit="1" customWidth="1"/>
    <col min="9239" max="9239" width="10.7109375" style="42" bestFit="1" customWidth="1"/>
    <col min="9240" max="9240" width="12.140625" style="42" bestFit="1" customWidth="1"/>
    <col min="9241" max="9241" width="13.140625" style="42" bestFit="1" customWidth="1"/>
    <col min="9242" max="9466" width="9.140625" style="42"/>
    <col min="9467" max="9467" width="24.85546875" style="42" customWidth="1"/>
    <col min="9468" max="9468" width="13" style="42" customWidth="1"/>
    <col min="9469" max="9469" width="12.140625" style="42" customWidth="1"/>
    <col min="9470" max="9470" width="13.140625" style="42" customWidth="1"/>
    <col min="9471" max="9471" width="10.7109375" style="42" customWidth="1"/>
    <col min="9472" max="9472" width="12.140625" style="42" customWidth="1"/>
    <col min="9473" max="9473" width="13.140625" style="42" customWidth="1"/>
    <col min="9474" max="9474" width="10.7109375" style="42" customWidth="1"/>
    <col min="9475" max="9475" width="12.140625" style="42" customWidth="1"/>
    <col min="9476" max="9476" width="13.140625" style="42" customWidth="1"/>
    <col min="9477" max="9477" width="10.7109375" style="42" customWidth="1"/>
    <col min="9478" max="9478" width="12.140625" style="42" customWidth="1"/>
    <col min="9479" max="9479" width="13.140625" style="42" customWidth="1"/>
    <col min="9480" max="9480" width="10.7109375" style="42" customWidth="1"/>
    <col min="9481" max="9481" width="12.140625" style="42" customWidth="1"/>
    <col min="9482" max="9482" width="13.140625" style="42" customWidth="1"/>
    <col min="9483" max="9483" width="10.7109375" style="42" customWidth="1"/>
    <col min="9484" max="9484" width="12.140625" style="42" customWidth="1"/>
    <col min="9485" max="9485" width="13.140625" style="42" customWidth="1"/>
    <col min="9486" max="9486" width="10.7109375" style="42" customWidth="1"/>
    <col min="9487" max="9487" width="12.140625" style="42" customWidth="1"/>
    <col min="9488" max="9488" width="13.140625" style="42" customWidth="1"/>
    <col min="9489" max="9489" width="10.7109375" style="42" customWidth="1"/>
    <col min="9490" max="9490" width="12.140625" style="42" customWidth="1"/>
    <col min="9491" max="9491" width="13.140625" style="42" customWidth="1"/>
    <col min="9492" max="9492" width="10.7109375" style="42" bestFit="1" customWidth="1"/>
    <col min="9493" max="9493" width="12.140625" style="42" bestFit="1" customWidth="1"/>
    <col min="9494" max="9494" width="13.140625" style="42" bestFit="1" customWidth="1"/>
    <col min="9495" max="9495" width="10.7109375" style="42" bestFit="1" customWidth="1"/>
    <col min="9496" max="9496" width="12.140625" style="42" bestFit="1" customWidth="1"/>
    <col min="9497" max="9497" width="13.140625" style="42" bestFit="1" customWidth="1"/>
    <col min="9498" max="9722" width="9.140625" style="42"/>
    <col min="9723" max="9723" width="24.85546875" style="42" customWidth="1"/>
    <col min="9724" max="9724" width="13" style="42" customWidth="1"/>
    <col min="9725" max="9725" width="12.140625" style="42" customWidth="1"/>
    <col min="9726" max="9726" width="13.140625" style="42" customWidth="1"/>
    <col min="9727" max="9727" width="10.7109375" style="42" customWidth="1"/>
    <col min="9728" max="9728" width="12.140625" style="42" customWidth="1"/>
    <col min="9729" max="9729" width="13.140625" style="42" customWidth="1"/>
    <col min="9730" max="9730" width="10.7109375" style="42" customWidth="1"/>
    <col min="9731" max="9731" width="12.140625" style="42" customWidth="1"/>
    <col min="9732" max="9732" width="13.140625" style="42" customWidth="1"/>
    <col min="9733" max="9733" width="10.7109375" style="42" customWidth="1"/>
    <col min="9734" max="9734" width="12.140625" style="42" customWidth="1"/>
    <col min="9735" max="9735" width="13.140625" style="42" customWidth="1"/>
    <col min="9736" max="9736" width="10.7109375" style="42" customWidth="1"/>
    <col min="9737" max="9737" width="12.140625" style="42" customWidth="1"/>
    <col min="9738" max="9738" width="13.140625" style="42" customWidth="1"/>
    <col min="9739" max="9739" width="10.7109375" style="42" customWidth="1"/>
    <col min="9740" max="9740" width="12.140625" style="42" customWidth="1"/>
    <col min="9741" max="9741" width="13.140625" style="42" customWidth="1"/>
    <col min="9742" max="9742" width="10.7109375" style="42" customWidth="1"/>
    <col min="9743" max="9743" width="12.140625" style="42" customWidth="1"/>
    <col min="9744" max="9744" width="13.140625" style="42" customWidth="1"/>
    <col min="9745" max="9745" width="10.7109375" style="42" customWidth="1"/>
    <col min="9746" max="9746" width="12.140625" style="42" customWidth="1"/>
    <col min="9747" max="9747" width="13.140625" style="42" customWidth="1"/>
    <col min="9748" max="9748" width="10.7109375" style="42" bestFit="1" customWidth="1"/>
    <col min="9749" max="9749" width="12.140625" style="42" bestFit="1" customWidth="1"/>
    <col min="9750" max="9750" width="13.140625" style="42" bestFit="1" customWidth="1"/>
    <col min="9751" max="9751" width="10.7109375" style="42" bestFit="1" customWidth="1"/>
    <col min="9752" max="9752" width="12.140625" style="42" bestFit="1" customWidth="1"/>
    <col min="9753" max="9753" width="13.140625" style="42" bestFit="1" customWidth="1"/>
    <col min="9754" max="9978" width="9.140625" style="42"/>
    <col min="9979" max="9979" width="24.85546875" style="42" customWidth="1"/>
    <col min="9980" max="9980" width="13" style="42" customWidth="1"/>
    <col min="9981" max="9981" width="12.140625" style="42" customWidth="1"/>
    <col min="9982" max="9982" width="13.140625" style="42" customWidth="1"/>
    <col min="9983" max="9983" width="10.7109375" style="42" customWidth="1"/>
    <col min="9984" max="9984" width="12.140625" style="42" customWidth="1"/>
    <col min="9985" max="9985" width="13.140625" style="42" customWidth="1"/>
    <col min="9986" max="9986" width="10.7109375" style="42" customWidth="1"/>
    <col min="9987" max="9987" width="12.140625" style="42" customWidth="1"/>
    <col min="9988" max="9988" width="13.140625" style="42" customWidth="1"/>
    <col min="9989" max="9989" width="10.7109375" style="42" customWidth="1"/>
    <col min="9990" max="9990" width="12.140625" style="42" customWidth="1"/>
    <col min="9991" max="9991" width="13.140625" style="42" customWidth="1"/>
    <col min="9992" max="9992" width="10.7109375" style="42" customWidth="1"/>
    <col min="9993" max="9993" width="12.140625" style="42" customWidth="1"/>
    <col min="9994" max="9994" width="13.140625" style="42" customWidth="1"/>
    <col min="9995" max="9995" width="10.7109375" style="42" customWidth="1"/>
    <col min="9996" max="9996" width="12.140625" style="42" customWidth="1"/>
    <col min="9997" max="9997" width="13.140625" style="42" customWidth="1"/>
    <col min="9998" max="9998" width="10.7109375" style="42" customWidth="1"/>
    <col min="9999" max="9999" width="12.140625" style="42" customWidth="1"/>
    <col min="10000" max="10000" width="13.140625" style="42" customWidth="1"/>
    <col min="10001" max="10001" width="10.7109375" style="42" customWidth="1"/>
    <col min="10002" max="10002" width="12.140625" style="42" customWidth="1"/>
    <col min="10003" max="10003" width="13.140625" style="42" customWidth="1"/>
    <col min="10004" max="10004" width="10.7109375" style="42" bestFit="1" customWidth="1"/>
    <col min="10005" max="10005" width="12.140625" style="42" bestFit="1" customWidth="1"/>
    <col min="10006" max="10006" width="13.140625" style="42" bestFit="1" customWidth="1"/>
    <col min="10007" max="10007" width="10.7109375" style="42" bestFit="1" customWidth="1"/>
    <col min="10008" max="10008" width="12.140625" style="42" bestFit="1" customWidth="1"/>
    <col min="10009" max="10009" width="13.140625" style="42" bestFit="1" customWidth="1"/>
    <col min="10010" max="10234" width="9.140625" style="42"/>
    <col min="10235" max="10235" width="24.85546875" style="42" customWidth="1"/>
    <col min="10236" max="10236" width="13" style="42" customWidth="1"/>
    <col min="10237" max="10237" width="12.140625" style="42" customWidth="1"/>
    <col min="10238" max="10238" width="13.140625" style="42" customWidth="1"/>
    <col min="10239" max="10239" width="10.7109375" style="42" customWidth="1"/>
    <col min="10240" max="10240" width="12.140625" style="42" customWidth="1"/>
    <col min="10241" max="10241" width="13.140625" style="42" customWidth="1"/>
    <col min="10242" max="10242" width="10.7109375" style="42" customWidth="1"/>
    <col min="10243" max="10243" width="12.140625" style="42" customWidth="1"/>
    <col min="10244" max="10244" width="13.140625" style="42" customWidth="1"/>
    <col min="10245" max="10245" width="10.7109375" style="42" customWidth="1"/>
    <col min="10246" max="10246" width="12.140625" style="42" customWidth="1"/>
    <col min="10247" max="10247" width="13.140625" style="42" customWidth="1"/>
    <col min="10248" max="10248" width="10.7109375" style="42" customWidth="1"/>
    <col min="10249" max="10249" width="12.140625" style="42" customWidth="1"/>
    <col min="10250" max="10250" width="13.140625" style="42" customWidth="1"/>
    <col min="10251" max="10251" width="10.7109375" style="42" customWidth="1"/>
    <col min="10252" max="10252" width="12.140625" style="42" customWidth="1"/>
    <col min="10253" max="10253" width="13.140625" style="42" customWidth="1"/>
    <col min="10254" max="10254" width="10.7109375" style="42" customWidth="1"/>
    <col min="10255" max="10255" width="12.140625" style="42" customWidth="1"/>
    <col min="10256" max="10256" width="13.140625" style="42" customWidth="1"/>
    <col min="10257" max="10257" width="10.7109375" style="42" customWidth="1"/>
    <col min="10258" max="10258" width="12.140625" style="42" customWidth="1"/>
    <col min="10259" max="10259" width="13.140625" style="42" customWidth="1"/>
    <col min="10260" max="10260" width="10.7109375" style="42" bestFit="1" customWidth="1"/>
    <col min="10261" max="10261" width="12.140625" style="42" bestFit="1" customWidth="1"/>
    <col min="10262" max="10262" width="13.140625" style="42" bestFit="1" customWidth="1"/>
    <col min="10263" max="10263" width="10.7109375" style="42" bestFit="1" customWidth="1"/>
    <col min="10264" max="10264" width="12.140625" style="42" bestFit="1" customWidth="1"/>
    <col min="10265" max="10265" width="13.140625" style="42" bestFit="1" customWidth="1"/>
    <col min="10266" max="10490" width="9.140625" style="42"/>
    <col min="10491" max="10491" width="24.85546875" style="42" customWidth="1"/>
    <col min="10492" max="10492" width="13" style="42" customWidth="1"/>
    <col min="10493" max="10493" width="12.140625" style="42" customWidth="1"/>
    <col min="10494" max="10494" width="13.140625" style="42" customWidth="1"/>
    <col min="10495" max="10495" width="10.7109375" style="42" customWidth="1"/>
    <col min="10496" max="10496" width="12.140625" style="42" customWidth="1"/>
    <col min="10497" max="10497" width="13.140625" style="42" customWidth="1"/>
    <col min="10498" max="10498" width="10.7109375" style="42" customWidth="1"/>
    <col min="10499" max="10499" width="12.140625" style="42" customWidth="1"/>
    <col min="10500" max="10500" width="13.140625" style="42" customWidth="1"/>
    <col min="10501" max="10501" width="10.7109375" style="42" customWidth="1"/>
    <col min="10502" max="10502" width="12.140625" style="42" customWidth="1"/>
    <col min="10503" max="10503" width="13.140625" style="42" customWidth="1"/>
    <col min="10504" max="10504" width="10.7109375" style="42" customWidth="1"/>
    <col min="10505" max="10505" width="12.140625" style="42" customWidth="1"/>
    <col min="10506" max="10506" width="13.140625" style="42" customWidth="1"/>
    <col min="10507" max="10507" width="10.7109375" style="42" customWidth="1"/>
    <col min="10508" max="10508" width="12.140625" style="42" customWidth="1"/>
    <col min="10509" max="10509" width="13.140625" style="42" customWidth="1"/>
    <col min="10510" max="10510" width="10.7109375" style="42" customWidth="1"/>
    <col min="10511" max="10511" width="12.140625" style="42" customWidth="1"/>
    <col min="10512" max="10512" width="13.140625" style="42" customWidth="1"/>
    <col min="10513" max="10513" width="10.7109375" style="42" customWidth="1"/>
    <col min="10514" max="10514" width="12.140625" style="42" customWidth="1"/>
    <col min="10515" max="10515" width="13.140625" style="42" customWidth="1"/>
    <col min="10516" max="10516" width="10.7109375" style="42" bestFit="1" customWidth="1"/>
    <col min="10517" max="10517" width="12.140625" style="42" bestFit="1" customWidth="1"/>
    <col min="10518" max="10518" width="13.140625" style="42" bestFit="1" customWidth="1"/>
    <col min="10519" max="10519" width="10.7109375" style="42" bestFit="1" customWidth="1"/>
    <col min="10520" max="10520" width="12.140625" style="42" bestFit="1" customWidth="1"/>
    <col min="10521" max="10521" width="13.140625" style="42" bestFit="1" customWidth="1"/>
    <col min="10522" max="10746" width="9.140625" style="42"/>
    <col min="10747" max="10747" width="24.85546875" style="42" customWidth="1"/>
    <col min="10748" max="10748" width="13" style="42" customWidth="1"/>
    <col min="10749" max="10749" width="12.140625" style="42" customWidth="1"/>
    <col min="10750" max="10750" width="13.140625" style="42" customWidth="1"/>
    <col min="10751" max="10751" width="10.7109375" style="42" customWidth="1"/>
    <col min="10752" max="10752" width="12.140625" style="42" customWidth="1"/>
    <col min="10753" max="10753" width="13.140625" style="42" customWidth="1"/>
    <col min="10754" max="10754" width="10.7109375" style="42" customWidth="1"/>
    <col min="10755" max="10755" width="12.140625" style="42" customWidth="1"/>
    <col min="10756" max="10756" width="13.140625" style="42" customWidth="1"/>
    <col min="10757" max="10757" width="10.7109375" style="42" customWidth="1"/>
    <col min="10758" max="10758" width="12.140625" style="42" customWidth="1"/>
    <col min="10759" max="10759" width="13.140625" style="42" customWidth="1"/>
    <col min="10760" max="10760" width="10.7109375" style="42" customWidth="1"/>
    <col min="10761" max="10761" width="12.140625" style="42" customWidth="1"/>
    <col min="10762" max="10762" width="13.140625" style="42" customWidth="1"/>
    <col min="10763" max="10763" width="10.7109375" style="42" customWidth="1"/>
    <col min="10764" max="10764" width="12.140625" style="42" customWidth="1"/>
    <col min="10765" max="10765" width="13.140625" style="42" customWidth="1"/>
    <col min="10766" max="10766" width="10.7109375" style="42" customWidth="1"/>
    <col min="10767" max="10767" width="12.140625" style="42" customWidth="1"/>
    <col min="10768" max="10768" width="13.140625" style="42" customWidth="1"/>
    <col min="10769" max="10769" width="10.7109375" style="42" customWidth="1"/>
    <col min="10770" max="10770" width="12.140625" style="42" customWidth="1"/>
    <col min="10771" max="10771" width="13.140625" style="42" customWidth="1"/>
    <col min="10772" max="10772" width="10.7109375" style="42" bestFit="1" customWidth="1"/>
    <col min="10773" max="10773" width="12.140625" style="42" bestFit="1" customWidth="1"/>
    <col min="10774" max="10774" width="13.140625" style="42" bestFit="1" customWidth="1"/>
    <col min="10775" max="10775" width="10.7109375" style="42" bestFit="1" customWidth="1"/>
    <col min="10776" max="10776" width="12.140625" style="42" bestFit="1" customWidth="1"/>
    <col min="10777" max="10777" width="13.140625" style="42" bestFit="1" customWidth="1"/>
    <col min="10778" max="11002" width="9.140625" style="42"/>
    <col min="11003" max="11003" width="24.85546875" style="42" customWidth="1"/>
    <col min="11004" max="11004" width="13" style="42" customWidth="1"/>
    <col min="11005" max="11005" width="12.140625" style="42" customWidth="1"/>
    <col min="11006" max="11006" width="13.140625" style="42" customWidth="1"/>
    <col min="11007" max="11007" width="10.7109375" style="42" customWidth="1"/>
    <col min="11008" max="11008" width="12.140625" style="42" customWidth="1"/>
    <col min="11009" max="11009" width="13.140625" style="42" customWidth="1"/>
    <col min="11010" max="11010" width="10.7109375" style="42" customWidth="1"/>
    <col min="11011" max="11011" width="12.140625" style="42" customWidth="1"/>
    <col min="11012" max="11012" width="13.140625" style="42" customWidth="1"/>
    <col min="11013" max="11013" width="10.7109375" style="42" customWidth="1"/>
    <col min="11014" max="11014" width="12.140625" style="42" customWidth="1"/>
    <col min="11015" max="11015" width="13.140625" style="42" customWidth="1"/>
    <col min="11016" max="11016" width="10.7109375" style="42" customWidth="1"/>
    <col min="11017" max="11017" width="12.140625" style="42" customWidth="1"/>
    <col min="11018" max="11018" width="13.140625" style="42" customWidth="1"/>
    <col min="11019" max="11019" width="10.7109375" style="42" customWidth="1"/>
    <col min="11020" max="11020" width="12.140625" style="42" customWidth="1"/>
    <col min="11021" max="11021" width="13.140625" style="42" customWidth="1"/>
    <col min="11022" max="11022" width="10.7109375" style="42" customWidth="1"/>
    <col min="11023" max="11023" width="12.140625" style="42" customWidth="1"/>
    <col min="11024" max="11024" width="13.140625" style="42" customWidth="1"/>
    <col min="11025" max="11025" width="10.7109375" style="42" customWidth="1"/>
    <col min="11026" max="11026" width="12.140625" style="42" customWidth="1"/>
    <col min="11027" max="11027" width="13.140625" style="42" customWidth="1"/>
    <col min="11028" max="11028" width="10.7109375" style="42" bestFit="1" customWidth="1"/>
    <col min="11029" max="11029" width="12.140625" style="42" bestFit="1" customWidth="1"/>
    <col min="11030" max="11030" width="13.140625" style="42" bestFit="1" customWidth="1"/>
    <col min="11031" max="11031" width="10.7109375" style="42" bestFit="1" customWidth="1"/>
    <col min="11032" max="11032" width="12.140625" style="42" bestFit="1" customWidth="1"/>
    <col min="11033" max="11033" width="13.140625" style="42" bestFit="1" customWidth="1"/>
    <col min="11034" max="11258" width="9.140625" style="42"/>
    <col min="11259" max="11259" width="24.85546875" style="42" customWidth="1"/>
    <col min="11260" max="11260" width="13" style="42" customWidth="1"/>
    <col min="11261" max="11261" width="12.140625" style="42" customWidth="1"/>
    <col min="11262" max="11262" width="13.140625" style="42" customWidth="1"/>
    <col min="11263" max="11263" width="10.7109375" style="42" customWidth="1"/>
    <col min="11264" max="11264" width="12.140625" style="42" customWidth="1"/>
    <col min="11265" max="11265" width="13.140625" style="42" customWidth="1"/>
    <col min="11266" max="11266" width="10.7109375" style="42" customWidth="1"/>
    <col min="11267" max="11267" width="12.140625" style="42" customWidth="1"/>
    <col min="11268" max="11268" width="13.140625" style="42" customWidth="1"/>
    <col min="11269" max="11269" width="10.7109375" style="42" customWidth="1"/>
    <col min="11270" max="11270" width="12.140625" style="42" customWidth="1"/>
    <col min="11271" max="11271" width="13.140625" style="42" customWidth="1"/>
    <col min="11272" max="11272" width="10.7109375" style="42" customWidth="1"/>
    <col min="11273" max="11273" width="12.140625" style="42" customWidth="1"/>
    <col min="11274" max="11274" width="13.140625" style="42" customWidth="1"/>
    <col min="11275" max="11275" width="10.7109375" style="42" customWidth="1"/>
    <col min="11276" max="11276" width="12.140625" style="42" customWidth="1"/>
    <col min="11277" max="11277" width="13.140625" style="42" customWidth="1"/>
    <col min="11278" max="11278" width="10.7109375" style="42" customWidth="1"/>
    <col min="11279" max="11279" width="12.140625" style="42" customWidth="1"/>
    <col min="11280" max="11280" width="13.140625" style="42" customWidth="1"/>
    <col min="11281" max="11281" width="10.7109375" style="42" customWidth="1"/>
    <col min="11282" max="11282" width="12.140625" style="42" customWidth="1"/>
    <col min="11283" max="11283" width="13.140625" style="42" customWidth="1"/>
    <col min="11284" max="11284" width="10.7109375" style="42" bestFit="1" customWidth="1"/>
    <col min="11285" max="11285" width="12.140625" style="42" bestFit="1" customWidth="1"/>
    <col min="11286" max="11286" width="13.140625" style="42" bestFit="1" customWidth="1"/>
    <col min="11287" max="11287" width="10.7109375" style="42" bestFit="1" customWidth="1"/>
    <col min="11288" max="11288" width="12.140625" style="42" bestFit="1" customWidth="1"/>
    <col min="11289" max="11289" width="13.140625" style="42" bestFit="1" customWidth="1"/>
    <col min="11290" max="11514" width="9.140625" style="42"/>
    <col min="11515" max="11515" width="24.85546875" style="42" customWidth="1"/>
    <col min="11516" max="11516" width="13" style="42" customWidth="1"/>
    <col min="11517" max="11517" width="12.140625" style="42" customWidth="1"/>
    <col min="11518" max="11518" width="13.140625" style="42" customWidth="1"/>
    <col min="11519" max="11519" width="10.7109375" style="42" customWidth="1"/>
    <col min="11520" max="11520" width="12.140625" style="42" customWidth="1"/>
    <col min="11521" max="11521" width="13.140625" style="42" customWidth="1"/>
    <col min="11522" max="11522" width="10.7109375" style="42" customWidth="1"/>
    <col min="11523" max="11523" width="12.140625" style="42" customWidth="1"/>
    <col min="11524" max="11524" width="13.140625" style="42" customWidth="1"/>
    <col min="11525" max="11525" width="10.7109375" style="42" customWidth="1"/>
    <col min="11526" max="11526" width="12.140625" style="42" customWidth="1"/>
    <col min="11527" max="11527" width="13.140625" style="42" customWidth="1"/>
    <col min="11528" max="11528" width="10.7109375" style="42" customWidth="1"/>
    <col min="11529" max="11529" width="12.140625" style="42" customWidth="1"/>
    <col min="11530" max="11530" width="13.140625" style="42" customWidth="1"/>
    <col min="11531" max="11531" width="10.7109375" style="42" customWidth="1"/>
    <col min="11532" max="11532" width="12.140625" style="42" customWidth="1"/>
    <col min="11533" max="11533" width="13.140625" style="42" customWidth="1"/>
    <col min="11534" max="11534" width="10.7109375" style="42" customWidth="1"/>
    <col min="11535" max="11535" width="12.140625" style="42" customWidth="1"/>
    <col min="11536" max="11536" width="13.140625" style="42" customWidth="1"/>
    <col min="11537" max="11537" width="10.7109375" style="42" customWidth="1"/>
    <col min="11538" max="11538" width="12.140625" style="42" customWidth="1"/>
    <col min="11539" max="11539" width="13.140625" style="42" customWidth="1"/>
    <col min="11540" max="11540" width="10.7109375" style="42" bestFit="1" customWidth="1"/>
    <col min="11541" max="11541" width="12.140625" style="42" bestFit="1" customWidth="1"/>
    <col min="11542" max="11542" width="13.140625" style="42" bestFit="1" customWidth="1"/>
    <col min="11543" max="11543" width="10.7109375" style="42" bestFit="1" customWidth="1"/>
    <col min="11544" max="11544" width="12.140625" style="42" bestFit="1" customWidth="1"/>
    <col min="11545" max="11545" width="13.140625" style="42" bestFit="1" customWidth="1"/>
    <col min="11546" max="11770" width="9.140625" style="42"/>
    <col min="11771" max="11771" width="24.85546875" style="42" customWidth="1"/>
    <col min="11772" max="11772" width="13" style="42" customWidth="1"/>
    <col min="11773" max="11773" width="12.140625" style="42" customWidth="1"/>
    <col min="11774" max="11774" width="13.140625" style="42" customWidth="1"/>
    <col min="11775" max="11775" width="10.7109375" style="42" customWidth="1"/>
    <col min="11776" max="11776" width="12.140625" style="42" customWidth="1"/>
    <col min="11777" max="11777" width="13.140625" style="42" customWidth="1"/>
    <col min="11778" max="11778" width="10.7109375" style="42" customWidth="1"/>
    <col min="11779" max="11779" width="12.140625" style="42" customWidth="1"/>
    <col min="11780" max="11780" width="13.140625" style="42" customWidth="1"/>
    <col min="11781" max="11781" width="10.7109375" style="42" customWidth="1"/>
    <col min="11782" max="11782" width="12.140625" style="42" customWidth="1"/>
    <col min="11783" max="11783" width="13.140625" style="42" customWidth="1"/>
    <col min="11784" max="11784" width="10.7109375" style="42" customWidth="1"/>
    <col min="11785" max="11785" width="12.140625" style="42" customWidth="1"/>
    <col min="11786" max="11786" width="13.140625" style="42" customWidth="1"/>
    <col min="11787" max="11787" width="10.7109375" style="42" customWidth="1"/>
    <col min="11788" max="11788" width="12.140625" style="42" customWidth="1"/>
    <col min="11789" max="11789" width="13.140625" style="42" customWidth="1"/>
    <col min="11790" max="11790" width="10.7109375" style="42" customWidth="1"/>
    <col min="11791" max="11791" width="12.140625" style="42" customWidth="1"/>
    <col min="11792" max="11792" width="13.140625" style="42" customWidth="1"/>
    <col min="11793" max="11793" width="10.7109375" style="42" customWidth="1"/>
    <col min="11794" max="11794" width="12.140625" style="42" customWidth="1"/>
    <col min="11795" max="11795" width="13.140625" style="42" customWidth="1"/>
    <col min="11796" max="11796" width="10.7109375" style="42" bestFit="1" customWidth="1"/>
    <col min="11797" max="11797" width="12.140625" style="42" bestFit="1" customWidth="1"/>
    <col min="11798" max="11798" width="13.140625" style="42" bestFit="1" customWidth="1"/>
    <col min="11799" max="11799" width="10.7109375" style="42" bestFit="1" customWidth="1"/>
    <col min="11800" max="11800" width="12.140625" style="42" bestFit="1" customWidth="1"/>
    <col min="11801" max="11801" width="13.140625" style="42" bestFit="1" customWidth="1"/>
    <col min="11802" max="12026" width="9.140625" style="42"/>
    <col min="12027" max="12027" width="24.85546875" style="42" customWidth="1"/>
    <col min="12028" max="12028" width="13" style="42" customWidth="1"/>
    <col min="12029" max="12029" width="12.140625" style="42" customWidth="1"/>
    <col min="12030" max="12030" width="13.140625" style="42" customWidth="1"/>
    <col min="12031" max="12031" width="10.7109375" style="42" customWidth="1"/>
    <col min="12032" max="12032" width="12.140625" style="42" customWidth="1"/>
    <col min="12033" max="12033" width="13.140625" style="42" customWidth="1"/>
    <col min="12034" max="12034" width="10.7109375" style="42" customWidth="1"/>
    <col min="12035" max="12035" width="12.140625" style="42" customWidth="1"/>
    <col min="12036" max="12036" width="13.140625" style="42" customWidth="1"/>
    <col min="12037" max="12037" width="10.7109375" style="42" customWidth="1"/>
    <col min="12038" max="12038" width="12.140625" style="42" customWidth="1"/>
    <col min="12039" max="12039" width="13.140625" style="42" customWidth="1"/>
    <col min="12040" max="12040" width="10.7109375" style="42" customWidth="1"/>
    <col min="12041" max="12041" width="12.140625" style="42" customWidth="1"/>
    <col min="12042" max="12042" width="13.140625" style="42" customWidth="1"/>
    <col min="12043" max="12043" width="10.7109375" style="42" customWidth="1"/>
    <col min="12044" max="12044" width="12.140625" style="42" customWidth="1"/>
    <col min="12045" max="12045" width="13.140625" style="42" customWidth="1"/>
    <col min="12046" max="12046" width="10.7109375" style="42" customWidth="1"/>
    <col min="12047" max="12047" width="12.140625" style="42" customWidth="1"/>
    <col min="12048" max="12048" width="13.140625" style="42" customWidth="1"/>
    <col min="12049" max="12049" width="10.7109375" style="42" customWidth="1"/>
    <col min="12050" max="12050" width="12.140625" style="42" customWidth="1"/>
    <col min="12051" max="12051" width="13.140625" style="42" customWidth="1"/>
    <col min="12052" max="12052" width="10.7109375" style="42" bestFit="1" customWidth="1"/>
    <col min="12053" max="12053" width="12.140625" style="42" bestFit="1" customWidth="1"/>
    <col min="12054" max="12054" width="13.140625" style="42" bestFit="1" customWidth="1"/>
    <col min="12055" max="12055" width="10.7109375" style="42" bestFit="1" customWidth="1"/>
    <col min="12056" max="12056" width="12.140625" style="42" bestFit="1" customWidth="1"/>
    <col min="12057" max="12057" width="13.140625" style="42" bestFit="1" customWidth="1"/>
    <col min="12058" max="12282" width="9.140625" style="42"/>
    <col min="12283" max="12283" width="24.85546875" style="42" customWidth="1"/>
    <col min="12284" max="12284" width="13" style="42" customWidth="1"/>
    <col min="12285" max="12285" width="12.140625" style="42" customWidth="1"/>
    <col min="12286" max="12286" width="13.140625" style="42" customWidth="1"/>
    <col min="12287" max="12287" width="10.7109375" style="42" customWidth="1"/>
    <col min="12288" max="12288" width="12.140625" style="42" customWidth="1"/>
    <col min="12289" max="12289" width="13.140625" style="42" customWidth="1"/>
    <col min="12290" max="12290" width="10.7109375" style="42" customWidth="1"/>
    <col min="12291" max="12291" width="12.140625" style="42" customWidth="1"/>
    <col min="12292" max="12292" width="13.140625" style="42" customWidth="1"/>
    <col min="12293" max="12293" width="10.7109375" style="42" customWidth="1"/>
    <col min="12294" max="12294" width="12.140625" style="42" customWidth="1"/>
    <col min="12295" max="12295" width="13.140625" style="42" customWidth="1"/>
    <col min="12296" max="12296" width="10.7109375" style="42" customWidth="1"/>
    <col min="12297" max="12297" width="12.140625" style="42" customWidth="1"/>
    <col min="12298" max="12298" width="13.140625" style="42" customWidth="1"/>
    <col min="12299" max="12299" width="10.7109375" style="42" customWidth="1"/>
    <col min="12300" max="12300" width="12.140625" style="42" customWidth="1"/>
    <col min="12301" max="12301" width="13.140625" style="42" customWidth="1"/>
    <col min="12302" max="12302" width="10.7109375" style="42" customWidth="1"/>
    <col min="12303" max="12303" width="12.140625" style="42" customWidth="1"/>
    <col min="12304" max="12304" width="13.140625" style="42" customWidth="1"/>
    <col min="12305" max="12305" width="10.7109375" style="42" customWidth="1"/>
    <col min="12306" max="12306" width="12.140625" style="42" customWidth="1"/>
    <col min="12307" max="12307" width="13.140625" style="42" customWidth="1"/>
    <col min="12308" max="12308" width="10.7109375" style="42" bestFit="1" customWidth="1"/>
    <col min="12309" max="12309" width="12.140625" style="42" bestFit="1" customWidth="1"/>
    <col min="12310" max="12310" width="13.140625" style="42" bestFit="1" customWidth="1"/>
    <col min="12311" max="12311" width="10.7109375" style="42" bestFit="1" customWidth="1"/>
    <col min="12312" max="12312" width="12.140625" style="42" bestFit="1" customWidth="1"/>
    <col min="12313" max="12313" width="13.140625" style="42" bestFit="1" customWidth="1"/>
    <col min="12314" max="12538" width="9.140625" style="42"/>
    <col min="12539" max="12539" width="24.85546875" style="42" customWidth="1"/>
    <col min="12540" max="12540" width="13" style="42" customWidth="1"/>
    <col min="12541" max="12541" width="12.140625" style="42" customWidth="1"/>
    <col min="12542" max="12542" width="13.140625" style="42" customWidth="1"/>
    <col min="12543" max="12543" width="10.7109375" style="42" customWidth="1"/>
    <col min="12544" max="12544" width="12.140625" style="42" customWidth="1"/>
    <col min="12545" max="12545" width="13.140625" style="42" customWidth="1"/>
    <col min="12546" max="12546" width="10.7109375" style="42" customWidth="1"/>
    <col min="12547" max="12547" width="12.140625" style="42" customWidth="1"/>
    <col min="12548" max="12548" width="13.140625" style="42" customWidth="1"/>
    <col min="12549" max="12549" width="10.7109375" style="42" customWidth="1"/>
    <col min="12550" max="12550" width="12.140625" style="42" customWidth="1"/>
    <col min="12551" max="12551" width="13.140625" style="42" customWidth="1"/>
    <col min="12552" max="12552" width="10.7109375" style="42" customWidth="1"/>
    <col min="12553" max="12553" width="12.140625" style="42" customWidth="1"/>
    <col min="12554" max="12554" width="13.140625" style="42" customWidth="1"/>
    <col min="12555" max="12555" width="10.7109375" style="42" customWidth="1"/>
    <col min="12556" max="12556" width="12.140625" style="42" customWidth="1"/>
    <col min="12557" max="12557" width="13.140625" style="42" customWidth="1"/>
    <col min="12558" max="12558" width="10.7109375" style="42" customWidth="1"/>
    <col min="12559" max="12559" width="12.140625" style="42" customWidth="1"/>
    <col min="12560" max="12560" width="13.140625" style="42" customWidth="1"/>
    <col min="12561" max="12561" width="10.7109375" style="42" customWidth="1"/>
    <col min="12562" max="12562" width="12.140625" style="42" customWidth="1"/>
    <col min="12563" max="12563" width="13.140625" style="42" customWidth="1"/>
    <col min="12564" max="12564" width="10.7109375" style="42" bestFit="1" customWidth="1"/>
    <col min="12565" max="12565" width="12.140625" style="42" bestFit="1" customWidth="1"/>
    <col min="12566" max="12566" width="13.140625" style="42" bestFit="1" customWidth="1"/>
    <col min="12567" max="12567" width="10.7109375" style="42" bestFit="1" customWidth="1"/>
    <col min="12568" max="12568" width="12.140625" style="42" bestFit="1" customWidth="1"/>
    <col min="12569" max="12569" width="13.140625" style="42" bestFit="1" customWidth="1"/>
    <col min="12570" max="12794" width="9.140625" style="42"/>
    <col min="12795" max="12795" width="24.85546875" style="42" customWidth="1"/>
    <col min="12796" max="12796" width="13" style="42" customWidth="1"/>
    <col min="12797" max="12797" width="12.140625" style="42" customWidth="1"/>
    <col min="12798" max="12798" width="13.140625" style="42" customWidth="1"/>
    <col min="12799" max="12799" width="10.7109375" style="42" customWidth="1"/>
    <col min="12800" max="12800" width="12.140625" style="42" customWidth="1"/>
    <col min="12801" max="12801" width="13.140625" style="42" customWidth="1"/>
    <col min="12802" max="12802" width="10.7109375" style="42" customWidth="1"/>
    <col min="12803" max="12803" width="12.140625" style="42" customWidth="1"/>
    <col min="12804" max="12804" width="13.140625" style="42" customWidth="1"/>
    <col min="12805" max="12805" width="10.7109375" style="42" customWidth="1"/>
    <col min="12806" max="12806" width="12.140625" style="42" customWidth="1"/>
    <col min="12807" max="12807" width="13.140625" style="42" customWidth="1"/>
    <col min="12808" max="12808" width="10.7109375" style="42" customWidth="1"/>
    <col min="12809" max="12809" width="12.140625" style="42" customWidth="1"/>
    <col min="12810" max="12810" width="13.140625" style="42" customWidth="1"/>
    <col min="12811" max="12811" width="10.7109375" style="42" customWidth="1"/>
    <col min="12812" max="12812" width="12.140625" style="42" customWidth="1"/>
    <col min="12813" max="12813" width="13.140625" style="42" customWidth="1"/>
    <col min="12814" max="12814" width="10.7109375" style="42" customWidth="1"/>
    <col min="12815" max="12815" width="12.140625" style="42" customWidth="1"/>
    <col min="12816" max="12816" width="13.140625" style="42" customWidth="1"/>
    <col min="12817" max="12817" width="10.7109375" style="42" customWidth="1"/>
    <col min="12818" max="12818" width="12.140625" style="42" customWidth="1"/>
    <col min="12819" max="12819" width="13.140625" style="42" customWidth="1"/>
    <col min="12820" max="12820" width="10.7109375" style="42" bestFit="1" customWidth="1"/>
    <col min="12821" max="12821" width="12.140625" style="42" bestFit="1" customWidth="1"/>
    <col min="12822" max="12822" width="13.140625" style="42" bestFit="1" customWidth="1"/>
    <col min="12823" max="12823" width="10.7109375" style="42" bestFit="1" customWidth="1"/>
    <col min="12824" max="12824" width="12.140625" style="42" bestFit="1" customWidth="1"/>
    <col min="12825" max="12825" width="13.140625" style="42" bestFit="1" customWidth="1"/>
    <col min="12826" max="13050" width="9.140625" style="42"/>
    <col min="13051" max="13051" width="24.85546875" style="42" customWidth="1"/>
    <col min="13052" max="13052" width="13" style="42" customWidth="1"/>
    <col min="13053" max="13053" width="12.140625" style="42" customWidth="1"/>
    <col min="13054" max="13054" width="13.140625" style="42" customWidth="1"/>
    <col min="13055" max="13055" width="10.7109375" style="42" customWidth="1"/>
    <col min="13056" max="13056" width="12.140625" style="42" customWidth="1"/>
    <col min="13057" max="13057" width="13.140625" style="42" customWidth="1"/>
    <col min="13058" max="13058" width="10.7109375" style="42" customWidth="1"/>
    <col min="13059" max="13059" width="12.140625" style="42" customWidth="1"/>
    <col min="13060" max="13060" width="13.140625" style="42" customWidth="1"/>
    <col min="13061" max="13061" width="10.7109375" style="42" customWidth="1"/>
    <col min="13062" max="13062" width="12.140625" style="42" customWidth="1"/>
    <col min="13063" max="13063" width="13.140625" style="42" customWidth="1"/>
    <col min="13064" max="13064" width="10.7109375" style="42" customWidth="1"/>
    <col min="13065" max="13065" width="12.140625" style="42" customWidth="1"/>
    <col min="13066" max="13066" width="13.140625" style="42" customWidth="1"/>
    <col min="13067" max="13067" width="10.7109375" style="42" customWidth="1"/>
    <col min="13068" max="13068" width="12.140625" style="42" customWidth="1"/>
    <col min="13069" max="13069" width="13.140625" style="42" customWidth="1"/>
    <col min="13070" max="13070" width="10.7109375" style="42" customWidth="1"/>
    <col min="13071" max="13071" width="12.140625" style="42" customWidth="1"/>
    <col min="13072" max="13072" width="13.140625" style="42" customWidth="1"/>
    <col min="13073" max="13073" width="10.7109375" style="42" customWidth="1"/>
    <col min="13074" max="13074" width="12.140625" style="42" customWidth="1"/>
    <col min="13075" max="13075" width="13.140625" style="42" customWidth="1"/>
    <col min="13076" max="13076" width="10.7109375" style="42" bestFit="1" customWidth="1"/>
    <col min="13077" max="13077" width="12.140625" style="42" bestFit="1" customWidth="1"/>
    <col min="13078" max="13078" width="13.140625" style="42" bestFit="1" customWidth="1"/>
    <col min="13079" max="13079" width="10.7109375" style="42" bestFit="1" customWidth="1"/>
    <col min="13080" max="13080" width="12.140625" style="42" bestFit="1" customWidth="1"/>
    <col min="13081" max="13081" width="13.140625" style="42" bestFit="1" customWidth="1"/>
    <col min="13082" max="13306" width="9.140625" style="42"/>
    <col min="13307" max="13307" width="24.85546875" style="42" customWidth="1"/>
    <col min="13308" max="13308" width="13" style="42" customWidth="1"/>
    <col min="13309" max="13309" width="12.140625" style="42" customWidth="1"/>
    <col min="13310" max="13310" width="13.140625" style="42" customWidth="1"/>
    <col min="13311" max="13311" width="10.7109375" style="42" customWidth="1"/>
    <col min="13312" max="13312" width="12.140625" style="42" customWidth="1"/>
    <col min="13313" max="13313" width="13.140625" style="42" customWidth="1"/>
    <col min="13314" max="13314" width="10.7109375" style="42" customWidth="1"/>
    <col min="13315" max="13315" width="12.140625" style="42" customWidth="1"/>
    <col min="13316" max="13316" width="13.140625" style="42" customWidth="1"/>
    <col min="13317" max="13317" width="10.7109375" style="42" customWidth="1"/>
    <col min="13318" max="13318" width="12.140625" style="42" customWidth="1"/>
    <col min="13319" max="13319" width="13.140625" style="42" customWidth="1"/>
    <col min="13320" max="13320" width="10.7109375" style="42" customWidth="1"/>
    <col min="13321" max="13321" width="12.140625" style="42" customWidth="1"/>
    <col min="13322" max="13322" width="13.140625" style="42" customWidth="1"/>
    <col min="13323" max="13323" width="10.7109375" style="42" customWidth="1"/>
    <col min="13324" max="13324" width="12.140625" style="42" customWidth="1"/>
    <col min="13325" max="13325" width="13.140625" style="42" customWidth="1"/>
    <col min="13326" max="13326" width="10.7109375" style="42" customWidth="1"/>
    <col min="13327" max="13327" width="12.140625" style="42" customWidth="1"/>
    <col min="13328" max="13328" width="13.140625" style="42" customWidth="1"/>
    <col min="13329" max="13329" width="10.7109375" style="42" customWidth="1"/>
    <col min="13330" max="13330" width="12.140625" style="42" customWidth="1"/>
    <col min="13331" max="13331" width="13.140625" style="42" customWidth="1"/>
    <col min="13332" max="13332" width="10.7109375" style="42" bestFit="1" customWidth="1"/>
    <col min="13333" max="13333" width="12.140625" style="42" bestFit="1" customWidth="1"/>
    <col min="13334" max="13334" width="13.140625" style="42" bestFit="1" customWidth="1"/>
    <col min="13335" max="13335" width="10.7109375" style="42" bestFit="1" customWidth="1"/>
    <col min="13336" max="13336" width="12.140625" style="42" bestFit="1" customWidth="1"/>
    <col min="13337" max="13337" width="13.140625" style="42" bestFit="1" customWidth="1"/>
    <col min="13338" max="13562" width="9.140625" style="42"/>
    <col min="13563" max="13563" width="24.85546875" style="42" customWidth="1"/>
    <col min="13564" max="13564" width="13" style="42" customWidth="1"/>
    <col min="13565" max="13565" width="12.140625" style="42" customWidth="1"/>
    <col min="13566" max="13566" width="13.140625" style="42" customWidth="1"/>
    <col min="13567" max="13567" width="10.7109375" style="42" customWidth="1"/>
    <col min="13568" max="13568" width="12.140625" style="42" customWidth="1"/>
    <col min="13569" max="13569" width="13.140625" style="42" customWidth="1"/>
    <col min="13570" max="13570" width="10.7109375" style="42" customWidth="1"/>
    <col min="13571" max="13571" width="12.140625" style="42" customWidth="1"/>
    <col min="13572" max="13572" width="13.140625" style="42" customWidth="1"/>
    <col min="13573" max="13573" width="10.7109375" style="42" customWidth="1"/>
    <col min="13574" max="13574" width="12.140625" style="42" customWidth="1"/>
    <col min="13575" max="13575" width="13.140625" style="42" customWidth="1"/>
    <col min="13576" max="13576" width="10.7109375" style="42" customWidth="1"/>
    <col min="13577" max="13577" width="12.140625" style="42" customWidth="1"/>
    <col min="13578" max="13578" width="13.140625" style="42" customWidth="1"/>
    <col min="13579" max="13579" width="10.7109375" style="42" customWidth="1"/>
    <col min="13580" max="13580" width="12.140625" style="42" customWidth="1"/>
    <col min="13581" max="13581" width="13.140625" style="42" customWidth="1"/>
    <col min="13582" max="13582" width="10.7109375" style="42" customWidth="1"/>
    <col min="13583" max="13583" width="12.140625" style="42" customWidth="1"/>
    <col min="13584" max="13584" width="13.140625" style="42" customWidth="1"/>
    <col min="13585" max="13585" width="10.7109375" style="42" customWidth="1"/>
    <col min="13586" max="13586" width="12.140625" style="42" customWidth="1"/>
    <col min="13587" max="13587" width="13.140625" style="42" customWidth="1"/>
    <col min="13588" max="13588" width="10.7109375" style="42" bestFit="1" customWidth="1"/>
    <col min="13589" max="13589" width="12.140625" style="42" bestFit="1" customWidth="1"/>
    <col min="13590" max="13590" width="13.140625" style="42" bestFit="1" customWidth="1"/>
    <col min="13591" max="13591" width="10.7109375" style="42" bestFit="1" customWidth="1"/>
    <col min="13592" max="13592" width="12.140625" style="42" bestFit="1" customWidth="1"/>
    <col min="13593" max="13593" width="13.140625" style="42" bestFit="1" customWidth="1"/>
    <col min="13594" max="13818" width="9.140625" style="42"/>
    <col min="13819" max="13819" width="24.85546875" style="42" customWidth="1"/>
    <col min="13820" max="13820" width="13" style="42" customWidth="1"/>
    <col min="13821" max="13821" width="12.140625" style="42" customWidth="1"/>
    <col min="13822" max="13822" width="13.140625" style="42" customWidth="1"/>
    <col min="13823" max="13823" width="10.7109375" style="42" customWidth="1"/>
    <col min="13824" max="13824" width="12.140625" style="42" customWidth="1"/>
    <col min="13825" max="13825" width="13.140625" style="42" customWidth="1"/>
    <col min="13826" max="13826" width="10.7109375" style="42" customWidth="1"/>
    <col min="13827" max="13827" width="12.140625" style="42" customWidth="1"/>
    <col min="13828" max="13828" width="13.140625" style="42" customWidth="1"/>
    <col min="13829" max="13829" width="10.7109375" style="42" customWidth="1"/>
    <col min="13830" max="13830" width="12.140625" style="42" customWidth="1"/>
    <col min="13831" max="13831" width="13.140625" style="42" customWidth="1"/>
    <col min="13832" max="13832" width="10.7109375" style="42" customWidth="1"/>
    <col min="13833" max="13833" width="12.140625" style="42" customWidth="1"/>
    <col min="13834" max="13834" width="13.140625" style="42" customWidth="1"/>
    <col min="13835" max="13835" width="10.7109375" style="42" customWidth="1"/>
    <col min="13836" max="13836" width="12.140625" style="42" customWidth="1"/>
    <col min="13837" max="13837" width="13.140625" style="42" customWidth="1"/>
    <col min="13838" max="13838" width="10.7109375" style="42" customWidth="1"/>
    <col min="13839" max="13839" width="12.140625" style="42" customWidth="1"/>
    <col min="13840" max="13840" width="13.140625" style="42" customWidth="1"/>
    <col min="13841" max="13841" width="10.7109375" style="42" customWidth="1"/>
    <col min="13842" max="13842" width="12.140625" style="42" customWidth="1"/>
    <col min="13843" max="13843" width="13.140625" style="42" customWidth="1"/>
    <col min="13844" max="13844" width="10.7109375" style="42" bestFit="1" customWidth="1"/>
    <col min="13845" max="13845" width="12.140625" style="42" bestFit="1" customWidth="1"/>
    <col min="13846" max="13846" width="13.140625" style="42" bestFit="1" customWidth="1"/>
    <col min="13847" max="13847" width="10.7109375" style="42" bestFit="1" customWidth="1"/>
    <col min="13848" max="13848" width="12.140625" style="42" bestFit="1" customWidth="1"/>
    <col min="13849" max="13849" width="13.140625" style="42" bestFit="1" customWidth="1"/>
    <col min="13850" max="14074" width="9.140625" style="42"/>
    <col min="14075" max="14075" width="24.85546875" style="42" customWidth="1"/>
    <col min="14076" max="14076" width="13" style="42" customWidth="1"/>
    <col min="14077" max="14077" width="12.140625" style="42" customWidth="1"/>
    <col min="14078" max="14078" width="13.140625" style="42" customWidth="1"/>
    <col min="14079" max="14079" width="10.7109375" style="42" customWidth="1"/>
    <col min="14080" max="14080" width="12.140625" style="42" customWidth="1"/>
    <col min="14081" max="14081" width="13.140625" style="42" customWidth="1"/>
    <col min="14082" max="14082" width="10.7109375" style="42" customWidth="1"/>
    <col min="14083" max="14083" width="12.140625" style="42" customWidth="1"/>
    <col min="14084" max="14084" width="13.140625" style="42" customWidth="1"/>
    <col min="14085" max="14085" width="10.7109375" style="42" customWidth="1"/>
    <col min="14086" max="14086" width="12.140625" style="42" customWidth="1"/>
    <col min="14087" max="14087" width="13.140625" style="42" customWidth="1"/>
    <col min="14088" max="14088" width="10.7109375" style="42" customWidth="1"/>
    <col min="14089" max="14089" width="12.140625" style="42" customWidth="1"/>
    <col min="14090" max="14090" width="13.140625" style="42" customWidth="1"/>
    <col min="14091" max="14091" width="10.7109375" style="42" customWidth="1"/>
    <col min="14092" max="14092" width="12.140625" style="42" customWidth="1"/>
    <col min="14093" max="14093" width="13.140625" style="42" customWidth="1"/>
    <col min="14094" max="14094" width="10.7109375" style="42" customWidth="1"/>
    <col min="14095" max="14095" width="12.140625" style="42" customWidth="1"/>
    <col min="14096" max="14096" width="13.140625" style="42" customWidth="1"/>
    <col min="14097" max="14097" width="10.7109375" style="42" customWidth="1"/>
    <col min="14098" max="14098" width="12.140625" style="42" customWidth="1"/>
    <col min="14099" max="14099" width="13.140625" style="42" customWidth="1"/>
    <col min="14100" max="14100" width="10.7109375" style="42" bestFit="1" customWidth="1"/>
    <col min="14101" max="14101" width="12.140625" style="42" bestFit="1" customWidth="1"/>
    <col min="14102" max="14102" width="13.140625" style="42" bestFit="1" customWidth="1"/>
    <col min="14103" max="14103" width="10.7109375" style="42" bestFit="1" customWidth="1"/>
    <col min="14104" max="14104" width="12.140625" style="42" bestFit="1" customWidth="1"/>
    <col min="14105" max="14105" width="13.140625" style="42" bestFit="1" customWidth="1"/>
    <col min="14106" max="14330" width="9.140625" style="42"/>
    <col min="14331" max="14331" width="24.85546875" style="42" customWidth="1"/>
    <col min="14332" max="14332" width="13" style="42" customWidth="1"/>
    <col min="14333" max="14333" width="12.140625" style="42" customWidth="1"/>
    <col min="14334" max="14334" width="13.140625" style="42" customWidth="1"/>
    <col min="14335" max="14335" width="10.7109375" style="42" customWidth="1"/>
    <col min="14336" max="14336" width="12.140625" style="42" customWidth="1"/>
    <col min="14337" max="14337" width="13.140625" style="42" customWidth="1"/>
    <col min="14338" max="14338" width="10.7109375" style="42" customWidth="1"/>
    <col min="14339" max="14339" width="12.140625" style="42" customWidth="1"/>
    <col min="14340" max="14340" width="13.140625" style="42" customWidth="1"/>
    <col min="14341" max="14341" width="10.7109375" style="42" customWidth="1"/>
    <col min="14342" max="14342" width="12.140625" style="42" customWidth="1"/>
    <col min="14343" max="14343" width="13.140625" style="42" customWidth="1"/>
    <col min="14344" max="14344" width="10.7109375" style="42" customWidth="1"/>
    <col min="14345" max="14345" width="12.140625" style="42" customWidth="1"/>
    <col min="14346" max="14346" width="13.140625" style="42" customWidth="1"/>
    <col min="14347" max="14347" width="10.7109375" style="42" customWidth="1"/>
    <col min="14348" max="14348" width="12.140625" style="42" customWidth="1"/>
    <col min="14349" max="14349" width="13.140625" style="42" customWidth="1"/>
    <col min="14350" max="14350" width="10.7109375" style="42" customWidth="1"/>
    <col min="14351" max="14351" width="12.140625" style="42" customWidth="1"/>
    <col min="14352" max="14352" width="13.140625" style="42" customWidth="1"/>
    <col min="14353" max="14353" width="10.7109375" style="42" customWidth="1"/>
    <col min="14354" max="14354" width="12.140625" style="42" customWidth="1"/>
    <col min="14355" max="14355" width="13.140625" style="42" customWidth="1"/>
    <col min="14356" max="14356" width="10.7109375" style="42" bestFit="1" customWidth="1"/>
    <col min="14357" max="14357" width="12.140625" style="42" bestFit="1" customWidth="1"/>
    <col min="14358" max="14358" width="13.140625" style="42" bestFit="1" customWidth="1"/>
    <col min="14359" max="14359" width="10.7109375" style="42" bestFit="1" customWidth="1"/>
    <col min="14360" max="14360" width="12.140625" style="42" bestFit="1" customWidth="1"/>
    <col min="14361" max="14361" width="13.140625" style="42" bestFit="1" customWidth="1"/>
    <col min="14362" max="14586" width="9.140625" style="42"/>
    <col min="14587" max="14587" width="24.85546875" style="42" customWidth="1"/>
    <col min="14588" max="14588" width="13" style="42" customWidth="1"/>
    <col min="14589" max="14589" width="12.140625" style="42" customWidth="1"/>
    <col min="14590" max="14590" width="13.140625" style="42" customWidth="1"/>
    <col min="14591" max="14591" width="10.7109375" style="42" customWidth="1"/>
    <col min="14592" max="14592" width="12.140625" style="42" customWidth="1"/>
    <col min="14593" max="14593" width="13.140625" style="42" customWidth="1"/>
    <col min="14594" max="14594" width="10.7109375" style="42" customWidth="1"/>
    <col min="14595" max="14595" width="12.140625" style="42" customWidth="1"/>
    <col min="14596" max="14596" width="13.140625" style="42" customWidth="1"/>
    <col min="14597" max="14597" width="10.7109375" style="42" customWidth="1"/>
    <col min="14598" max="14598" width="12.140625" style="42" customWidth="1"/>
    <col min="14599" max="14599" width="13.140625" style="42" customWidth="1"/>
    <col min="14600" max="14600" width="10.7109375" style="42" customWidth="1"/>
    <col min="14601" max="14601" width="12.140625" style="42" customWidth="1"/>
    <col min="14602" max="14602" width="13.140625" style="42" customWidth="1"/>
    <col min="14603" max="14603" width="10.7109375" style="42" customWidth="1"/>
    <col min="14604" max="14604" width="12.140625" style="42" customWidth="1"/>
    <col min="14605" max="14605" width="13.140625" style="42" customWidth="1"/>
    <col min="14606" max="14606" width="10.7109375" style="42" customWidth="1"/>
    <col min="14607" max="14607" width="12.140625" style="42" customWidth="1"/>
    <col min="14608" max="14608" width="13.140625" style="42" customWidth="1"/>
    <col min="14609" max="14609" width="10.7109375" style="42" customWidth="1"/>
    <col min="14610" max="14610" width="12.140625" style="42" customWidth="1"/>
    <col min="14611" max="14611" width="13.140625" style="42" customWidth="1"/>
    <col min="14612" max="14612" width="10.7109375" style="42" bestFit="1" customWidth="1"/>
    <col min="14613" max="14613" width="12.140625" style="42" bestFit="1" customWidth="1"/>
    <col min="14614" max="14614" width="13.140625" style="42" bestFit="1" customWidth="1"/>
    <col min="14615" max="14615" width="10.7109375" style="42" bestFit="1" customWidth="1"/>
    <col min="14616" max="14616" width="12.140625" style="42" bestFit="1" customWidth="1"/>
    <col min="14617" max="14617" width="13.140625" style="42" bestFit="1" customWidth="1"/>
    <col min="14618" max="14842" width="9.140625" style="42"/>
    <col min="14843" max="14843" width="24.85546875" style="42" customWidth="1"/>
    <col min="14844" max="14844" width="13" style="42" customWidth="1"/>
    <col min="14845" max="14845" width="12.140625" style="42" customWidth="1"/>
    <col min="14846" max="14846" width="13.140625" style="42" customWidth="1"/>
    <col min="14847" max="14847" width="10.7109375" style="42" customWidth="1"/>
    <col min="14848" max="14848" width="12.140625" style="42" customWidth="1"/>
    <col min="14849" max="14849" width="13.140625" style="42" customWidth="1"/>
    <col min="14850" max="14850" width="10.7109375" style="42" customWidth="1"/>
    <col min="14851" max="14851" width="12.140625" style="42" customWidth="1"/>
    <col min="14852" max="14852" width="13.140625" style="42" customWidth="1"/>
    <col min="14853" max="14853" width="10.7109375" style="42" customWidth="1"/>
    <col min="14854" max="14854" width="12.140625" style="42" customWidth="1"/>
    <col min="14855" max="14855" width="13.140625" style="42" customWidth="1"/>
    <col min="14856" max="14856" width="10.7109375" style="42" customWidth="1"/>
    <col min="14857" max="14857" width="12.140625" style="42" customWidth="1"/>
    <col min="14858" max="14858" width="13.140625" style="42" customWidth="1"/>
    <col min="14859" max="14859" width="10.7109375" style="42" customWidth="1"/>
    <col min="14860" max="14860" width="12.140625" style="42" customWidth="1"/>
    <col min="14861" max="14861" width="13.140625" style="42" customWidth="1"/>
    <col min="14862" max="14862" width="10.7109375" style="42" customWidth="1"/>
    <col min="14863" max="14863" width="12.140625" style="42" customWidth="1"/>
    <col min="14864" max="14864" width="13.140625" style="42" customWidth="1"/>
    <col min="14865" max="14865" width="10.7109375" style="42" customWidth="1"/>
    <col min="14866" max="14866" width="12.140625" style="42" customWidth="1"/>
    <col min="14867" max="14867" width="13.140625" style="42" customWidth="1"/>
    <col min="14868" max="14868" width="10.7109375" style="42" bestFit="1" customWidth="1"/>
    <col min="14869" max="14869" width="12.140625" style="42" bestFit="1" customWidth="1"/>
    <col min="14870" max="14870" width="13.140625" style="42" bestFit="1" customWidth="1"/>
    <col min="14871" max="14871" width="10.7109375" style="42" bestFit="1" customWidth="1"/>
    <col min="14872" max="14872" width="12.140625" style="42" bestFit="1" customWidth="1"/>
    <col min="14873" max="14873" width="13.140625" style="42" bestFit="1" customWidth="1"/>
    <col min="14874" max="15098" width="9.140625" style="42"/>
    <col min="15099" max="15099" width="24.85546875" style="42" customWidth="1"/>
    <col min="15100" max="15100" width="13" style="42" customWidth="1"/>
    <col min="15101" max="15101" width="12.140625" style="42" customWidth="1"/>
    <col min="15102" max="15102" width="13.140625" style="42" customWidth="1"/>
    <col min="15103" max="15103" width="10.7109375" style="42" customWidth="1"/>
    <col min="15104" max="15104" width="12.140625" style="42" customWidth="1"/>
    <col min="15105" max="15105" width="13.140625" style="42" customWidth="1"/>
    <col min="15106" max="15106" width="10.7109375" style="42" customWidth="1"/>
    <col min="15107" max="15107" width="12.140625" style="42" customWidth="1"/>
    <col min="15108" max="15108" width="13.140625" style="42" customWidth="1"/>
    <col min="15109" max="15109" width="10.7109375" style="42" customWidth="1"/>
    <col min="15110" max="15110" width="12.140625" style="42" customWidth="1"/>
    <col min="15111" max="15111" width="13.140625" style="42" customWidth="1"/>
    <col min="15112" max="15112" width="10.7109375" style="42" customWidth="1"/>
    <col min="15113" max="15113" width="12.140625" style="42" customWidth="1"/>
    <col min="15114" max="15114" width="13.140625" style="42" customWidth="1"/>
    <col min="15115" max="15115" width="10.7109375" style="42" customWidth="1"/>
    <col min="15116" max="15116" width="12.140625" style="42" customWidth="1"/>
    <col min="15117" max="15117" width="13.140625" style="42" customWidth="1"/>
    <col min="15118" max="15118" width="10.7109375" style="42" customWidth="1"/>
    <col min="15119" max="15119" width="12.140625" style="42" customWidth="1"/>
    <col min="15120" max="15120" width="13.140625" style="42" customWidth="1"/>
    <col min="15121" max="15121" width="10.7109375" style="42" customWidth="1"/>
    <col min="15122" max="15122" width="12.140625" style="42" customWidth="1"/>
    <col min="15123" max="15123" width="13.140625" style="42" customWidth="1"/>
    <col min="15124" max="15124" width="10.7109375" style="42" bestFit="1" customWidth="1"/>
    <col min="15125" max="15125" width="12.140625" style="42" bestFit="1" customWidth="1"/>
    <col min="15126" max="15126" width="13.140625" style="42" bestFit="1" customWidth="1"/>
    <col min="15127" max="15127" width="10.7109375" style="42" bestFit="1" customWidth="1"/>
    <col min="15128" max="15128" width="12.140625" style="42" bestFit="1" customWidth="1"/>
    <col min="15129" max="15129" width="13.140625" style="42" bestFit="1" customWidth="1"/>
    <col min="15130" max="15354" width="9.140625" style="42"/>
    <col min="15355" max="15355" width="24.85546875" style="42" customWidth="1"/>
    <col min="15356" max="15356" width="13" style="42" customWidth="1"/>
    <col min="15357" max="15357" width="12.140625" style="42" customWidth="1"/>
    <col min="15358" max="15358" width="13.140625" style="42" customWidth="1"/>
    <col min="15359" max="15359" width="10.7109375" style="42" customWidth="1"/>
    <col min="15360" max="15360" width="12.140625" style="42" customWidth="1"/>
    <col min="15361" max="15361" width="13.140625" style="42" customWidth="1"/>
    <col min="15362" max="15362" width="10.7109375" style="42" customWidth="1"/>
    <col min="15363" max="15363" width="12.140625" style="42" customWidth="1"/>
    <col min="15364" max="15364" width="13.140625" style="42" customWidth="1"/>
    <col min="15365" max="15365" width="10.7109375" style="42" customWidth="1"/>
    <col min="15366" max="15366" width="12.140625" style="42" customWidth="1"/>
    <col min="15367" max="15367" width="13.140625" style="42" customWidth="1"/>
    <col min="15368" max="15368" width="10.7109375" style="42" customWidth="1"/>
    <col min="15369" max="15369" width="12.140625" style="42" customWidth="1"/>
    <col min="15370" max="15370" width="13.140625" style="42" customWidth="1"/>
    <col min="15371" max="15371" width="10.7109375" style="42" customWidth="1"/>
    <col min="15372" max="15372" width="12.140625" style="42" customWidth="1"/>
    <col min="15373" max="15373" width="13.140625" style="42" customWidth="1"/>
    <col min="15374" max="15374" width="10.7109375" style="42" customWidth="1"/>
    <col min="15375" max="15375" width="12.140625" style="42" customWidth="1"/>
    <col min="15376" max="15376" width="13.140625" style="42" customWidth="1"/>
    <col min="15377" max="15377" width="10.7109375" style="42" customWidth="1"/>
    <col min="15378" max="15378" width="12.140625" style="42" customWidth="1"/>
    <col min="15379" max="15379" width="13.140625" style="42" customWidth="1"/>
    <col min="15380" max="15380" width="10.7109375" style="42" bestFit="1" customWidth="1"/>
    <col min="15381" max="15381" width="12.140625" style="42" bestFit="1" customWidth="1"/>
    <col min="15382" max="15382" width="13.140625" style="42" bestFit="1" customWidth="1"/>
    <col min="15383" max="15383" width="10.7109375" style="42" bestFit="1" customWidth="1"/>
    <col min="15384" max="15384" width="12.140625" style="42" bestFit="1" customWidth="1"/>
    <col min="15385" max="15385" width="13.140625" style="42" bestFit="1" customWidth="1"/>
    <col min="15386" max="15610" width="9.140625" style="42"/>
    <col min="15611" max="15611" width="24.85546875" style="42" customWidth="1"/>
    <col min="15612" max="15612" width="13" style="42" customWidth="1"/>
    <col min="15613" max="15613" width="12.140625" style="42" customWidth="1"/>
    <col min="15614" max="15614" width="13.140625" style="42" customWidth="1"/>
    <col min="15615" max="15615" width="10.7109375" style="42" customWidth="1"/>
    <col min="15616" max="15616" width="12.140625" style="42" customWidth="1"/>
    <col min="15617" max="15617" width="13.140625" style="42" customWidth="1"/>
    <col min="15618" max="15618" width="10.7109375" style="42" customWidth="1"/>
    <col min="15619" max="15619" width="12.140625" style="42" customWidth="1"/>
    <col min="15620" max="15620" width="13.140625" style="42" customWidth="1"/>
    <col min="15621" max="15621" width="10.7109375" style="42" customWidth="1"/>
    <col min="15622" max="15622" width="12.140625" style="42" customWidth="1"/>
    <col min="15623" max="15623" width="13.140625" style="42" customWidth="1"/>
    <col min="15624" max="15624" width="10.7109375" style="42" customWidth="1"/>
    <col min="15625" max="15625" width="12.140625" style="42" customWidth="1"/>
    <col min="15626" max="15626" width="13.140625" style="42" customWidth="1"/>
    <col min="15627" max="15627" width="10.7109375" style="42" customWidth="1"/>
    <col min="15628" max="15628" width="12.140625" style="42" customWidth="1"/>
    <col min="15629" max="15629" width="13.140625" style="42" customWidth="1"/>
    <col min="15630" max="15630" width="10.7109375" style="42" customWidth="1"/>
    <col min="15631" max="15631" width="12.140625" style="42" customWidth="1"/>
    <col min="15632" max="15632" width="13.140625" style="42" customWidth="1"/>
    <col min="15633" max="15633" width="10.7109375" style="42" customWidth="1"/>
    <col min="15634" max="15634" width="12.140625" style="42" customWidth="1"/>
    <col min="15635" max="15635" width="13.140625" style="42" customWidth="1"/>
    <col min="15636" max="15636" width="10.7109375" style="42" bestFit="1" customWidth="1"/>
    <col min="15637" max="15637" width="12.140625" style="42" bestFit="1" customWidth="1"/>
    <col min="15638" max="15638" width="13.140625" style="42" bestFit="1" customWidth="1"/>
    <col min="15639" max="15639" width="10.7109375" style="42" bestFit="1" customWidth="1"/>
    <col min="15640" max="15640" width="12.140625" style="42" bestFit="1" customWidth="1"/>
    <col min="15641" max="15641" width="13.140625" style="42" bestFit="1" customWidth="1"/>
    <col min="15642" max="15866" width="9.140625" style="42"/>
    <col min="15867" max="15867" width="24.85546875" style="42" customWidth="1"/>
    <col min="15868" max="15868" width="13" style="42" customWidth="1"/>
    <col min="15869" max="15869" width="12.140625" style="42" customWidth="1"/>
    <col min="15870" max="15870" width="13.140625" style="42" customWidth="1"/>
    <col min="15871" max="15871" width="10.7109375" style="42" customWidth="1"/>
    <col min="15872" max="15872" width="12.140625" style="42" customWidth="1"/>
    <col min="15873" max="15873" width="13.140625" style="42" customWidth="1"/>
    <col min="15874" max="15874" width="10.7109375" style="42" customWidth="1"/>
    <col min="15875" max="15875" width="12.140625" style="42" customWidth="1"/>
    <col min="15876" max="15876" width="13.140625" style="42" customWidth="1"/>
    <col min="15877" max="15877" width="10.7109375" style="42" customWidth="1"/>
    <col min="15878" max="15878" width="12.140625" style="42" customWidth="1"/>
    <col min="15879" max="15879" width="13.140625" style="42" customWidth="1"/>
    <col min="15880" max="15880" width="10.7109375" style="42" customWidth="1"/>
    <col min="15881" max="15881" width="12.140625" style="42" customWidth="1"/>
    <col min="15882" max="15882" width="13.140625" style="42" customWidth="1"/>
    <col min="15883" max="15883" width="10.7109375" style="42" customWidth="1"/>
    <col min="15884" max="15884" width="12.140625" style="42" customWidth="1"/>
    <col min="15885" max="15885" width="13.140625" style="42" customWidth="1"/>
    <col min="15886" max="15886" width="10.7109375" style="42" customWidth="1"/>
    <col min="15887" max="15887" width="12.140625" style="42" customWidth="1"/>
    <col min="15888" max="15888" width="13.140625" style="42" customWidth="1"/>
    <col min="15889" max="15889" width="10.7109375" style="42" customWidth="1"/>
    <col min="15890" max="15890" width="12.140625" style="42" customWidth="1"/>
    <col min="15891" max="15891" width="13.140625" style="42" customWidth="1"/>
    <col min="15892" max="15892" width="10.7109375" style="42" bestFit="1" customWidth="1"/>
    <col min="15893" max="15893" width="12.140625" style="42" bestFit="1" customWidth="1"/>
    <col min="15894" max="15894" width="13.140625" style="42" bestFit="1" customWidth="1"/>
    <col min="15895" max="15895" width="10.7109375" style="42" bestFit="1" customWidth="1"/>
    <col min="15896" max="15896" width="12.140625" style="42" bestFit="1" customWidth="1"/>
    <col min="15897" max="15897" width="13.140625" style="42" bestFit="1" customWidth="1"/>
    <col min="15898" max="16122" width="9.140625" style="42"/>
    <col min="16123" max="16123" width="24.85546875" style="42" customWidth="1"/>
    <col min="16124" max="16124" width="13" style="42" customWidth="1"/>
    <col min="16125" max="16125" width="12.140625" style="42" customWidth="1"/>
    <col min="16126" max="16126" width="13.140625" style="42" customWidth="1"/>
    <col min="16127" max="16127" width="10.7109375" style="42" customWidth="1"/>
    <col min="16128" max="16128" width="12.140625" style="42" customWidth="1"/>
    <col min="16129" max="16129" width="13.140625" style="42" customWidth="1"/>
    <col min="16130" max="16130" width="10.7109375" style="42" customWidth="1"/>
    <col min="16131" max="16131" width="12.140625" style="42" customWidth="1"/>
    <col min="16132" max="16132" width="13.140625" style="42" customWidth="1"/>
    <col min="16133" max="16133" width="10.7109375" style="42" customWidth="1"/>
    <col min="16134" max="16134" width="12.140625" style="42" customWidth="1"/>
    <col min="16135" max="16135" width="13.140625" style="42" customWidth="1"/>
    <col min="16136" max="16136" width="10.7109375" style="42" customWidth="1"/>
    <col min="16137" max="16137" width="12.140625" style="42" customWidth="1"/>
    <col min="16138" max="16138" width="13.140625" style="42" customWidth="1"/>
    <col min="16139" max="16139" width="10.7109375" style="42" customWidth="1"/>
    <col min="16140" max="16140" width="12.140625" style="42" customWidth="1"/>
    <col min="16141" max="16141" width="13.140625" style="42" customWidth="1"/>
    <col min="16142" max="16142" width="10.7109375" style="42" customWidth="1"/>
    <col min="16143" max="16143" width="12.140625" style="42" customWidth="1"/>
    <col min="16144" max="16144" width="13.140625" style="42" customWidth="1"/>
    <col min="16145" max="16145" width="10.7109375" style="42" customWidth="1"/>
    <col min="16146" max="16146" width="12.140625" style="42" customWidth="1"/>
    <col min="16147" max="16147" width="13.140625" style="42" customWidth="1"/>
    <col min="16148" max="16148" width="10.7109375" style="42" bestFit="1" customWidth="1"/>
    <col min="16149" max="16149" width="12.140625" style="42" bestFit="1" customWidth="1"/>
    <col min="16150" max="16150" width="13.140625" style="42" bestFit="1" customWidth="1"/>
    <col min="16151" max="16151" width="10.7109375" style="42" bestFit="1" customWidth="1"/>
    <col min="16152" max="16152" width="12.140625" style="42" bestFit="1" customWidth="1"/>
    <col min="16153" max="16153" width="13.140625" style="42" bestFit="1" customWidth="1"/>
    <col min="16154" max="16384" width="9.140625" style="42"/>
  </cols>
  <sheetData>
    <row r="3" spans="1:22">
      <c r="A3" s="50" t="s">
        <v>227</v>
      </c>
    </row>
    <row r="4" spans="1:22">
      <c r="A4" s="46"/>
      <c r="B4" s="1069" t="s">
        <v>102</v>
      </c>
      <c r="C4" s="1069"/>
      <c r="D4" s="1069"/>
      <c r="E4" s="1069" t="s">
        <v>101</v>
      </c>
      <c r="F4" s="1069"/>
      <c r="G4" s="1069"/>
      <c r="H4" s="1069" t="s">
        <v>103</v>
      </c>
      <c r="I4" s="1069"/>
      <c r="J4" s="1069"/>
      <c r="K4" s="1069" t="s">
        <v>104</v>
      </c>
      <c r="L4" s="1069"/>
      <c r="M4" s="1069"/>
      <c r="N4" s="1069" t="s">
        <v>100</v>
      </c>
      <c r="O4" s="1069"/>
      <c r="P4" s="1069"/>
      <c r="Q4" s="1069" t="s">
        <v>99</v>
      </c>
      <c r="R4" s="1069"/>
      <c r="S4" s="1069"/>
      <c r="T4" s="1069" t="s">
        <v>98</v>
      </c>
      <c r="U4" s="1069"/>
      <c r="V4" s="1069"/>
    </row>
    <row r="5" spans="1:22">
      <c r="A5" s="46" t="s">
        <v>228</v>
      </c>
      <c r="B5" s="46" t="s">
        <v>97</v>
      </c>
      <c r="C5" s="46" t="s">
        <v>96</v>
      </c>
      <c r="D5" s="46" t="s">
        <v>95</v>
      </c>
      <c r="E5" s="46" t="s">
        <v>97</v>
      </c>
      <c r="F5" s="46" t="s">
        <v>96</v>
      </c>
      <c r="G5" s="46" t="s">
        <v>95</v>
      </c>
      <c r="H5" s="46" t="s">
        <v>97</v>
      </c>
      <c r="I5" s="46" t="s">
        <v>96</v>
      </c>
      <c r="J5" s="46" t="s">
        <v>95</v>
      </c>
      <c r="K5" s="46" t="s">
        <v>97</v>
      </c>
      <c r="L5" s="46" t="s">
        <v>96</v>
      </c>
      <c r="M5" s="46" t="s">
        <v>95</v>
      </c>
      <c r="N5" s="46" t="s">
        <v>97</v>
      </c>
      <c r="O5" s="46" t="s">
        <v>96</v>
      </c>
      <c r="P5" s="46" t="s">
        <v>95</v>
      </c>
      <c r="Q5" s="46" t="s">
        <v>97</v>
      </c>
      <c r="R5" s="46" t="s">
        <v>96</v>
      </c>
      <c r="S5" s="46" t="s">
        <v>95</v>
      </c>
      <c r="T5" s="46" t="s">
        <v>97</v>
      </c>
      <c r="U5" s="46" t="s">
        <v>96</v>
      </c>
      <c r="V5" s="46" t="s">
        <v>95</v>
      </c>
    </row>
    <row r="6" spans="1:22">
      <c r="A6" s="49"/>
      <c r="B6" s="49"/>
      <c r="C6" s="49"/>
      <c r="D6" s="49"/>
      <c r="E6" s="49"/>
      <c r="F6" s="49"/>
      <c r="G6" s="49"/>
      <c r="H6" s="49"/>
      <c r="I6" s="49"/>
      <c r="J6" s="49"/>
      <c r="K6" s="49"/>
      <c r="L6" s="49"/>
      <c r="M6" s="49"/>
      <c r="N6" s="49"/>
      <c r="O6" s="49"/>
      <c r="P6" s="49"/>
      <c r="Q6" s="49"/>
      <c r="R6" s="49"/>
      <c r="S6" s="49"/>
      <c r="T6" s="49"/>
      <c r="U6" s="49"/>
      <c r="V6" s="49"/>
    </row>
    <row r="7" spans="1:22">
      <c r="A7" s="49" t="s">
        <v>90</v>
      </c>
      <c r="B7" s="113">
        <v>78050000</v>
      </c>
      <c r="C7" s="113">
        <v>2500000</v>
      </c>
      <c r="D7" s="113">
        <f t="shared" ref="D7:D18" si="0">B7-C7</f>
        <v>75550000</v>
      </c>
      <c r="E7" s="113">
        <f>D18</f>
        <v>74050000</v>
      </c>
      <c r="F7" s="113">
        <v>3000000</v>
      </c>
      <c r="G7" s="113">
        <f t="shared" ref="G7:G18" si="1">E7-F7</f>
        <v>71050000</v>
      </c>
      <c r="H7" s="113">
        <f>G18</f>
        <v>68050000</v>
      </c>
      <c r="I7" s="113">
        <v>5000000</v>
      </c>
      <c r="J7" s="113">
        <f t="shared" ref="J7:J18" si="2">H7-I7</f>
        <v>63050000</v>
      </c>
      <c r="K7" s="113">
        <f>J18</f>
        <v>60050000</v>
      </c>
      <c r="L7" s="113">
        <v>5000000</v>
      </c>
      <c r="M7" s="113">
        <f t="shared" ref="M7:M18" si="3">K7-L7</f>
        <v>55050000</v>
      </c>
      <c r="N7" s="113">
        <f>M18</f>
        <v>49050000</v>
      </c>
      <c r="O7" s="113">
        <v>6000000</v>
      </c>
      <c r="P7" s="113">
        <f t="shared" ref="P7:P18" si="4">N7-O7</f>
        <v>43050000</v>
      </c>
      <c r="Q7" s="113">
        <f>P18</f>
        <v>35550000</v>
      </c>
      <c r="R7" s="113">
        <v>6000000</v>
      </c>
      <c r="S7" s="113">
        <f t="shared" ref="S7:S18" si="5">Q7-R7</f>
        <v>29550000</v>
      </c>
      <c r="T7" s="113">
        <f>S18</f>
        <v>19050000</v>
      </c>
      <c r="U7" s="113">
        <v>7100000</v>
      </c>
      <c r="V7" s="113">
        <f t="shared" ref="V7:V18" si="6">T7-U7</f>
        <v>11950000</v>
      </c>
    </row>
    <row r="8" spans="1:22">
      <c r="A8" s="49" t="s">
        <v>89</v>
      </c>
      <c r="B8" s="113">
        <f t="shared" ref="B8:B18" si="7">D7</f>
        <v>75550000</v>
      </c>
      <c r="C8" s="113">
        <v>0</v>
      </c>
      <c r="D8" s="113">
        <f t="shared" si="0"/>
        <v>75550000</v>
      </c>
      <c r="E8" s="113">
        <f t="shared" ref="E8:E18" si="8">G7</f>
        <v>71050000</v>
      </c>
      <c r="F8" s="113">
        <v>0</v>
      </c>
      <c r="G8" s="113">
        <f t="shared" si="1"/>
        <v>71050000</v>
      </c>
      <c r="H8" s="113">
        <f t="shared" ref="H8:H18" si="9">J7</f>
        <v>63050000</v>
      </c>
      <c r="I8" s="113">
        <v>0</v>
      </c>
      <c r="J8" s="113">
        <f t="shared" si="2"/>
        <v>63050000</v>
      </c>
      <c r="K8" s="113">
        <f t="shared" ref="K8:K18" si="10">M7</f>
        <v>55050000</v>
      </c>
      <c r="L8" s="113">
        <v>0</v>
      </c>
      <c r="M8" s="113">
        <f t="shared" si="3"/>
        <v>55050000</v>
      </c>
      <c r="N8" s="113">
        <f t="shared" ref="N8:N18" si="11">P7</f>
        <v>43050000</v>
      </c>
      <c r="O8" s="113">
        <v>0</v>
      </c>
      <c r="P8" s="113">
        <f t="shared" si="4"/>
        <v>43050000</v>
      </c>
      <c r="Q8" s="113">
        <f t="shared" ref="Q8:Q18" si="12">S7</f>
        <v>29550000</v>
      </c>
      <c r="R8" s="113">
        <v>0</v>
      </c>
      <c r="S8" s="113">
        <f t="shared" si="5"/>
        <v>29550000</v>
      </c>
      <c r="T8" s="113">
        <f t="shared" ref="T8:T18" si="13">V7</f>
        <v>11950000</v>
      </c>
      <c r="U8" s="113">
        <v>0</v>
      </c>
      <c r="V8" s="113">
        <f t="shared" si="6"/>
        <v>11950000</v>
      </c>
    </row>
    <row r="9" spans="1:22">
      <c r="A9" s="49" t="s">
        <v>88</v>
      </c>
      <c r="B9" s="113">
        <f t="shared" si="7"/>
        <v>75550000</v>
      </c>
      <c r="C9" s="113">
        <v>0</v>
      </c>
      <c r="D9" s="113">
        <f t="shared" si="0"/>
        <v>75550000</v>
      </c>
      <c r="E9" s="113">
        <f t="shared" si="8"/>
        <v>71050000</v>
      </c>
      <c r="F9" s="113">
        <v>0</v>
      </c>
      <c r="G9" s="113">
        <f t="shared" si="1"/>
        <v>71050000</v>
      </c>
      <c r="H9" s="113">
        <f t="shared" si="9"/>
        <v>63050000</v>
      </c>
      <c r="I9" s="113">
        <v>0</v>
      </c>
      <c r="J9" s="113">
        <f t="shared" si="2"/>
        <v>63050000</v>
      </c>
      <c r="K9" s="113">
        <f t="shared" si="10"/>
        <v>55050000</v>
      </c>
      <c r="L9" s="113">
        <v>0</v>
      </c>
      <c r="M9" s="113">
        <f t="shared" si="3"/>
        <v>55050000</v>
      </c>
      <c r="N9" s="113">
        <f t="shared" si="11"/>
        <v>43050000</v>
      </c>
      <c r="O9" s="113">
        <v>0</v>
      </c>
      <c r="P9" s="113">
        <f t="shared" si="4"/>
        <v>43050000</v>
      </c>
      <c r="Q9" s="113">
        <f t="shared" si="12"/>
        <v>29550000</v>
      </c>
      <c r="R9" s="113">
        <v>0</v>
      </c>
      <c r="S9" s="113">
        <f t="shared" si="5"/>
        <v>29550000</v>
      </c>
      <c r="T9" s="113">
        <f t="shared" si="13"/>
        <v>11950000</v>
      </c>
      <c r="U9" s="113">
        <v>0</v>
      </c>
      <c r="V9" s="113">
        <f t="shared" si="6"/>
        <v>11950000</v>
      </c>
    </row>
    <row r="10" spans="1:22">
      <c r="A10" s="49" t="s">
        <v>87</v>
      </c>
      <c r="B10" s="113">
        <f t="shared" si="7"/>
        <v>75550000</v>
      </c>
      <c r="C10" s="113">
        <v>500000</v>
      </c>
      <c r="D10" s="113">
        <f t="shared" si="0"/>
        <v>75050000</v>
      </c>
      <c r="E10" s="113">
        <f t="shared" si="8"/>
        <v>71050000</v>
      </c>
      <c r="F10" s="113">
        <v>1000000</v>
      </c>
      <c r="G10" s="113">
        <f t="shared" si="1"/>
        <v>70050000</v>
      </c>
      <c r="H10" s="113">
        <f t="shared" si="9"/>
        <v>63050000</v>
      </c>
      <c r="I10" s="113">
        <v>1000000</v>
      </c>
      <c r="J10" s="113">
        <f t="shared" si="2"/>
        <v>62050000</v>
      </c>
      <c r="K10" s="113">
        <f t="shared" si="10"/>
        <v>55050000</v>
      </c>
      <c r="L10" s="113">
        <v>2000000</v>
      </c>
      <c r="M10" s="113">
        <f t="shared" si="3"/>
        <v>53050000</v>
      </c>
      <c r="N10" s="113">
        <f t="shared" si="11"/>
        <v>43050000</v>
      </c>
      <c r="O10" s="113">
        <v>2500000</v>
      </c>
      <c r="P10" s="113">
        <f t="shared" si="4"/>
        <v>40550000</v>
      </c>
      <c r="Q10" s="113">
        <f t="shared" si="12"/>
        <v>29550000</v>
      </c>
      <c r="R10" s="113">
        <v>3500000</v>
      </c>
      <c r="S10" s="113">
        <f t="shared" si="5"/>
        <v>26050000</v>
      </c>
      <c r="T10" s="113">
        <f t="shared" si="13"/>
        <v>11950000</v>
      </c>
      <c r="U10" s="113">
        <v>4000000</v>
      </c>
      <c r="V10" s="113">
        <f t="shared" si="6"/>
        <v>7950000</v>
      </c>
    </row>
    <row r="11" spans="1:22">
      <c r="A11" s="49" t="s">
        <v>86</v>
      </c>
      <c r="B11" s="113">
        <f t="shared" si="7"/>
        <v>75050000</v>
      </c>
      <c r="C11" s="113">
        <v>0</v>
      </c>
      <c r="D11" s="113">
        <f t="shared" si="0"/>
        <v>75050000</v>
      </c>
      <c r="E11" s="113">
        <f t="shared" si="8"/>
        <v>70050000</v>
      </c>
      <c r="F11" s="113">
        <v>0</v>
      </c>
      <c r="G11" s="113">
        <f t="shared" si="1"/>
        <v>70050000</v>
      </c>
      <c r="H11" s="113">
        <f t="shared" si="9"/>
        <v>62050000</v>
      </c>
      <c r="I11" s="113">
        <v>0</v>
      </c>
      <c r="J11" s="113">
        <f t="shared" si="2"/>
        <v>62050000</v>
      </c>
      <c r="K11" s="113">
        <f t="shared" si="10"/>
        <v>53050000</v>
      </c>
      <c r="L11" s="113">
        <v>0</v>
      </c>
      <c r="M11" s="113">
        <f t="shared" si="3"/>
        <v>53050000</v>
      </c>
      <c r="N11" s="113">
        <f t="shared" si="11"/>
        <v>40550000</v>
      </c>
      <c r="O11" s="113">
        <v>0</v>
      </c>
      <c r="P11" s="113">
        <f t="shared" si="4"/>
        <v>40550000</v>
      </c>
      <c r="Q11" s="113">
        <f t="shared" si="12"/>
        <v>26050000</v>
      </c>
      <c r="R11" s="113">
        <v>0</v>
      </c>
      <c r="S11" s="113">
        <f t="shared" si="5"/>
        <v>26050000</v>
      </c>
      <c r="T11" s="113">
        <f t="shared" si="13"/>
        <v>7950000</v>
      </c>
      <c r="U11" s="113">
        <v>0</v>
      </c>
      <c r="V11" s="113">
        <f t="shared" si="6"/>
        <v>7950000</v>
      </c>
    </row>
    <row r="12" spans="1:22">
      <c r="A12" s="49" t="s">
        <v>85</v>
      </c>
      <c r="B12" s="113">
        <f t="shared" si="7"/>
        <v>75050000</v>
      </c>
      <c r="C12" s="113">
        <v>0</v>
      </c>
      <c r="D12" s="113">
        <f t="shared" si="0"/>
        <v>75050000</v>
      </c>
      <c r="E12" s="113">
        <f t="shared" si="8"/>
        <v>70050000</v>
      </c>
      <c r="F12" s="113">
        <v>0</v>
      </c>
      <c r="G12" s="113">
        <f t="shared" si="1"/>
        <v>70050000</v>
      </c>
      <c r="H12" s="113">
        <f t="shared" si="9"/>
        <v>62050000</v>
      </c>
      <c r="I12" s="113">
        <v>0</v>
      </c>
      <c r="J12" s="113">
        <f t="shared" si="2"/>
        <v>62050000</v>
      </c>
      <c r="K12" s="113">
        <f t="shared" si="10"/>
        <v>53050000</v>
      </c>
      <c r="L12" s="113">
        <v>0</v>
      </c>
      <c r="M12" s="113">
        <f t="shared" si="3"/>
        <v>53050000</v>
      </c>
      <c r="N12" s="113">
        <f t="shared" si="11"/>
        <v>40550000</v>
      </c>
      <c r="O12" s="113">
        <v>0</v>
      </c>
      <c r="P12" s="113">
        <f t="shared" si="4"/>
        <v>40550000</v>
      </c>
      <c r="Q12" s="113">
        <f t="shared" si="12"/>
        <v>26050000</v>
      </c>
      <c r="R12" s="113">
        <v>0</v>
      </c>
      <c r="S12" s="113">
        <f t="shared" si="5"/>
        <v>26050000</v>
      </c>
      <c r="T12" s="113">
        <f t="shared" si="13"/>
        <v>7950000</v>
      </c>
      <c r="U12" s="113">
        <v>0</v>
      </c>
      <c r="V12" s="113">
        <f t="shared" si="6"/>
        <v>7950000</v>
      </c>
    </row>
    <row r="13" spans="1:22">
      <c r="A13" s="49" t="s">
        <v>84</v>
      </c>
      <c r="B13" s="113">
        <f t="shared" si="7"/>
        <v>75050000</v>
      </c>
      <c r="C13" s="113">
        <v>500000</v>
      </c>
      <c r="D13" s="113">
        <f t="shared" si="0"/>
        <v>74550000</v>
      </c>
      <c r="E13" s="113">
        <f t="shared" si="8"/>
        <v>70050000</v>
      </c>
      <c r="F13" s="113">
        <v>1000000</v>
      </c>
      <c r="G13" s="113">
        <f t="shared" si="1"/>
        <v>69050000</v>
      </c>
      <c r="H13" s="113">
        <f t="shared" si="9"/>
        <v>62050000</v>
      </c>
      <c r="I13" s="113">
        <v>1000000</v>
      </c>
      <c r="J13" s="113">
        <f t="shared" si="2"/>
        <v>61050000</v>
      </c>
      <c r="K13" s="113">
        <f t="shared" si="10"/>
        <v>53050000</v>
      </c>
      <c r="L13" s="113">
        <v>2000000</v>
      </c>
      <c r="M13" s="113">
        <f t="shared" si="3"/>
        <v>51050000</v>
      </c>
      <c r="N13" s="113">
        <f t="shared" si="11"/>
        <v>40550000</v>
      </c>
      <c r="O13" s="113">
        <v>2500000</v>
      </c>
      <c r="P13" s="113">
        <f t="shared" si="4"/>
        <v>38050000</v>
      </c>
      <c r="Q13" s="113">
        <f t="shared" si="12"/>
        <v>26050000</v>
      </c>
      <c r="R13" s="113">
        <v>3500000</v>
      </c>
      <c r="S13" s="113">
        <f t="shared" si="5"/>
        <v>22550000</v>
      </c>
      <c r="T13" s="113">
        <f t="shared" si="13"/>
        <v>7950000</v>
      </c>
      <c r="U13" s="113">
        <v>4000000</v>
      </c>
      <c r="V13" s="113">
        <f t="shared" si="6"/>
        <v>3950000</v>
      </c>
    </row>
    <row r="14" spans="1:22">
      <c r="A14" s="49" t="s">
        <v>83</v>
      </c>
      <c r="B14" s="113">
        <f t="shared" si="7"/>
        <v>74550000</v>
      </c>
      <c r="C14" s="113">
        <v>0</v>
      </c>
      <c r="D14" s="113">
        <f t="shared" si="0"/>
        <v>74550000</v>
      </c>
      <c r="E14" s="113">
        <f t="shared" si="8"/>
        <v>69050000</v>
      </c>
      <c r="F14" s="113">
        <v>0</v>
      </c>
      <c r="G14" s="113">
        <f t="shared" si="1"/>
        <v>69050000</v>
      </c>
      <c r="H14" s="113">
        <f t="shared" si="9"/>
        <v>61050000</v>
      </c>
      <c r="I14" s="113">
        <v>0</v>
      </c>
      <c r="J14" s="113">
        <f t="shared" si="2"/>
        <v>61050000</v>
      </c>
      <c r="K14" s="113">
        <f t="shared" si="10"/>
        <v>51050000</v>
      </c>
      <c r="L14" s="113">
        <v>0</v>
      </c>
      <c r="M14" s="113">
        <f t="shared" si="3"/>
        <v>51050000</v>
      </c>
      <c r="N14" s="113">
        <f t="shared" si="11"/>
        <v>38050000</v>
      </c>
      <c r="O14" s="113">
        <v>0</v>
      </c>
      <c r="P14" s="113">
        <f t="shared" si="4"/>
        <v>38050000</v>
      </c>
      <c r="Q14" s="113">
        <f t="shared" si="12"/>
        <v>22550000</v>
      </c>
      <c r="R14" s="113">
        <v>0</v>
      </c>
      <c r="S14" s="113">
        <f t="shared" si="5"/>
        <v>22550000</v>
      </c>
      <c r="T14" s="113">
        <f t="shared" si="13"/>
        <v>3950000</v>
      </c>
      <c r="U14" s="113">
        <v>0</v>
      </c>
      <c r="V14" s="113">
        <f t="shared" si="6"/>
        <v>3950000</v>
      </c>
    </row>
    <row r="15" spans="1:22">
      <c r="A15" s="49" t="s">
        <v>82</v>
      </c>
      <c r="B15" s="113">
        <f t="shared" si="7"/>
        <v>74550000</v>
      </c>
      <c r="C15" s="113">
        <v>0</v>
      </c>
      <c r="D15" s="113">
        <f t="shared" si="0"/>
        <v>74550000</v>
      </c>
      <c r="E15" s="113">
        <f t="shared" si="8"/>
        <v>69050000</v>
      </c>
      <c r="F15" s="113">
        <v>0</v>
      </c>
      <c r="G15" s="113">
        <f t="shared" si="1"/>
        <v>69050000</v>
      </c>
      <c r="H15" s="113">
        <f t="shared" si="9"/>
        <v>61050000</v>
      </c>
      <c r="I15" s="113">
        <v>0</v>
      </c>
      <c r="J15" s="113">
        <f t="shared" si="2"/>
        <v>61050000</v>
      </c>
      <c r="K15" s="113">
        <f t="shared" si="10"/>
        <v>51050000</v>
      </c>
      <c r="L15" s="113">
        <v>0</v>
      </c>
      <c r="M15" s="113">
        <f t="shared" si="3"/>
        <v>51050000</v>
      </c>
      <c r="N15" s="113">
        <f t="shared" si="11"/>
        <v>38050000</v>
      </c>
      <c r="O15" s="113">
        <v>0</v>
      </c>
      <c r="P15" s="113">
        <f t="shared" si="4"/>
        <v>38050000</v>
      </c>
      <c r="Q15" s="113">
        <f t="shared" si="12"/>
        <v>22550000</v>
      </c>
      <c r="R15" s="113">
        <v>0</v>
      </c>
      <c r="S15" s="113">
        <f t="shared" si="5"/>
        <v>22550000</v>
      </c>
      <c r="T15" s="113">
        <f t="shared" si="13"/>
        <v>3950000</v>
      </c>
      <c r="U15" s="113">
        <v>0</v>
      </c>
      <c r="V15" s="113">
        <f t="shared" si="6"/>
        <v>3950000</v>
      </c>
    </row>
    <row r="16" spans="1:22">
      <c r="A16" s="49" t="s">
        <v>81</v>
      </c>
      <c r="B16" s="113">
        <f t="shared" si="7"/>
        <v>74550000</v>
      </c>
      <c r="C16" s="113">
        <v>500000</v>
      </c>
      <c r="D16" s="113">
        <f t="shared" si="0"/>
        <v>74050000</v>
      </c>
      <c r="E16" s="113">
        <f t="shared" si="8"/>
        <v>69050000</v>
      </c>
      <c r="F16" s="113">
        <v>1000000</v>
      </c>
      <c r="G16" s="113">
        <f t="shared" si="1"/>
        <v>68050000</v>
      </c>
      <c r="H16" s="113">
        <f t="shared" si="9"/>
        <v>61050000</v>
      </c>
      <c r="I16" s="113">
        <v>1000000</v>
      </c>
      <c r="J16" s="113">
        <f t="shared" si="2"/>
        <v>60050000</v>
      </c>
      <c r="K16" s="113">
        <f t="shared" si="10"/>
        <v>51050000</v>
      </c>
      <c r="L16" s="113">
        <v>2000000</v>
      </c>
      <c r="M16" s="113">
        <f t="shared" si="3"/>
        <v>49050000</v>
      </c>
      <c r="N16" s="113">
        <f t="shared" si="11"/>
        <v>38050000</v>
      </c>
      <c r="O16" s="113">
        <v>2500000</v>
      </c>
      <c r="P16" s="113">
        <f t="shared" si="4"/>
        <v>35550000</v>
      </c>
      <c r="Q16" s="113">
        <f t="shared" si="12"/>
        <v>22550000</v>
      </c>
      <c r="R16" s="113">
        <v>3500000</v>
      </c>
      <c r="S16" s="113">
        <f t="shared" si="5"/>
        <v>19050000</v>
      </c>
      <c r="T16" s="113">
        <f t="shared" si="13"/>
        <v>3950000</v>
      </c>
      <c r="U16" s="113">
        <v>3950000</v>
      </c>
      <c r="V16" s="113">
        <f t="shared" si="6"/>
        <v>0</v>
      </c>
    </row>
    <row r="17" spans="1:31">
      <c r="A17" s="49" t="s">
        <v>80</v>
      </c>
      <c r="B17" s="113">
        <f t="shared" si="7"/>
        <v>74050000</v>
      </c>
      <c r="C17" s="113">
        <v>0</v>
      </c>
      <c r="D17" s="113">
        <f t="shared" si="0"/>
        <v>74050000</v>
      </c>
      <c r="E17" s="113">
        <f t="shared" si="8"/>
        <v>68050000</v>
      </c>
      <c r="F17" s="113"/>
      <c r="G17" s="113">
        <f t="shared" si="1"/>
        <v>68050000</v>
      </c>
      <c r="H17" s="113">
        <f t="shared" si="9"/>
        <v>60050000</v>
      </c>
      <c r="I17" s="113"/>
      <c r="J17" s="113">
        <f t="shared" si="2"/>
        <v>60050000</v>
      </c>
      <c r="K17" s="113">
        <f t="shared" si="10"/>
        <v>49050000</v>
      </c>
      <c r="L17" s="113">
        <v>0</v>
      </c>
      <c r="M17" s="113">
        <f t="shared" si="3"/>
        <v>49050000</v>
      </c>
      <c r="N17" s="113">
        <f t="shared" si="11"/>
        <v>35550000</v>
      </c>
      <c r="O17" s="113">
        <v>0</v>
      </c>
      <c r="P17" s="113">
        <f t="shared" si="4"/>
        <v>35550000</v>
      </c>
      <c r="Q17" s="113">
        <f t="shared" si="12"/>
        <v>19050000</v>
      </c>
      <c r="R17" s="113">
        <v>0</v>
      </c>
      <c r="S17" s="113">
        <f t="shared" si="5"/>
        <v>19050000</v>
      </c>
      <c r="T17" s="113">
        <f t="shared" si="13"/>
        <v>0</v>
      </c>
      <c r="U17" s="113">
        <v>0</v>
      </c>
      <c r="V17" s="113">
        <f t="shared" si="6"/>
        <v>0</v>
      </c>
    </row>
    <row r="18" spans="1:31" s="52" customFormat="1">
      <c r="A18" s="48" t="s">
        <v>79</v>
      </c>
      <c r="B18" s="114">
        <f t="shared" si="7"/>
        <v>74050000</v>
      </c>
      <c r="C18" s="114">
        <v>0</v>
      </c>
      <c r="D18" s="114">
        <f t="shared" si="0"/>
        <v>74050000</v>
      </c>
      <c r="E18" s="114">
        <f t="shared" si="8"/>
        <v>68050000</v>
      </c>
      <c r="F18" s="114"/>
      <c r="G18" s="114">
        <f t="shared" si="1"/>
        <v>68050000</v>
      </c>
      <c r="H18" s="114">
        <f t="shared" si="9"/>
        <v>60050000</v>
      </c>
      <c r="I18" s="114"/>
      <c r="J18" s="114">
        <f t="shared" si="2"/>
        <v>60050000</v>
      </c>
      <c r="K18" s="114">
        <f t="shared" si="10"/>
        <v>49050000</v>
      </c>
      <c r="L18" s="114">
        <v>0</v>
      </c>
      <c r="M18" s="114">
        <f t="shared" si="3"/>
        <v>49050000</v>
      </c>
      <c r="N18" s="114">
        <f t="shared" si="11"/>
        <v>35550000</v>
      </c>
      <c r="O18" s="114">
        <v>0</v>
      </c>
      <c r="P18" s="114">
        <f t="shared" si="4"/>
        <v>35550000</v>
      </c>
      <c r="Q18" s="114">
        <f t="shared" si="12"/>
        <v>19050000</v>
      </c>
      <c r="R18" s="114">
        <v>0</v>
      </c>
      <c r="S18" s="114">
        <f t="shared" si="5"/>
        <v>19050000</v>
      </c>
      <c r="T18" s="114">
        <f t="shared" si="13"/>
        <v>0</v>
      </c>
      <c r="U18" s="114">
        <v>0</v>
      </c>
      <c r="V18" s="114">
        <f t="shared" si="6"/>
        <v>0</v>
      </c>
    </row>
    <row r="19" spans="1:31">
      <c r="A19" s="49"/>
      <c r="B19" s="49"/>
      <c r="C19" s="47">
        <f>SUM(C7:C18)</f>
        <v>4000000</v>
      </c>
      <c r="D19" s="49"/>
      <c r="E19" s="49"/>
      <c r="F19" s="47">
        <f>SUM(F7:F18)</f>
        <v>6000000</v>
      </c>
      <c r="G19" s="49"/>
      <c r="H19" s="49"/>
      <c r="I19" s="47">
        <f>SUM(I7:I18)</f>
        <v>8000000</v>
      </c>
      <c r="J19" s="49"/>
      <c r="K19" s="49"/>
      <c r="L19" s="47">
        <f>SUM(L7:L18)</f>
        <v>11000000</v>
      </c>
      <c r="M19" s="49"/>
      <c r="N19" s="49"/>
      <c r="O19" s="47">
        <f>SUM(O7:O18)</f>
        <v>13500000</v>
      </c>
      <c r="P19" s="49"/>
      <c r="Q19" s="49"/>
      <c r="R19" s="47">
        <f>SUM(R7:R18)</f>
        <v>16500000</v>
      </c>
      <c r="S19" s="49"/>
      <c r="T19" s="49"/>
      <c r="U19" s="47">
        <f>SUM(U7:U18)</f>
        <v>19050000</v>
      </c>
      <c r="V19" s="49"/>
    </row>
    <row r="20" spans="1:31">
      <c r="A20" s="51"/>
      <c r="B20" s="51"/>
      <c r="C20" s="51"/>
      <c r="D20" s="51"/>
      <c r="E20" s="51"/>
      <c r="F20" s="51"/>
      <c r="G20" s="51"/>
      <c r="H20" s="51"/>
      <c r="I20" s="51"/>
      <c r="J20" s="51"/>
      <c r="K20" s="51"/>
      <c r="L20" s="51"/>
      <c r="M20" s="51"/>
      <c r="N20" s="51"/>
      <c r="O20" s="51"/>
      <c r="P20" s="51"/>
      <c r="Q20" s="51"/>
      <c r="R20" s="51"/>
      <c r="S20" s="51"/>
      <c r="T20" s="51"/>
      <c r="U20" s="51"/>
      <c r="V20" s="51"/>
    </row>
    <row r="21" spans="1:31">
      <c r="A21" s="51"/>
      <c r="B21" s="51"/>
      <c r="C21" s="51"/>
      <c r="D21" s="51"/>
      <c r="E21" s="51"/>
      <c r="F21" s="51"/>
      <c r="G21" s="51"/>
      <c r="H21" s="51"/>
      <c r="I21" s="51"/>
      <c r="J21" s="51"/>
      <c r="K21" s="51"/>
      <c r="L21" s="51"/>
      <c r="M21" s="51"/>
      <c r="N21" s="51"/>
      <c r="O21" s="51"/>
      <c r="P21" s="51"/>
      <c r="Q21" s="51"/>
      <c r="R21" s="51"/>
      <c r="S21" s="51"/>
      <c r="T21" s="51"/>
      <c r="U21" s="51"/>
      <c r="V21" s="51"/>
    </row>
    <row r="22" spans="1:31">
      <c r="A22" s="45" t="s">
        <v>94</v>
      </c>
      <c r="B22" s="44"/>
      <c r="C22" s="44"/>
      <c r="D22" s="44">
        <f>+D18</f>
        <v>74050000</v>
      </c>
      <c r="E22" s="44"/>
      <c r="F22" s="44"/>
      <c r="G22" s="44">
        <f>+G18</f>
        <v>68050000</v>
      </c>
      <c r="H22" s="44"/>
      <c r="I22" s="44"/>
      <c r="J22" s="44">
        <f>+J18</f>
        <v>60050000</v>
      </c>
      <c r="K22" s="44"/>
      <c r="L22" s="44"/>
      <c r="M22" s="44">
        <f>+M18</f>
        <v>49050000</v>
      </c>
      <c r="N22" s="44"/>
      <c r="O22" s="44"/>
      <c r="P22" s="44">
        <f>+P18</f>
        <v>35550000</v>
      </c>
      <c r="Q22" s="44"/>
      <c r="R22" s="44"/>
      <c r="S22" s="44">
        <f>+S18</f>
        <v>19050000</v>
      </c>
      <c r="T22" s="44"/>
      <c r="U22" s="44"/>
      <c r="V22" s="44">
        <f>+V18</f>
        <v>0</v>
      </c>
      <c r="Y22" s="44">
        <f>+Y18</f>
        <v>0</v>
      </c>
      <c r="AB22" s="44" t="e">
        <f>+#REF!+AB18+#REF!+#REF!+#REF!</f>
        <v>#REF!</v>
      </c>
    </row>
    <row r="23" spans="1:31">
      <c r="A23" s="45" t="s">
        <v>93</v>
      </c>
      <c r="C23" s="44">
        <f>+C19</f>
        <v>4000000</v>
      </c>
      <c r="E23" s="44"/>
      <c r="F23" s="44">
        <f>+F19</f>
        <v>6000000</v>
      </c>
      <c r="I23" s="44">
        <f>+I19</f>
        <v>8000000</v>
      </c>
      <c r="L23" s="44">
        <f>+L19</f>
        <v>11000000</v>
      </c>
      <c r="O23" s="44">
        <f>+O19</f>
        <v>13500000</v>
      </c>
      <c r="R23" s="44">
        <f>+R19</f>
        <v>16500000</v>
      </c>
      <c r="U23" s="44">
        <f>+U19</f>
        <v>19050000</v>
      </c>
      <c r="X23" s="44">
        <f>+X19</f>
        <v>0</v>
      </c>
      <c r="AA23" s="44" t="e">
        <f>+#REF!+AA19+#REF!+#REF!+#REF!</f>
        <v>#REF!</v>
      </c>
    </row>
    <row r="24" spans="1:31">
      <c r="B24" s="44"/>
      <c r="D24" s="44"/>
      <c r="G24" s="44"/>
      <c r="J24" s="44"/>
      <c r="M24" s="44"/>
      <c r="P24" s="44"/>
      <c r="S24" s="44"/>
      <c r="V24" s="44"/>
      <c r="Y24" s="44"/>
      <c r="AB24" s="44"/>
    </row>
    <row r="25" spans="1:31">
      <c r="A25" s="45"/>
      <c r="D25" s="44"/>
      <c r="G25" s="44"/>
      <c r="J25" s="44"/>
      <c r="M25" s="44"/>
      <c r="P25" s="44"/>
      <c r="S25" s="44"/>
      <c r="V25" s="44"/>
      <c r="Y25" s="44"/>
      <c r="AB25" s="44"/>
    </row>
    <row r="26" spans="1:31">
      <c r="A26" s="46"/>
      <c r="B26" s="1069" t="s">
        <v>102</v>
      </c>
      <c r="C26" s="1069"/>
      <c r="D26" s="1069"/>
      <c r="E26" s="1069" t="s">
        <v>101</v>
      </c>
      <c r="F26" s="1069"/>
      <c r="G26" s="1069"/>
      <c r="H26" s="1069" t="s">
        <v>103</v>
      </c>
      <c r="I26" s="1069"/>
      <c r="J26" s="1069"/>
      <c r="K26" s="1069" t="s">
        <v>104</v>
      </c>
      <c r="L26" s="1069"/>
      <c r="M26" s="1069"/>
      <c r="N26" s="1069" t="s">
        <v>100</v>
      </c>
      <c r="O26" s="1069"/>
      <c r="P26" s="1069"/>
      <c r="Q26" s="1069" t="s">
        <v>99</v>
      </c>
      <c r="R26" s="1069"/>
      <c r="S26" s="1069"/>
      <c r="T26" s="1069" t="s">
        <v>98</v>
      </c>
      <c r="U26" s="1069"/>
      <c r="V26" s="1069"/>
      <c r="W26" s="1069" t="s">
        <v>722</v>
      </c>
      <c r="X26" s="1069"/>
      <c r="Y26" s="1069"/>
      <c r="Z26" s="1069" t="s">
        <v>723</v>
      </c>
      <c r="AA26" s="1069"/>
      <c r="AB26" s="1069"/>
      <c r="AC26" s="1069" t="s">
        <v>724</v>
      </c>
      <c r="AD26" s="1069"/>
      <c r="AE26" s="1069"/>
    </row>
    <row r="27" spans="1:31">
      <c r="A27" s="46" t="s">
        <v>228</v>
      </c>
      <c r="B27" s="46" t="s">
        <v>97</v>
      </c>
      <c r="C27" s="46" t="s">
        <v>96</v>
      </c>
      <c r="D27" s="46" t="s">
        <v>95</v>
      </c>
      <c r="E27" s="46" t="s">
        <v>97</v>
      </c>
      <c r="F27" s="46" t="s">
        <v>96</v>
      </c>
      <c r="G27" s="46" t="s">
        <v>95</v>
      </c>
      <c r="H27" s="46" t="s">
        <v>97</v>
      </c>
      <c r="I27" s="46" t="s">
        <v>96</v>
      </c>
      <c r="J27" s="46" t="s">
        <v>95</v>
      </c>
      <c r="K27" s="46" t="s">
        <v>97</v>
      </c>
      <c r="L27" s="46" t="s">
        <v>96</v>
      </c>
      <c r="M27" s="46" t="s">
        <v>95</v>
      </c>
      <c r="N27" s="46" t="s">
        <v>97</v>
      </c>
      <c r="O27" s="46" t="s">
        <v>96</v>
      </c>
      <c r="P27" s="46" t="s">
        <v>95</v>
      </c>
      <c r="Q27" s="46" t="s">
        <v>97</v>
      </c>
      <c r="R27" s="46" t="s">
        <v>96</v>
      </c>
      <c r="S27" s="46" t="s">
        <v>95</v>
      </c>
      <c r="T27" s="46" t="s">
        <v>97</v>
      </c>
      <c r="U27" s="46" t="s">
        <v>96</v>
      </c>
      <c r="V27" s="46" t="s">
        <v>95</v>
      </c>
      <c r="W27" s="46" t="s">
        <v>97</v>
      </c>
      <c r="X27" s="46" t="s">
        <v>96</v>
      </c>
      <c r="Y27" s="46" t="s">
        <v>95</v>
      </c>
      <c r="Z27" s="46" t="s">
        <v>97</v>
      </c>
      <c r="AA27" s="46" t="s">
        <v>96</v>
      </c>
      <c r="AB27" s="46" t="s">
        <v>95</v>
      </c>
      <c r="AC27" s="46" t="s">
        <v>97</v>
      </c>
      <c r="AD27" s="46" t="s">
        <v>96</v>
      </c>
      <c r="AE27" s="46" t="s">
        <v>95</v>
      </c>
    </row>
    <row r="28" spans="1:31">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row>
    <row r="29" spans="1:31">
      <c r="A29" s="49" t="s">
        <v>90</v>
      </c>
      <c r="B29" s="113">
        <v>0</v>
      </c>
      <c r="C29" s="113">
        <v>0</v>
      </c>
      <c r="D29" s="113">
        <f t="shared" ref="D29:D40" si="14">B29-C29</f>
        <v>0</v>
      </c>
      <c r="E29" s="113">
        <f>D40</f>
        <v>0</v>
      </c>
      <c r="F29" s="113">
        <v>0</v>
      </c>
      <c r="G29" s="113">
        <f t="shared" ref="G29:G40" si="15">E29-F29</f>
        <v>0</v>
      </c>
      <c r="H29" s="113">
        <f>G40</f>
        <v>110000000</v>
      </c>
      <c r="I29" s="113">
        <v>0</v>
      </c>
      <c r="J29" s="113">
        <f t="shared" ref="J29:J40" si="16">H29-I29</f>
        <v>110000000</v>
      </c>
      <c r="K29" s="113">
        <f>J40</f>
        <v>107000000</v>
      </c>
      <c r="L29" s="113">
        <v>1000000</v>
      </c>
      <c r="M29" s="113">
        <f t="shared" ref="M29:M40" si="17">K29-L29</f>
        <v>106000000</v>
      </c>
      <c r="N29" s="113">
        <f>M40</f>
        <v>101500000</v>
      </c>
      <c r="O29" s="113">
        <v>1500000</v>
      </c>
      <c r="P29" s="113">
        <f t="shared" ref="P29:P40" si="18">N29-O29</f>
        <v>100000000</v>
      </c>
      <c r="Q29" s="113">
        <f>P40</f>
        <v>92500000</v>
      </c>
      <c r="R29" s="113">
        <v>2500000</v>
      </c>
      <c r="S29" s="113">
        <f t="shared" ref="S29:S40" si="19">Q29-R29</f>
        <v>90000000</v>
      </c>
      <c r="T29" s="113">
        <f>S40</f>
        <v>80000000</v>
      </c>
      <c r="U29" s="113">
        <v>5000000</v>
      </c>
      <c r="V29" s="113">
        <f t="shared" ref="V29:V40" si="20">T29-U29</f>
        <v>75000000</v>
      </c>
      <c r="W29" s="113">
        <f>V40</f>
        <v>60000000</v>
      </c>
      <c r="X29" s="113">
        <v>5000000</v>
      </c>
      <c r="Y29" s="113">
        <f t="shared" ref="Y29:Y40" si="21">W29-X29</f>
        <v>55000000</v>
      </c>
      <c r="Z29" s="113">
        <f>Y40</f>
        <v>37500000</v>
      </c>
      <c r="AA29" s="113">
        <v>7500000</v>
      </c>
      <c r="AB29" s="113">
        <f t="shared" ref="AB29:AB40" si="22">Z29-AA29</f>
        <v>30000000</v>
      </c>
      <c r="AC29" s="113">
        <f>AB40</f>
        <v>7500000</v>
      </c>
      <c r="AD29" s="113">
        <v>7500000</v>
      </c>
      <c r="AE29" s="113">
        <f t="shared" ref="AE29:AE40" si="23">AC29-AD29</f>
        <v>0</v>
      </c>
    </row>
    <row r="30" spans="1:31">
      <c r="A30" s="49" t="s">
        <v>89</v>
      </c>
      <c r="B30" s="113">
        <f t="shared" ref="B30:B40" si="24">D29</f>
        <v>0</v>
      </c>
      <c r="C30" s="113">
        <v>0</v>
      </c>
      <c r="D30" s="113">
        <f t="shared" si="14"/>
        <v>0</v>
      </c>
      <c r="E30" s="113">
        <f t="shared" ref="E30:E40" si="25">G29</f>
        <v>0</v>
      </c>
      <c r="F30" s="113">
        <v>0</v>
      </c>
      <c r="G30" s="113">
        <f t="shared" si="15"/>
        <v>0</v>
      </c>
      <c r="H30" s="113">
        <f t="shared" ref="H30:H40" si="26">J29</f>
        <v>110000000</v>
      </c>
      <c r="I30" s="113">
        <v>0</v>
      </c>
      <c r="J30" s="113">
        <f t="shared" si="16"/>
        <v>110000000</v>
      </c>
      <c r="K30" s="113">
        <f t="shared" ref="K30:K40" si="27">M29</f>
        <v>106000000</v>
      </c>
      <c r="L30" s="113">
        <v>0</v>
      </c>
      <c r="M30" s="113">
        <f t="shared" si="17"/>
        <v>106000000</v>
      </c>
      <c r="N30" s="113">
        <f t="shared" ref="N30:N40" si="28">P29</f>
        <v>100000000</v>
      </c>
      <c r="O30" s="113">
        <v>0</v>
      </c>
      <c r="P30" s="113">
        <f t="shared" si="18"/>
        <v>100000000</v>
      </c>
      <c r="Q30" s="113">
        <f t="shared" ref="Q30:Q40" si="29">S29</f>
        <v>90000000</v>
      </c>
      <c r="R30" s="113">
        <v>0</v>
      </c>
      <c r="S30" s="113">
        <f t="shared" si="19"/>
        <v>90000000</v>
      </c>
      <c r="T30" s="113">
        <f t="shared" ref="T30:T40" si="30">V29</f>
        <v>75000000</v>
      </c>
      <c r="U30" s="113">
        <v>0</v>
      </c>
      <c r="V30" s="113">
        <f t="shared" si="20"/>
        <v>75000000</v>
      </c>
      <c r="W30" s="113">
        <f t="shared" ref="W30:W40" si="31">Y29</f>
        <v>55000000</v>
      </c>
      <c r="X30" s="113">
        <v>0</v>
      </c>
      <c r="Y30" s="113">
        <f t="shared" si="21"/>
        <v>55000000</v>
      </c>
      <c r="Z30" s="113">
        <f t="shared" ref="Z30:Z40" si="32">AB29</f>
        <v>30000000</v>
      </c>
      <c r="AA30" s="113">
        <v>0</v>
      </c>
      <c r="AB30" s="113">
        <f t="shared" si="22"/>
        <v>30000000</v>
      </c>
      <c r="AC30" s="113">
        <f t="shared" ref="AC30:AC40" si="33">AE29</f>
        <v>0</v>
      </c>
      <c r="AD30" s="113">
        <v>0</v>
      </c>
      <c r="AE30" s="113">
        <f t="shared" si="23"/>
        <v>0</v>
      </c>
    </row>
    <row r="31" spans="1:31">
      <c r="A31" s="49" t="s">
        <v>88</v>
      </c>
      <c r="B31" s="113">
        <f t="shared" si="24"/>
        <v>0</v>
      </c>
      <c r="C31" s="113">
        <v>0</v>
      </c>
      <c r="D31" s="113">
        <f t="shared" si="14"/>
        <v>0</v>
      </c>
      <c r="E31" s="113">
        <f t="shared" si="25"/>
        <v>0</v>
      </c>
      <c r="F31" s="113">
        <v>0</v>
      </c>
      <c r="G31" s="113">
        <f t="shared" si="15"/>
        <v>0</v>
      </c>
      <c r="H31" s="113">
        <f t="shared" si="26"/>
        <v>110000000</v>
      </c>
      <c r="I31" s="113">
        <v>0</v>
      </c>
      <c r="J31" s="113">
        <f t="shared" si="16"/>
        <v>110000000</v>
      </c>
      <c r="K31" s="113">
        <f t="shared" si="27"/>
        <v>106000000</v>
      </c>
      <c r="L31" s="113">
        <v>0</v>
      </c>
      <c r="M31" s="113">
        <f t="shared" si="17"/>
        <v>106000000</v>
      </c>
      <c r="N31" s="113">
        <f t="shared" si="28"/>
        <v>100000000</v>
      </c>
      <c r="O31" s="113">
        <v>0</v>
      </c>
      <c r="P31" s="113">
        <f t="shared" si="18"/>
        <v>100000000</v>
      </c>
      <c r="Q31" s="113">
        <f t="shared" si="29"/>
        <v>90000000</v>
      </c>
      <c r="R31" s="113">
        <v>0</v>
      </c>
      <c r="S31" s="113">
        <f t="shared" si="19"/>
        <v>90000000</v>
      </c>
      <c r="T31" s="113">
        <f t="shared" si="30"/>
        <v>75000000</v>
      </c>
      <c r="U31" s="113">
        <v>0</v>
      </c>
      <c r="V31" s="113">
        <f t="shared" si="20"/>
        <v>75000000</v>
      </c>
      <c r="W31" s="113">
        <f t="shared" si="31"/>
        <v>55000000</v>
      </c>
      <c r="X31" s="113">
        <v>0</v>
      </c>
      <c r="Y31" s="113">
        <f t="shared" si="21"/>
        <v>55000000</v>
      </c>
      <c r="Z31" s="113">
        <f t="shared" si="32"/>
        <v>30000000</v>
      </c>
      <c r="AA31" s="113">
        <v>0</v>
      </c>
      <c r="AB31" s="113">
        <f t="shared" si="22"/>
        <v>30000000</v>
      </c>
      <c r="AC31" s="113">
        <f t="shared" si="33"/>
        <v>0</v>
      </c>
      <c r="AD31" s="113">
        <v>0</v>
      </c>
      <c r="AE31" s="113">
        <f t="shared" si="23"/>
        <v>0</v>
      </c>
    </row>
    <row r="32" spans="1:31">
      <c r="A32" s="49" t="s">
        <v>87</v>
      </c>
      <c r="B32" s="113">
        <f t="shared" si="24"/>
        <v>0</v>
      </c>
      <c r="C32" s="113">
        <v>0</v>
      </c>
      <c r="D32" s="113">
        <f t="shared" si="14"/>
        <v>0</v>
      </c>
      <c r="E32" s="113">
        <f>110000000</f>
        <v>110000000</v>
      </c>
      <c r="F32" s="113">
        <v>0</v>
      </c>
      <c r="G32" s="113">
        <f t="shared" si="15"/>
        <v>110000000</v>
      </c>
      <c r="H32" s="113">
        <f t="shared" si="26"/>
        <v>110000000</v>
      </c>
      <c r="I32" s="113">
        <v>1000000</v>
      </c>
      <c r="J32" s="113">
        <f t="shared" si="16"/>
        <v>109000000</v>
      </c>
      <c r="K32" s="113">
        <f t="shared" si="27"/>
        <v>106000000</v>
      </c>
      <c r="L32" s="113">
        <v>1500000</v>
      </c>
      <c r="M32" s="113">
        <f t="shared" si="17"/>
        <v>104500000</v>
      </c>
      <c r="N32" s="113">
        <f t="shared" si="28"/>
        <v>100000000</v>
      </c>
      <c r="O32" s="113">
        <v>2500000</v>
      </c>
      <c r="P32" s="113">
        <f t="shared" si="18"/>
        <v>97500000</v>
      </c>
      <c r="Q32" s="113">
        <f t="shared" si="29"/>
        <v>90000000</v>
      </c>
      <c r="R32" s="113">
        <v>2500000</v>
      </c>
      <c r="S32" s="113">
        <f t="shared" si="19"/>
        <v>87500000</v>
      </c>
      <c r="T32" s="113">
        <f t="shared" si="30"/>
        <v>75000000</v>
      </c>
      <c r="U32" s="113">
        <v>5000000</v>
      </c>
      <c r="V32" s="113">
        <f t="shared" si="20"/>
        <v>70000000</v>
      </c>
      <c r="W32" s="113">
        <f t="shared" si="31"/>
        <v>55000000</v>
      </c>
      <c r="X32" s="113">
        <v>5000000</v>
      </c>
      <c r="Y32" s="113">
        <f t="shared" si="21"/>
        <v>50000000</v>
      </c>
      <c r="Z32" s="113">
        <f t="shared" si="32"/>
        <v>30000000</v>
      </c>
      <c r="AA32" s="113">
        <v>7500000</v>
      </c>
      <c r="AB32" s="113">
        <f t="shared" si="22"/>
        <v>22500000</v>
      </c>
      <c r="AC32" s="113">
        <f t="shared" si="33"/>
        <v>0</v>
      </c>
      <c r="AD32" s="113">
        <v>0</v>
      </c>
      <c r="AE32" s="113">
        <f t="shared" si="23"/>
        <v>0</v>
      </c>
    </row>
    <row r="33" spans="1:31">
      <c r="A33" s="49" t="s">
        <v>86</v>
      </c>
      <c r="B33" s="113">
        <f t="shared" si="24"/>
        <v>0</v>
      </c>
      <c r="C33" s="113">
        <v>0</v>
      </c>
      <c r="D33" s="113">
        <f t="shared" si="14"/>
        <v>0</v>
      </c>
      <c r="E33" s="113">
        <f t="shared" si="25"/>
        <v>110000000</v>
      </c>
      <c r="F33" s="113">
        <v>0</v>
      </c>
      <c r="G33" s="113">
        <f t="shared" si="15"/>
        <v>110000000</v>
      </c>
      <c r="H33" s="113">
        <f t="shared" si="26"/>
        <v>109000000</v>
      </c>
      <c r="I33" s="113">
        <v>0</v>
      </c>
      <c r="J33" s="113">
        <f t="shared" si="16"/>
        <v>109000000</v>
      </c>
      <c r="K33" s="113">
        <f t="shared" si="27"/>
        <v>104500000</v>
      </c>
      <c r="L33" s="113">
        <v>0</v>
      </c>
      <c r="M33" s="113">
        <f t="shared" si="17"/>
        <v>104500000</v>
      </c>
      <c r="N33" s="113">
        <f t="shared" si="28"/>
        <v>97500000</v>
      </c>
      <c r="O33" s="113">
        <v>0</v>
      </c>
      <c r="P33" s="113">
        <f t="shared" si="18"/>
        <v>97500000</v>
      </c>
      <c r="Q33" s="113">
        <f t="shared" si="29"/>
        <v>87500000</v>
      </c>
      <c r="R33" s="113">
        <v>0</v>
      </c>
      <c r="S33" s="113">
        <f t="shared" si="19"/>
        <v>87500000</v>
      </c>
      <c r="T33" s="113">
        <f t="shared" si="30"/>
        <v>70000000</v>
      </c>
      <c r="U33" s="113">
        <v>0</v>
      </c>
      <c r="V33" s="113">
        <f t="shared" si="20"/>
        <v>70000000</v>
      </c>
      <c r="W33" s="113">
        <f t="shared" si="31"/>
        <v>50000000</v>
      </c>
      <c r="X33" s="113">
        <v>0</v>
      </c>
      <c r="Y33" s="113">
        <f t="shared" si="21"/>
        <v>50000000</v>
      </c>
      <c r="Z33" s="113">
        <f t="shared" si="32"/>
        <v>22500000</v>
      </c>
      <c r="AA33" s="113">
        <v>0</v>
      </c>
      <c r="AB33" s="113">
        <f t="shared" si="22"/>
        <v>22500000</v>
      </c>
      <c r="AC33" s="113">
        <f t="shared" si="33"/>
        <v>0</v>
      </c>
      <c r="AD33" s="113">
        <v>0</v>
      </c>
      <c r="AE33" s="113">
        <f t="shared" si="23"/>
        <v>0</v>
      </c>
    </row>
    <row r="34" spans="1:31">
      <c r="A34" s="49" t="s">
        <v>85</v>
      </c>
      <c r="B34" s="113">
        <f t="shared" si="24"/>
        <v>0</v>
      </c>
      <c r="C34" s="113">
        <v>0</v>
      </c>
      <c r="D34" s="113">
        <f t="shared" si="14"/>
        <v>0</v>
      </c>
      <c r="E34" s="113">
        <f t="shared" si="25"/>
        <v>110000000</v>
      </c>
      <c r="F34" s="113">
        <v>0</v>
      </c>
      <c r="G34" s="113">
        <f t="shared" si="15"/>
        <v>110000000</v>
      </c>
      <c r="H34" s="113">
        <f t="shared" si="26"/>
        <v>109000000</v>
      </c>
      <c r="I34" s="113">
        <v>0</v>
      </c>
      <c r="J34" s="113">
        <f t="shared" si="16"/>
        <v>109000000</v>
      </c>
      <c r="K34" s="113">
        <f t="shared" si="27"/>
        <v>104500000</v>
      </c>
      <c r="L34" s="113">
        <v>0</v>
      </c>
      <c r="M34" s="113">
        <f t="shared" si="17"/>
        <v>104500000</v>
      </c>
      <c r="N34" s="113">
        <f t="shared" si="28"/>
        <v>97500000</v>
      </c>
      <c r="O34" s="113">
        <v>0</v>
      </c>
      <c r="P34" s="113">
        <f t="shared" si="18"/>
        <v>97500000</v>
      </c>
      <c r="Q34" s="113">
        <f t="shared" si="29"/>
        <v>87500000</v>
      </c>
      <c r="R34" s="113">
        <v>0</v>
      </c>
      <c r="S34" s="113">
        <f t="shared" si="19"/>
        <v>87500000</v>
      </c>
      <c r="T34" s="113">
        <f t="shared" si="30"/>
        <v>70000000</v>
      </c>
      <c r="U34" s="113">
        <v>0</v>
      </c>
      <c r="V34" s="113">
        <f t="shared" si="20"/>
        <v>70000000</v>
      </c>
      <c r="W34" s="113">
        <f t="shared" si="31"/>
        <v>50000000</v>
      </c>
      <c r="X34" s="113">
        <v>0</v>
      </c>
      <c r="Y34" s="113">
        <f t="shared" si="21"/>
        <v>50000000</v>
      </c>
      <c r="Z34" s="113">
        <f t="shared" si="32"/>
        <v>22500000</v>
      </c>
      <c r="AA34" s="113">
        <v>0</v>
      </c>
      <c r="AB34" s="113">
        <f t="shared" si="22"/>
        <v>22500000</v>
      </c>
      <c r="AC34" s="113">
        <f t="shared" si="33"/>
        <v>0</v>
      </c>
      <c r="AD34" s="113">
        <v>0</v>
      </c>
      <c r="AE34" s="113">
        <f t="shared" si="23"/>
        <v>0</v>
      </c>
    </row>
    <row r="35" spans="1:31">
      <c r="A35" s="49" t="s">
        <v>84</v>
      </c>
      <c r="B35" s="113">
        <f t="shared" si="24"/>
        <v>0</v>
      </c>
      <c r="C35" s="113">
        <v>0</v>
      </c>
      <c r="D35" s="113">
        <f t="shared" si="14"/>
        <v>0</v>
      </c>
      <c r="E35" s="113">
        <f t="shared" si="25"/>
        <v>110000000</v>
      </c>
      <c r="F35" s="113">
        <v>0</v>
      </c>
      <c r="G35" s="113">
        <f t="shared" si="15"/>
        <v>110000000</v>
      </c>
      <c r="H35" s="113">
        <f t="shared" si="26"/>
        <v>109000000</v>
      </c>
      <c r="I35" s="113">
        <v>1000000</v>
      </c>
      <c r="J35" s="113">
        <f t="shared" si="16"/>
        <v>108000000</v>
      </c>
      <c r="K35" s="113">
        <f t="shared" si="27"/>
        <v>104500000</v>
      </c>
      <c r="L35" s="113">
        <v>1500000</v>
      </c>
      <c r="M35" s="113">
        <f t="shared" si="17"/>
        <v>103000000</v>
      </c>
      <c r="N35" s="113">
        <f t="shared" si="28"/>
        <v>97500000</v>
      </c>
      <c r="O35" s="113">
        <v>2500000</v>
      </c>
      <c r="P35" s="113">
        <f t="shared" si="18"/>
        <v>95000000</v>
      </c>
      <c r="Q35" s="113">
        <f t="shared" si="29"/>
        <v>87500000</v>
      </c>
      <c r="R35" s="113">
        <v>2500000</v>
      </c>
      <c r="S35" s="113">
        <f t="shared" si="19"/>
        <v>85000000</v>
      </c>
      <c r="T35" s="113">
        <f t="shared" si="30"/>
        <v>70000000</v>
      </c>
      <c r="U35" s="113">
        <v>5000000</v>
      </c>
      <c r="V35" s="113">
        <f t="shared" si="20"/>
        <v>65000000</v>
      </c>
      <c r="W35" s="113">
        <f t="shared" si="31"/>
        <v>50000000</v>
      </c>
      <c r="X35" s="113">
        <v>5000000</v>
      </c>
      <c r="Y35" s="113">
        <f t="shared" si="21"/>
        <v>45000000</v>
      </c>
      <c r="Z35" s="113">
        <f t="shared" si="32"/>
        <v>22500000</v>
      </c>
      <c r="AA35" s="113">
        <v>7500000</v>
      </c>
      <c r="AB35" s="113">
        <f t="shared" si="22"/>
        <v>15000000</v>
      </c>
      <c r="AC35" s="113">
        <f t="shared" si="33"/>
        <v>0</v>
      </c>
      <c r="AD35" s="113">
        <v>0</v>
      </c>
      <c r="AE35" s="113">
        <f t="shared" si="23"/>
        <v>0</v>
      </c>
    </row>
    <row r="36" spans="1:31">
      <c r="A36" s="49" t="s">
        <v>83</v>
      </c>
      <c r="B36" s="113">
        <f t="shared" si="24"/>
        <v>0</v>
      </c>
      <c r="C36" s="113">
        <v>0</v>
      </c>
      <c r="D36" s="113">
        <f t="shared" si="14"/>
        <v>0</v>
      </c>
      <c r="E36" s="113">
        <f t="shared" si="25"/>
        <v>110000000</v>
      </c>
      <c r="F36" s="113">
        <v>0</v>
      </c>
      <c r="G36" s="113">
        <f t="shared" si="15"/>
        <v>110000000</v>
      </c>
      <c r="H36" s="113">
        <f t="shared" si="26"/>
        <v>108000000</v>
      </c>
      <c r="I36" s="113">
        <v>0</v>
      </c>
      <c r="J36" s="113">
        <f t="shared" si="16"/>
        <v>108000000</v>
      </c>
      <c r="K36" s="113">
        <f t="shared" si="27"/>
        <v>103000000</v>
      </c>
      <c r="L36" s="113">
        <v>0</v>
      </c>
      <c r="M36" s="113">
        <f t="shared" si="17"/>
        <v>103000000</v>
      </c>
      <c r="N36" s="113">
        <f t="shared" si="28"/>
        <v>95000000</v>
      </c>
      <c r="O36" s="113">
        <v>0</v>
      </c>
      <c r="P36" s="113">
        <f t="shared" si="18"/>
        <v>95000000</v>
      </c>
      <c r="Q36" s="113">
        <f t="shared" si="29"/>
        <v>85000000</v>
      </c>
      <c r="R36" s="113">
        <v>0</v>
      </c>
      <c r="S36" s="113">
        <f t="shared" si="19"/>
        <v>85000000</v>
      </c>
      <c r="T36" s="113">
        <f t="shared" si="30"/>
        <v>65000000</v>
      </c>
      <c r="U36" s="113">
        <v>0</v>
      </c>
      <c r="V36" s="113">
        <f t="shared" si="20"/>
        <v>65000000</v>
      </c>
      <c r="W36" s="113">
        <f t="shared" si="31"/>
        <v>45000000</v>
      </c>
      <c r="X36" s="113">
        <v>0</v>
      </c>
      <c r="Y36" s="113">
        <f t="shared" si="21"/>
        <v>45000000</v>
      </c>
      <c r="Z36" s="113">
        <f t="shared" si="32"/>
        <v>15000000</v>
      </c>
      <c r="AA36" s="113">
        <v>0</v>
      </c>
      <c r="AB36" s="113">
        <f t="shared" si="22"/>
        <v>15000000</v>
      </c>
      <c r="AC36" s="113">
        <f t="shared" si="33"/>
        <v>0</v>
      </c>
      <c r="AD36" s="113">
        <v>0</v>
      </c>
      <c r="AE36" s="113">
        <f t="shared" si="23"/>
        <v>0</v>
      </c>
    </row>
    <row r="37" spans="1:31">
      <c r="A37" s="49" t="s">
        <v>82</v>
      </c>
      <c r="B37" s="113">
        <f t="shared" si="24"/>
        <v>0</v>
      </c>
      <c r="C37" s="113">
        <v>0</v>
      </c>
      <c r="D37" s="113">
        <f t="shared" si="14"/>
        <v>0</v>
      </c>
      <c r="E37" s="113">
        <f t="shared" si="25"/>
        <v>110000000</v>
      </c>
      <c r="F37" s="113">
        <v>0</v>
      </c>
      <c r="G37" s="113">
        <f t="shared" si="15"/>
        <v>110000000</v>
      </c>
      <c r="H37" s="113">
        <f t="shared" si="26"/>
        <v>108000000</v>
      </c>
      <c r="I37" s="113">
        <v>0</v>
      </c>
      <c r="J37" s="113">
        <f t="shared" si="16"/>
        <v>108000000</v>
      </c>
      <c r="K37" s="113">
        <f t="shared" si="27"/>
        <v>103000000</v>
      </c>
      <c r="L37" s="113">
        <v>0</v>
      </c>
      <c r="M37" s="113">
        <f t="shared" si="17"/>
        <v>103000000</v>
      </c>
      <c r="N37" s="113">
        <f t="shared" si="28"/>
        <v>95000000</v>
      </c>
      <c r="O37" s="113">
        <v>0</v>
      </c>
      <c r="P37" s="113">
        <f t="shared" si="18"/>
        <v>95000000</v>
      </c>
      <c r="Q37" s="113">
        <f t="shared" si="29"/>
        <v>85000000</v>
      </c>
      <c r="R37" s="113">
        <v>0</v>
      </c>
      <c r="S37" s="113">
        <f t="shared" si="19"/>
        <v>85000000</v>
      </c>
      <c r="T37" s="113">
        <f t="shared" si="30"/>
        <v>65000000</v>
      </c>
      <c r="U37" s="113">
        <v>0</v>
      </c>
      <c r="V37" s="113">
        <f t="shared" si="20"/>
        <v>65000000</v>
      </c>
      <c r="W37" s="113">
        <f t="shared" si="31"/>
        <v>45000000</v>
      </c>
      <c r="X37" s="113">
        <v>0</v>
      </c>
      <c r="Y37" s="113">
        <f t="shared" si="21"/>
        <v>45000000</v>
      </c>
      <c r="Z37" s="113">
        <f t="shared" si="32"/>
        <v>15000000</v>
      </c>
      <c r="AA37" s="113">
        <v>0</v>
      </c>
      <c r="AB37" s="113">
        <f t="shared" si="22"/>
        <v>15000000</v>
      </c>
      <c r="AC37" s="113">
        <f t="shared" si="33"/>
        <v>0</v>
      </c>
      <c r="AD37" s="113">
        <v>0</v>
      </c>
      <c r="AE37" s="113">
        <f t="shared" si="23"/>
        <v>0</v>
      </c>
    </row>
    <row r="38" spans="1:31">
      <c r="A38" s="49" t="s">
        <v>81</v>
      </c>
      <c r="B38" s="113">
        <f t="shared" si="24"/>
        <v>0</v>
      </c>
      <c r="C38" s="113">
        <v>0</v>
      </c>
      <c r="D38" s="113">
        <f t="shared" si="14"/>
        <v>0</v>
      </c>
      <c r="E38" s="113">
        <f t="shared" si="25"/>
        <v>110000000</v>
      </c>
      <c r="F38" s="113">
        <v>0</v>
      </c>
      <c r="G38" s="113">
        <f t="shared" si="15"/>
        <v>110000000</v>
      </c>
      <c r="H38" s="113">
        <f t="shared" si="26"/>
        <v>108000000</v>
      </c>
      <c r="I38" s="113">
        <v>1000000</v>
      </c>
      <c r="J38" s="113">
        <f t="shared" si="16"/>
        <v>107000000</v>
      </c>
      <c r="K38" s="113">
        <f t="shared" si="27"/>
        <v>103000000</v>
      </c>
      <c r="L38" s="113">
        <v>1500000</v>
      </c>
      <c r="M38" s="113">
        <f t="shared" si="17"/>
        <v>101500000</v>
      </c>
      <c r="N38" s="113">
        <f t="shared" si="28"/>
        <v>95000000</v>
      </c>
      <c r="O38" s="113">
        <v>2500000</v>
      </c>
      <c r="P38" s="113">
        <f t="shared" si="18"/>
        <v>92500000</v>
      </c>
      <c r="Q38" s="113">
        <f t="shared" si="29"/>
        <v>85000000</v>
      </c>
      <c r="R38" s="113">
        <v>5000000</v>
      </c>
      <c r="S38" s="113">
        <f t="shared" si="19"/>
        <v>80000000</v>
      </c>
      <c r="T38" s="113">
        <f t="shared" si="30"/>
        <v>65000000</v>
      </c>
      <c r="U38" s="113">
        <v>5000000</v>
      </c>
      <c r="V38" s="113">
        <f t="shared" si="20"/>
        <v>60000000</v>
      </c>
      <c r="W38" s="113">
        <f t="shared" si="31"/>
        <v>45000000</v>
      </c>
      <c r="X38" s="113">
        <v>7500000</v>
      </c>
      <c r="Y38" s="113">
        <f t="shared" si="21"/>
        <v>37500000</v>
      </c>
      <c r="Z38" s="113">
        <f t="shared" si="32"/>
        <v>15000000</v>
      </c>
      <c r="AA38" s="113">
        <v>7500000</v>
      </c>
      <c r="AB38" s="113">
        <f t="shared" si="22"/>
        <v>7500000</v>
      </c>
      <c r="AC38" s="113">
        <f t="shared" si="33"/>
        <v>0</v>
      </c>
      <c r="AD38" s="113">
        <v>0</v>
      </c>
      <c r="AE38" s="113">
        <f t="shared" si="23"/>
        <v>0</v>
      </c>
    </row>
    <row r="39" spans="1:31">
      <c r="A39" s="49" t="s">
        <v>80</v>
      </c>
      <c r="B39" s="113">
        <f t="shared" si="24"/>
        <v>0</v>
      </c>
      <c r="C39" s="113">
        <v>0</v>
      </c>
      <c r="D39" s="113">
        <f t="shared" si="14"/>
        <v>0</v>
      </c>
      <c r="E39" s="113">
        <f t="shared" si="25"/>
        <v>110000000</v>
      </c>
      <c r="F39" s="113"/>
      <c r="G39" s="113">
        <f t="shared" si="15"/>
        <v>110000000</v>
      </c>
      <c r="H39" s="113">
        <f t="shared" si="26"/>
        <v>107000000</v>
      </c>
      <c r="I39" s="113"/>
      <c r="J39" s="113">
        <f t="shared" si="16"/>
        <v>107000000</v>
      </c>
      <c r="K39" s="113">
        <f t="shared" si="27"/>
        <v>101500000</v>
      </c>
      <c r="L39" s="113">
        <v>0</v>
      </c>
      <c r="M39" s="113">
        <f t="shared" si="17"/>
        <v>101500000</v>
      </c>
      <c r="N39" s="113">
        <f t="shared" si="28"/>
        <v>92500000</v>
      </c>
      <c r="O39" s="113">
        <v>0</v>
      </c>
      <c r="P39" s="113">
        <f t="shared" si="18"/>
        <v>92500000</v>
      </c>
      <c r="Q39" s="113">
        <f t="shared" si="29"/>
        <v>80000000</v>
      </c>
      <c r="R39" s="113">
        <v>0</v>
      </c>
      <c r="S39" s="113">
        <f t="shared" si="19"/>
        <v>80000000</v>
      </c>
      <c r="T39" s="113">
        <f t="shared" si="30"/>
        <v>60000000</v>
      </c>
      <c r="U39" s="113">
        <v>0</v>
      </c>
      <c r="V39" s="113">
        <f t="shared" si="20"/>
        <v>60000000</v>
      </c>
      <c r="W39" s="113">
        <f t="shared" si="31"/>
        <v>37500000</v>
      </c>
      <c r="X39" s="113">
        <v>0</v>
      </c>
      <c r="Y39" s="113">
        <f t="shared" si="21"/>
        <v>37500000</v>
      </c>
      <c r="Z39" s="113">
        <f t="shared" si="32"/>
        <v>7500000</v>
      </c>
      <c r="AA39" s="113">
        <v>0</v>
      </c>
      <c r="AB39" s="113">
        <f t="shared" si="22"/>
        <v>7500000</v>
      </c>
      <c r="AC39" s="113">
        <f t="shared" si="33"/>
        <v>0</v>
      </c>
      <c r="AD39" s="113">
        <v>0</v>
      </c>
      <c r="AE39" s="113">
        <f t="shared" si="23"/>
        <v>0</v>
      </c>
    </row>
    <row r="40" spans="1:31">
      <c r="A40" s="48" t="s">
        <v>79</v>
      </c>
      <c r="B40" s="114">
        <f t="shared" si="24"/>
        <v>0</v>
      </c>
      <c r="C40" s="114">
        <v>0</v>
      </c>
      <c r="D40" s="114">
        <f t="shared" si="14"/>
        <v>0</v>
      </c>
      <c r="E40" s="114">
        <f t="shared" si="25"/>
        <v>110000000</v>
      </c>
      <c r="F40" s="114"/>
      <c r="G40" s="114">
        <f t="shared" si="15"/>
        <v>110000000</v>
      </c>
      <c r="H40" s="114">
        <f t="shared" si="26"/>
        <v>107000000</v>
      </c>
      <c r="I40" s="114"/>
      <c r="J40" s="114">
        <f t="shared" si="16"/>
        <v>107000000</v>
      </c>
      <c r="K40" s="114">
        <f t="shared" si="27"/>
        <v>101500000</v>
      </c>
      <c r="L40" s="114">
        <v>0</v>
      </c>
      <c r="M40" s="114">
        <f t="shared" si="17"/>
        <v>101500000</v>
      </c>
      <c r="N40" s="114">
        <f t="shared" si="28"/>
        <v>92500000</v>
      </c>
      <c r="O40" s="114">
        <v>0</v>
      </c>
      <c r="P40" s="114">
        <f t="shared" si="18"/>
        <v>92500000</v>
      </c>
      <c r="Q40" s="114">
        <f t="shared" si="29"/>
        <v>80000000</v>
      </c>
      <c r="R40" s="114">
        <v>0</v>
      </c>
      <c r="S40" s="114">
        <f t="shared" si="19"/>
        <v>80000000</v>
      </c>
      <c r="T40" s="114">
        <f t="shared" si="30"/>
        <v>60000000</v>
      </c>
      <c r="U40" s="114">
        <v>0</v>
      </c>
      <c r="V40" s="114">
        <f t="shared" si="20"/>
        <v>60000000</v>
      </c>
      <c r="W40" s="114">
        <f t="shared" si="31"/>
        <v>37500000</v>
      </c>
      <c r="X40" s="114">
        <v>0</v>
      </c>
      <c r="Y40" s="114">
        <f t="shared" si="21"/>
        <v>37500000</v>
      </c>
      <c r="Z40" s="114">
        <f t="shared" si="32"/>
        <v>7500000</v>
      </c>
      <c r="AA40" s="114">
        <v>0</v>
      </c>
      <c r="AB40" s="114">
        <f t="shared" si="22"/>
        <v>7500000</v>
      </c>
      <c r="AC40" s="114">
        <f t="shared" si="33"/>
        <v>0</v>
      </c>
      <c r="AD40" s="114">
        <v>0</v>
      </c>
      <c r="AE40" s="114">
        <f t="shared" si="23"/>
        <v>0</v>
      </c>
    </row>
    <row r="41" spans="1:31">
      <c r="A41" s="49"/>
      <c r="B41" s="49"/>
      <c r="C41" s="47">
        <f>SUM(C29:C40)</f>
        <v>0</v>
      </c>
      <c r="D41" s="49"/>
      <c r="E41" s="49"/>
      <c r="F41" s="47">
        <f>SUM(F29:F40)</f>
        <v>0</v>
      </c>
      <c r="G41" s="49"/>
      <c r="H41" s="49"/>
      <c r="I41" s="47">
        <f>SUM(I29:I40)</f>
        <v>3000000</v>
      </c>
      <c r="J41" s="49"/>
      <c r="K41" s="49"/>
      <c r="L41" s="47">
        <f>SUM(L29:L40)</f>
        <v>5500000</v>
      </c>
      <c r="M41" s="49"/>
      <c r="N41" s="49"/>
      <c r="O41" s="47">
        <f>SUM(O29:O40)</f>
        <v>9000000</v>
      </c>
      <c r="P41" s="49"/>
      <c r="Q41" s="49"/>
      <c r="R41" s="47">
        <f>SUM(R29:R40)</f>
        <v>12500000</v>
      </c>
      <c r="S41" s="49"/>
      <c r="T41" s="49"/>
      <c r="U41" s="47">
        <f>SUM(U29:U40)</f>
        <v>20000000</v>
      </c>
      <c r="V41" s="49"/>
      <c r="W41" s="49"/>
      <c r="X41" s="47">
        <f>SUM(X29:X40)</f>
        <v>22500000</v>
      </c>
      <c r="Y41" s="49"/>
      <c r="Z41" s="49"/>
      <c r="AA41" s="47">
        <f>SUM(AA29:AA40)</f>
        <v>30000000</v>
      </c>
      <c r="AB41" s="49"/>
      <c r="AC41" s="49"/>
      <c r="AD41" s="47">
        <f>SUM(AD29:AD40)</f>
        <v>7500000</v>
      </c>
      <c r="AE41" s="49"/>
    </row>
    <row r="42" spans="1:31">
      <c r="A42" s="51"/>
      <c r="B42" s="51"/>
      <c r="C42" s="51"/>
      <c r="D42" s="51"/>
      <c r="E42" s="51"/>
      <c r="F42" s="51"/>
      <c r="G42" s="51"/>
      <c r="H42" s="51"/>
      <c r="I42" s="51"/>
      <c r="J42" s="51"/>
      <c r="K42" s="51"/>
      <c r="L42" s="51"/>
      <c r="M42" s="51"/>
      <c r="N42" s="51"/>
      <c r="O42" s="51"/>
      <c r="P42" s="51"/>
      <c r="Q42" s="51"/>
      <c r="R42" s="51"/>
      <c r="S42" s="51"/>
      <c r="T42" s="51"/>
      <c r="U42" s="51"/>
      <c r="V42" s="51"/>
      <c r="Y42" s="44"/>
    </row>
    <row r="43" spans="1:31">
      <c r="A43" s="51"/>
      <c r="B43" s="51"/>
      <c r="C43" s="51"/>
      <c r="D43" s="51"/>
      <c r="E43" s="51"/>
      <c r="F43" s="51"/>
      <c r="G43" s="51"/>
      <c r="H43" s="51"/>
      <c r="I43" s="51"/>
      <c r="J43" s="51"/>
      <c r="K43" s="51"/>
      <c r="L43" s="51"/>
      <c r="M43" s="51"/>
      <c r="N43" s="51"/>
      <c r="O43" s="51"/>
      <c r="P43" s="51"/>
      <c r="Q43" s="51"/>
      <c r="R43" s="51"/>
      <c r="S43" s="51"/>
      <c r="T43" s="51"/>
      <c r="U43" s="51"/>
      <c r="V43" s="51"/>
    </row>
    <row r="44" spans="1:31">
      <c r="A44" s="45" t="s">
        <v>94</v>
      </c>
      <c r="B44" s="44"/>
      <c r="C44" s="44"/>
      <c r="D44" s="44">
        <f>+D40</f>
        <v>0</v>
      </c>
      <c r="E44" s="44"/>
      <c r="F44" s="44"/>
      <c r="G44" s="44">
        <f>+G40</f>
        <v>110000000</v>
      </c>
      <c r="H44" s="44"/>
      <c r="I44" s="44"/>
      <c r="J44" s="44">
        <f>+J40</f>
        <v>107000000</v>
      </c>
      <c r="K44" s="44"/>
      <c r="L44" s="44"/>
      <c r="M44" s="44">
        <f>+M40</f>
        <v>101500000</v>
      </c>
      <c r="N44" s="44"/>
      <c r="O44" s="44"/>
      <c r="P44" s="44">
        <f>+P40</f>
        <v>92500000</v>
      </c>
      <c r="Q44" s="44"/>
      <c r="R44" s="44"/>
      <c r="S44" s="44">
        <f>+S40</f>
        <v>80000000</v>
      </c>
      <c r="T44" s="44"/>
      <c r="U44" s="44"/>
      <c r="V44" s="44">
        <f>+V40</f>
        <v>60000000</v>
      </c>
      <c r="X44" s="44"/>
      <c r="Y44" s="44">
        <f>+Y40</f>
        <v>37500000</v>
      </c>
      <c r="AA44" s="44"/>
      <c r="AB44" s="44">
        <f>+AB40</f>
        <v>7500000</v>
      </c>
      <c r="AD44" s="44"/>
      <c r="AE44" s="44">
        <f>+AE40</f>
        <v>0</v>
      </c>
    </row>
    <row r="45" spans="1:31">
      <c r="A45" s="45" t="s">
        <v>93</v>
      </c>
      <c r="C45" s="44">
        <f>+C41</f>
        <v>0</v>
      </c>
      <c r="E45" s="44"/>
      <c r="F45" s="44">
        <f>+F41</f>
        <v>0</v>
      </c>
      <c r="I45" s="44">
        <f>+I41</f>
        <v>3000000</v>
      </c>
      <c r="L45" s="44">
        <f>+L41</f>
        <v>5500000</v>
      </c>
      <c r="O45" s="44">
        <f>+O41</f>
        <v>9000000</v>
      </c>
      <c r="R45" s="44">
        <f>+R41</f>
        <v>12500000</v>
      </c>
      <c r="U45" s="44">
        <f>+U41</f>
        <v>20000000</v>
      </c>
      <c r="X45" s="44">
        <f>+X41</f>
        <v>22500000</v>
      </c>
      <c r="AA45" s="44">
        <f>+AA41</f>
        <v>30000000</v>
      </c>
      <c r="AD45" s="44">
        <f>+AD41</f>
        <v>7500000</v>
      </c>
    </row>
    <row r="46" spans="1:31">
      <c r="A46" s="45"/>
      <c r="B46" s="44"/>
      <c r="C46" s="43"/>
      <c r="D46" s="44"/>
      <c r="E46" s="44"/>
      <c r="F46" s="44"/>
      <c r="G46" s="44"/>
      <c r="H46" s="44"/>
      <c r="I46" s="44"/>
      <c r="J46" s="44"/>
      <c r="K46" s="44"/>
      <c r="L46" s="44"/>
      <c r="M46" s="44"/>
      <c r="N46" s="44"/>
      <c r="O46" s="44"/>
      <c r="P46" s="44"/>
      <c r="Q46" s="44"/>
      <c r="R46" s="44"/>
      <c r="S46" s="44"/>
    </row>
    <row r="47" spans="1:31">
      <c r="A47" s="45"/>
      <c r="C47" s="43"/>
    </row>
    <row r="48" spans="1:31">
      <c r="A48" s="45"/>
      <c r="B48" s="44"/>
      <c r="C48" s="43"/>
      <c r="D48" s="44"/>
      <c r="E48" s="44"/>
      <c r="F48" s="44"/>
      <c r="G48" s="44"/>
      <c r="H48" s="44"/>
      <c r="I48" s="44"/>
      <c r="J48" s="44"/>
      <c r="K48" s="44"/>
      <c r="L48" s="44"/>
      <c r="M48" s="44"/>
      <c r="N48" s="44"/>
      <c r="O48" s="44"/>
      <c r="P48" s="44"/>
      <c r="Q48" s="44"/>
      <c r="R48" s="44"/>
      <c r="S48" s="44"/>
      <c r="T48" s="44"/>
      <c r="U48" s="44"/>
      <c r="V48" s="44"/>
      <c r="Y48" s="44"/>
    </row>
    <row r="49" spans="1:25">
      <c r="A49" s="45"/>
      <c r="C49" s="43"/>
      <c r="V49" s="44"/>
    </row>
    <row r="50" spans="1:25">
      <c r="C50" s="43"/>
    </row>
    <row r="51" spans="1:25">
      <c r="A51" s="45"/>
      <c r="C51" s="43"/>
      <c r="D51" s="44"/>
      <c r="G51" s="44"/>
      <c r="J51" s="44"/>
      <c r="M51" s="44"/>
      <c r="P51" s="44"/>
    </row>
    <row r="52" spans="1:25">
      <c r="A52" s="45"/>
      <c r="B52" s="44"/>
      <c r="C52" s="43"/>
      <c r="D52" s="44"/>
      <c r="E52" s="44"/>
      <c r="F52" s="44"/>
      <c r="G52" s="44"/>
      <c r="H52" s="44"/>
      <c r="I52" s="44"/>
      <c r="J52" s="44"/>
      <c r="K52" s="44"/>
      <c r="L52" s="44"/>
      <c r="M52" s="44"/>
      <c r="N52" s="44"/>
      <c r="O52" s="44"/>
      <c r="P52" s="44"/>
      <c r="Q52" s="44"/>
      <c r="R52" s="44"/>
      <c r="S52" s="44"/>
    </row>
    <row r="53" spans="1:25">
      <c r="C53" s="43"/>
    </row>
    <row r="54" spans="1:25">
      <c r="A54" s="45"/>
      <c r="C54" s="43"/>
      <c r="D54" s="44"/>
      <c r="G54" s="44"/>
      <c r="J54" s="44"/>
      <c r="M54" s="44"/>
      <c r="P54" s="44"/>
      <c r="S54" s="44"/>
      <c r="V54" s="44"/>
      <c r="Y54" s="44"/>
    </row>
    <row r="55" spans="1:25">
      <c r="C55" s="43"/>
    </row>
    <row r="56" spans="1:25">
      <c r="A56" s="45"/>
      <c r="C56" s="43"/>
    </row>
    <row r="57" spans="1:25">
      <c r="C57" s="43"/>
      <c r="D57" s="44"/>
      <c r="G57" s="44"/>
      <c r="J57" s="44"/>
      <c r="M57" s="44"/>
      <c r="P57" s="44"/>
      <c r="S57" s="44"/>
    </row>
    <row r="58" spans="1:25">
      <c r="C58" s="43"/>
    </row>
    <row r="59" spans="1:25">
      <c r="C59" s="43"/>
    </row>
    <row r="60" spans="1:25">
      <c r="C60" s="43"/>
    </row>
    <row r="61" spans="1:25">
      <c r="C61" s="43"/>
    </row>
    <row r="62" spans="1:25">
      <c r="C62" s="43"/>
    </row>
    <row r="63" spans="1:25">
      <c r="C63" s="43"/>
    </row>
    <row r="64" spans="1:25">
      <c r="C64" s="43"/>
    </row>
    <row r="65" spans="3:3">
      <c r="C65" s="43"/>
    </row>
    <row r="66" spans="3:3">
      <c r="C66" s="43"/>
    </row>
    <row r="67" spans="3:3">
      <c r="C67" s="43"/>
    </row>
    <row r="68" spans="3:3">
      <c r="C68" s="43"/>
    </row>
  </sheetData>
  <mergeCells count="17">
    <mergeCell ref="Q26:S26"/>
    <mergeCell ref="T26:V26"/>
    <mergeCell ref="W26:Y26"/>
    <mergeCell ref="Z26:AB26"/>
    <mergeCell ref="AC26:AE26"/>
    <mergeCell ref="B26:D26"/>
    <mergeCell ref="E26:G26"/>
    <mergeCell ref="H26:J26"/>
    <mergeCell ref="K26:M26"/>
    <mergeCell ref="N26:P26"/>
    <mergeCell ref="K4:M4"/>
    <mergeCell ref="N4:P4"/>
    <mergeCell ref="Q4:S4"/>
    <mergeCell ref="T4:V4"/>
    <mergeCell ref="B4:D4"/>
    <mergeCell ref="E4:G4"/>
    <mergeCell ref="H4:J4"/>
  </mergeCells>
  <pageMargins left="0.18" right="0.18" top="0.75" bottom="0.75" header="0.3" footer="0.3"/>
  <pageSetup orientation="landscape"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V33"/>
  <sheetViews>
    <sheetView workbookViewId="0">
      <selection activeCell="C46" sqref="C46:C50"/>
    </sheetView>
  </sheetViews>
  <sheetFormatPr defaultRowHeight="12.75"/>
  <cols>
    <col min="1" max="1" width="15" style="29" bestFit="1" customWidth="1"/>
    <col min="2" max="2" width="9.140625" style="29"/>
    <col min="3" max="3" width="12.28515625" style="115" bestFit="1" customWidth="1"/>
    <col min="4" max="4" width="11.85546875" style="115" bestFit="1" customWidth="1"/>
    <col min="5" max="5" width="12.28515625" style="115" bestFit="1" customWidth="1"/>
    <col min="6" max="6" width="11.85546875" style="115" bestFit="1" customWidth="1"/>
    <col min="7" max="9" width="12.28515625" style="115" bestFit="1" customWidth="1"/>
    <col min="10" max="10" width="11.28515625" style="115" bestFit="1" customWidth="1"/>
    <col min="11" max="11" width="12.28515625" style="115" bestFit="1" customWidth="1"/>
    <col min="12" max="12" width="11.28515625" style="115" bestFit="1" customWidth="1"/>
    <col min="13" max="13" width="12.28515625" style="115" bestFit="1" customWidth="1"/>
    <col min="14" max="14" width="11.28515625" style="115" bestFit="1" customWidth="1"/>
    <col min="15" max="15" width="12.28515625" style="115" bestFit="1" customWidth="1"/>
    <col min="16" max="16" width="11.28515625" style="115" bestFit="1" customWidth="1"/>
    <col min="17" max="17" width="11.28515625" style="29" bestFit="1" customWidth="1"/>
    <col min="18" max="18" width="10.28515625" style="29" bestFit="1" customWidth="1"/>
    <col min="19" max="19" width="11.28515625" style="29" bestFit="1" customWidth="1"/>
    <col min="20" max="20" width="10.28515625" style="29" bestFit="1" customWidth="1"/>
    <col min="21" max="21" width="11.28515625" style="29" bestFit="1" customWidth="1"/>
    <col min="22" max="22" width="10.28515625" style="29" bestFit="1" customWidth="1"/>
    <col min="23" max="255" width="9.140625" style="29"/>
    <col min="256" max="256" width="11.7109375" style="29" bestFit="1" customWidth="1"/>
    <col min="257" max="257" width="13.5703125" style="29" bestFit="1" customWidth="1"/>
    <col min="258" max="511" width="9.140625" style="29"/>
    <col min="512" max="512" width="11.7109375" style="29" bestFit="1" customWidth="1"/>
    <col min="513" max="513" width="13.5703125" style="29" bestFit="1" customWidth="1"/>
    <col min="514" max="767" width="9.140625" style="29"/>
    <col min="768" max="768" width="11.7109375" style="29" bestFit="1" customWidth="1"/>
    <col min="769" max="769" width="13.5703125" style="29" bestFit="1" customWidth="1"/>
    <col min="770" max="1023" width="9.140625" style="29"/>
    <col min="1024" max="1024" width="11.7109375" style="29" bestFit="1" customWidth="1"/>
    <col min="1025" max="1025" width="13.5703125" style="29" bestFit="1" customWidth="1"/>
    <col min="1026" max="1279" width="9.140625" style="29"/>
    <col min="1280" max="1280" width="11.7109375" style="29" bestFit="1" customWidth="1"/>
    <col min="1281" max="1281" width="13.5703125" style="29" bestFit="1" customWidth="1"/>
    <col min="1282" max="1535" width="9.140625" style="29"/>
    <col min="1536" max="1536" width="11.7109375" style="29" bestFit="1" customWidth="1"/>
    <col min="1537" max="1537" width="13.5703125" style="29" bestFit="1" customWidth="1"/>
    <col min="1538" max="1791" width="9.140625" style="29"/>
    <col min="1792" max="1792" width="11.7109375" style="29" bestFit="1" customWidth="1"/>
    <col min="1793" max="1793" width="13.5703125" style="29" bestFit="1" customWidth="1"/>
    <col min="1794" max="2047" width="9.140625" style="29"/>
    <col min="2048" max="2048" width="11.7109375" style="29" bestFit="1" customWidth="1"/>
    <col min="2049" max="2049" width="13.5703125" style="29" bestFit="1" customWidth="1"/>
    <col min="2050" max="2303" width="9.140625" style="29"/>
    <col min="2304" max="2304" width="11.7109375" style="29" bestFit="1" customWidth="1"/>
    <col min="2305" max="2305" width="13.5703125" style="29" bestFit="1" customWidth="1"/>
    <col min="2306" max="2559" width="9.140625" style="29"/>
    <col min="2560" max="2560" width="11.7109375" style="29" bestFit="1" customWidth="1"/>
    <col min="2561" max="2561" width="13.5703125" style="29" bestFit="1" customWidth="1"/>
    <col min="2562" max="2815" width="9.140625" style="29"/>
    <col min="2816" max="2816" width="11.7109375" style="29" bestFit="1" customWidth="1"/>
    <col min="2817" max="2817" width="13.5703125" style="29" bestFit="1" customWidth="1"/>
    <col min="2818" max="3071" width="9.140625" style="29"/>
    <col min="3072" max="3072" width="11.7109375" style="29" bestFit="1" customWidth="1"/>
    <col min="3073" max="3073" width="13.5703125" style="29" bestFit="1" customWidth="1"/>
    <col min="3074" max="3327" width="9.140625" style="29"/>
    <col min="3328" max="3328" width="11.7109375" style="29" bestFit="1" customWidth="1"/>
    <col min="3329" max="3329" width="13.5703125" style="29" bestFit="1" customWidth="1"/>
    <col min="3330" max="3583" width="9.140625" style="29"/>
    <col min="3584" max="3584" width="11.7109375" style="29" bestFit="1" customWidth="1"/>
    <col min="3585" max="3585" width="13.5703125" style="29" bestFit="1" customWidth="1"/>
    <col min="3586" max="3839" width="9.140625" style="29"/>
    <col min="3840" max="3840" width="11.7109375" style="29" bestFit="1" customWidth="1"/>
    <col min="3841" max="3841" width="13.5703125" style="29" bestFit="1" customWidth="1"/>
    <col min="3842" max="4095" width="9.140625" style="29"/>
    <col min="4096" max="4096" width="11.7109375" style="29" bestFit="1" customWidth="1"/>
    <col min="4097" max="4097" width="13.5703125" style="29" bestFit="1" customWidth="1"/>
    <col min="4098" max="4351" width="9.140625" style="29"/>
    <col min="4352" max="4352" width="11.7109375" style="29" bestFit="1" customWidth="1"/>
    <col min="4353" max="4353" width="13.5703125" style="29" bestFit="1" customWidth="1"/>
    <col min="4354" max="4607" width="9.140625" style="29"/>
    <col min="4608" max="4608" width="11.7109375" style="29" bestFit="1" customWidth="1"/>
    <col min="4609" max="4609" width="13.5703125" style="29" bestFit="1" customWidth="1"/>
    <col min="4610" max="4863" width="9.140625" style="29"/>
    <col min="4864" max="4864" width="11.7109375" style="29" bestFit="1" customWidth="1"/>
    <col min="4865" max="4865" width="13.5703125" style="29" bestFit="1" customWidth="1"/>
    <col min="4866" max="5119" width="9.140625" style="29"/>
    <col min="5120" max="5120" width="11.7109375" style="29" bestFit="1" customWidth="1"/>
    <col min="5121" max="5121" width="13.5703125" style="29" bestFit="1" customWidth="1"/>
    <col min="5122" max="5375" width="9.140625" style="29"/>
    <col min="5376" max="5376" width="11.7109375" style="29" bestFit="1" customWidth="1"/>
    <col min="5377" max="5377" width="13.5703125" style="29" bestFit="1" customWidth="1"/>
    <col min="5378" max="5631" width="9.140625" style="29"/>
    <col min="5632" max="5632" width="11.7109375" style="29" bestFit="1" customWidth="1"/>
    <col min="5633" max="5633" width="13.5703125" style="29" bestFit="1" customWidth="1"/>
    <col min="5634" max="5887" width="9.140625" style="29"/>
    <col min="5888" max="5888" width="11.7109375" style="29" bestFit="1" customWidth="1"/>
    <col min="5889" max="5889" width="13.5703125" style="29" bestFit="1" customWidth="1"/>
    <col min="5890" max="6143" width="9.140625" style="29"/>
    <col min="6144" max="6144" width="11.7109375" style="29" bestFit="1" customWidth="1"/>
    <col min="6145" max="6145" width="13.5703125" style="29" bestFit="1" customWidth="1"/>
    <col min="6146" max="6399" width="9.140625" style="29"/>
    <col min="6400" max="6400" width="11.7109375" style="29" bestFit="1" customWidth="1"/>
    <col min="6401" max="6401" width="13.5703125" style="29" bestFit="1" customWidth="1"/>
    <col min="6402" max="6655" width="9.140625" style="29"/>
    <col min="6656" max="6656" width="11.7109375" style="29" bestFit="1" customWidth="1"/>
    <col min="6657" max="6657" width="13.5703125" style="29" bestFit="1" customWidth="1"/>
    <col min="6658" max="6911" width="9.140625" style="29"/>
    <col min="6912" max="6912" width="11.7109375" style="29" bestFit="1" customWidth="1"/>
    <col min="6913" max="6913" width="13.5703125" style="29" bestFit="1" customWidth="1"/>
    <col min="6914" max="7167" width="9.140625" style="29"/>
    <col min="7168" max="7168" width="11.7109375" style="29" bestFit="1" customWidth="1"/>
    <col min="7169" max="7169" width="13.5703125" style="29" bestFit="1" customWidth="1"/>
    <col min="7170" max="7423" width="9.140625" style="29"/>
    <col min="7424" max="7424" width="11.7109375" style="29" bestFit="1" customWidth="1"/>
    <col min="7425" max="7425" width="13.5703125" style="29" bestFit="1" customWidth="1"/>
    <col min="7426" max="7679" width="9.140625" style="29"/>
    <col min="7680" max="7680" width="11.7109375" style="29" bestFit="1" customWidth="1"/>
    <col min="7681" max="7681" width="13.5703125" style="29" bestFit="1" customWidth="1"/>
    <col min="7682" max="7935" width="9.140625" style="29"/>
    <col min="7936" max="7936" width="11.7109375" style="29" bestFit="1" customWidth="1"/>
    <col min="7937" max="7937" width="13.5703125" style="29" bestFit="1" customWidth="1"/>
    <col min="7938" max="8191" width="9.140625" style="29"/>
    <col min="8192" max="8192" width="11.7109375" style="29" bestFit="1" customWidth="1"/>
    <col min="8193" max="8193" width="13.5703125" style="29" bestFit="1" customWidth="1"/>
    <col min="8194" max="8447" width="9.140625" style="29"/>
    <col min="8448" max="8448" width="11.7109375" style="29" bestFit="1" customWidth="1"/>
    <col min="8449" max="8449" width="13.5703125" style="29" bestFit="1" customWidth="1"/>
    <col min="8450" max="8703" width="9.140625" style="29"/>
    <col min="8704" max="8704" width="11.7109375" style="29" bestFit="1" customWidth="1"/>
    <col min="8705" max="8705" width="13.5703125" style="29" bestFit="1" customWidth="1"/>
    <col min="8706" max="8959" width="9.140625" style="29"/>
    <col min="8960" max="8960" width="11.7109375" style="29" bestFit="1" customWidth="1"/>
    <col min="8961" max="8961" width="13.5703125" style="29" bestFit="1" customWidth="1"/>
    <col min="8962" max="9215" width="9.140625" style="29"/>
    <col min="9216" max="9216" width="11.7109375" style="29" bestFit="1" customWidth="1"/>
    <col min="9217" max="9217" width="13.5703125" style="29" bestFit="1" customWidth="1"/>
    <col min="9218" max="9471" width="9.140625" style="29"/>
    <col min="9472" max="9472" width="11.7109375" style="29" bestFit="1" customWidth="1"/>
    <col min="9473" max="9473" width="13.5703125" style="29" bestFit="1" customWidth="1"/>
    <col min="9474" max="9727" width="9.140625" style="29"/>
    <col min="9728" max="9728" width="11.7109375" style="29" bestFit="1" customWidth="1"/>
    <col min="9729" max="9729" width="13.5703125" style="29" bestFit="1" customWidth="1"/>
    <col min="9730" max="9983" width="9.140625" style="29"/>
    <col min="9984" max="9984" width="11.7109375" style="29" bestFit="1" customWidth="1"/>
    <col min="9985" max="9985" width="13.5703125" style="29" bestFit="1" customWidth="1"/>
    <col min="9986" max="10239" width="9.140625" style="29"/>
    <col min="10240" max="10240" width="11.7109375" style="29" bestFit="1" customWidth="1"/>
    <col min="10241" max="10241" width="13.5703125" style="29" bestFit="1" customWidth="1"/>
    <col min="10242" max="10495" width="9.140625" style="29"/>
    <col min="10496" max="10496" width="11.7109375" style="29" bestFit="1" customWidth="1"/>
    <col min="10497" max="10497" width="13.5703125" style="29" bestFit="1" customWidth="1"/>
    <col min="10498" max="10751" width="9.140625" style="29"/>
    <col min="10752" max="10752" width="11.7109375" style="29" bestFit="1" customWidth="1"/>
    <col min="10753" max="10753" width="13.5703125" style="29" bestFit="1" customWidth="1"/>
    <col min="10754" max="11007" width="9.140625" style="29"/>
    <col min="11008" max="11008" width="11.7109375" style="29" bestFit="1" customWidth="1"/>
    <col min="11009" max="11009" width="13.5703125" style="29" bestFit="1" customWidth="1"/>
    <col min="11010" max="11263" width="9.140625" style="29"/>
    <col min="11264" max="11264" width="11.7109375" style="29" bestFit="1" customWidth="1"/>
    <col min="11265" max="11265" width="13.5703125" style="29" bestFit="1" customWidth="1"/>
    <col min="11266" max="11519" width="9.140625" style="29"/>
    <col min="11520" max="11520" width="11.7109375" style="29" bestFit="1" customWidth="1"/>
    <col min="11521" max="11521" width="13.5703125" style="29" bestFit="1" customWidth="1"/>
    <col min="11522" max="11775" width="9.140625" style="29"/>
    <col min="11776" max="11776" width="11.7109375" style="29" bestFit="1" customWidth="1"/>
    <col min="11777" max="11777" width="13.5703125" style="29" bestFit="1" customWidth="1"/>
    <col min="11778" max="12031" width="9.140625" style="29"/>
    <col min="12032" max="12032" width="11.7109375" style="29" bestFit="1" customWidth="1"/>
    <col min="12033" max="12033" width="13.5703125" style="29" bestFit="1" customWidth="1"/>
    <col min="12034" max="12287" width="9.140625" style="29"/>
    <col min="12288" max="12288" width="11.7109375" style="29" bestFit="1" customWidth="1"/>
    <col min="12289" max="12289" width="13.5703125" style="29" bestFit="1" customWidth="1"/>
    <col min="12290" max="12543" width="9.140625" style="29"/>
    <col min="12544" max="12544" width="11.7109375" style="29" bestFit="1" customWidth="1"/>
    <col min="12545" max="12545" width="13.5703125" style="29" bestFit="1" customWidth="1"/>
    <col min="12546" max="12799" width="9.140625" style="29"/>
    <col min="12800" max="12800" width="11.7109375" style="29" bestFit="1" customWidth="1"/>
    <col min="12801" max="12801" width="13.5703125" style="29" bestFit="1" customWidth="1"/>
    <col min="12802" max="13055" width="9.140625" style="29"/>
    <col min="13056" max="13056" width="11.7109375" style="29" bestFit="1" customWidth="1"/>
    <col min="13057" max="13057" width="13.5703125" style="29" bestFit="1" customWidth="1"/>
    <col min="13058" max="13311" width="9.140625" style="29"/>
    <col min="13312" max="13312" width="11.7109375" style="29" bestFit="1" customWidth="1"/>
    <col min="13313" max="13313" width="13.5703125" style="29" bestFit="1" customWidth="1"/>
    <col min="13314" max="13567" width="9.140625" style="29"/>
    <col min="13568" max="13568" width="11.7109375" style="29" bestFit="1" customWidth="1"/>
    <col min="13569" max="13569" width="13.5703125" style="29" bestFit="1" customWidth="1"/>
    <col min="13570" max="13823" width="9.140625" style="29"/>
    <col min="13824" max="13824" width="11.7109375" style="29" bestFit="1" customWidth="1"/>
    <col min="13825" max="13825" width="13.5703125" style="29" bestFit="1" customWidth="1"/>
    <col min="13826" max="14079" width="9.140625" style="29"/>
    <col min="14080" max="14080" width="11.7109375" style="29" bestFit="1" customWidth="1"/>
    <col min="14081" max="14081" width="13.5703125" style="29" bestFit="1" customWidth="1"/>
    <col min="14082" max="14335" width="9.140625" style="29"/>
    <col min="14336" max="14336" width="11.7109375" style="29" bestFit="1" customWidth="1"/>
    <col min="14337" max="14337" width="13.5703125" style="29" bestFit="1" customWidth="1"/>
    <col min="14338" max="14591" width="9.140625" style="29"/>
    <col min="14592" max="14592" width="11.7109375" style="29" bestFit="1" customWidth="1"/>
    <col min="14593" max="14593" width="13.5703125" style="29" bestFit="1" customWidth="1"/>
    <col min="14594" max="14847" width="9.140625" style="29"/>
    <col min="14848" max="14848" width="11.7109375" style="29" bestFit="1" customWidth="1"/>
    <col min="14849" max="14849" width="13.5703125" style="29" bestFit="1" customWidth="1"/>
    <col min="14850" max="15103" width="9.140625" style="29"/>
    <col min="15104" max="15104" width="11.7109375" style="29" bestFit="1" customWidth="1"/>
    <col min="15105" max="15105" width="13.5703125" style="29" bestFit="1" customWidth="1"/>
    <col min="15106" max="15359" width="9.140625" style="29"/>
    <col min="15360" max="15360" width="11.7109375" style="29" bestFit="1" customWidth="1"/>
    <col min="15361" max="15361" width="13.5703125" style="29" bestFit="1" customWidth="1"/>
    <col min="15362" max="15615" width="9.140625" style="29"/>
    <col min="15616" max="15616" width="11.7109375" style="29" bestFit="1" customWidth="1"/>
    <col min="15617" max="15617" width="13.5703125" style="29" bestFit="1" customWidth="1"/>
    <col min="15618" max="15871" width="9.140625" style="29"/>
    <col min="15872" max="15872" width="11.7109375" style="29" bestFit="1" customWidth="1"/>
    <col min="15873" max="15873" width="13.5703125" style="29" bestFit="1" customWidth="1"/>
    <col min="15874" max="16127" width="9.140625" style="29"/>
    <col min="16128" max="16128" width="11.7109375" style="29" bestFit="1" customWidth="1"/>
    <col min="16129" max="16129" width="13.5703125" style="29" bestFit="1" customWidth="1"/>
    <col min="16130" max="16384" width="9.140625" style="29"/>
  </cols>
  <sheetData>
    <row r="2" spans="1:22">
      <c r="B2" s="29">
        <f>1.25*9</f>
        <v>11.25</v>
      </c>
      <c r="C2" s="115">
        <f>13/12*3</f>
        <v>3.25</v>
      </c>
    </row>
    <row r="3" spans="1:22">
      <c r="A3" s="33" t="s">
        <v>721</v>
      </c>
      <c r="B3" s="33" t="s">
        <v>92</v>
      </c>
      <c r="C3" s="1072" t="s">
        <v>74</v>
      </c>
      <c r="D3" s="1072"/>
      <c r="E3" s="1072" t="s">
        <v>73</v>
      </c>
      <c r="F3" s="1072"/>
      <c r="G3" s="1072" t="s">
        <v>66</v>
      </c>
      <c r="H3" s="1072"/>
      <c r="I3" s="1072" t="s">
        <v>65</v>
      </c>
      <c r="J3" s="1072"/>
      <c r="K3" s="1072" t="s">
        <v>64</v>
      </c>
      <c r="L3" s="1072"/>
      <c r="M3" s="1072" t="s">
        <v>63</v>
      </c>
      <c r="N3" s="1072"/>
      <c r="O3" s="1072" t="s">
        <v>62</v>
      </c>
      <c r="P3" s="1072"/>
      <c r="Q3" s="1073"/>
      <c r="R3" s="1073"/>
      <c r="S3" s="1074"/>
      <c r="T3" s="1074"/>
      <c r="U3" s="1074"/>
      <c r="V3" s="1074"/>
    </row>
    <row r="4" spans="1:22">
      <c r="A4" s="32" t="s">
        <v>0</v>
      </c>
      <c r="B4" s="34"/>
      <c r="C4" s="98" t="s">
        <v>91</v>
      </c>
      <c r="D4" s="98" t="s">
        <v>6</v>
      </c>
      <c r="E4" s="98" t="s">
        <v>91</v>
      </c>
      <c r="F4" s="34">
        <v>0.13</v>
      </c>
      <c r="G4" s="98" t="s">
        <v>91</v>
      </c>
      <c r="H4" s="34">
        <v>0.13</v>
      </c>
      <c r="I4" s="98" t="s">
        <v>91</v>
      </c>
      <c r="J4" s="34">
        <v>0.13</v>
      </c>
      <c r="K4" s="98" t="s">
        <v>91</v>
      </c>
      <c r="L4" s="34">
        <v>0.13</v>
      </c>
      <c r="M4" s="98" t="s">
        <v>91</v>
      </c>
      <c r="N4" s="34">
        <v>0.13</v>
      </c>
      <c r="O4" s="98" t="s">
        <v>91</v>
      </c>
      <c r="P4" s="34">
        <v>0.13</v>
      </c>
      <c r="Q4" s="31"/>
      <c r="R4" s="31"/>
    </row>
    <row r="5" spans="1:22">
      <c r="A5" s="36" t="s">
        <v>90</v>
      </c>
      <c r="B5" s="35">
        <f t="shared" ref="B5:B10" si="0">16%/12</f>
        <v>1.3333333333333334E-2</v>
      </c>
      <c r="C5" s="116">
        <f>'Term Loan'!D7</f>
        <v>75550000</v>
      </c>
      <c r="D5" s="116">
        <f t="shared" ref="D5:D16" si="1">+B5*C5</f>
        <v>1007333.3333333334</v>
      </c>
      <c r="E5" s="116">
        <f>'Term Loan'!G7</f>
        <v>71050000</v>
      </c>
      <c r="F5" s="116">
        <f>$F$4/12*E5</f>
        <v>769708.33333333337</v>
      </c>
      <c r="G5" s="116">
        <f>'Term Loan'!J7</f>
        <v>63050000</v>
      </c>
      <c r="H5" s="116">
        <f>$F$4/12*G5</f>
        <v>683041.66666666674</v>
      </c>
      <c r="I5" s="116">
        <f>'Term Loan'!M7</f>
        <v>55050000</v>
      </c>
      <c r="J5" s="116">
        <f t="shared" ref="J5:J16" si="2">$F$4/12*I5</f>
        <v>596375</v>
      </c>
      <c r="K5" s="116">
        <f>'Term Loan'!P7</f>
        <v>43050000</v>
      </c>
      <c r="L5" s="116">
        <f t="shared" ref="L5:L16" si="3">$F$4/12*K5</f>
        <v>466375</v>
      </c>
      <c r="M5" s="116">
        <f>'Term Loan'!S7</f>
        <v>29550000</v>
      </c>
      <c r="N5" s="116">
        <f t="shared" ref="N5:N16" si="4">$F$4/12*M5</f>
        <v>320125</v>
      </c>
      <c r="O5" s="116">
        <f>'Term Loan'!V7</f>
        <v>11950000</v>
      </c>
      <c r="P5" s="116">
        <f t="shared" ref="P5:P16" si="5">$F$4/12*O5</f>
        <v>129458.33333333334</v>
      </c>
      <c r="Q5" s="30"/>
      <c r="R5" s="30"/>
    </row>
    <row r="6" spans="1:22">
      <c r="A6" s="36" t="s">
        <v>89</v>
      </c>
      <c r="B6" s="35">
        <f t="shared" si="0"/>
        <v>1.3333333333333334E-2</v>
      </c>
      <c r="C6" s="116">
        <f>'Term Loan'!D8</f>
        <v>75550000</v>
      </c>
      <c r="D6" s="116">
        <f t="shared" si="1"/>
        <v>1007333.3333333334</v>
      </c>
      <c r="E6" s="116">
        <f>'Term Loan'!G8</f>
        <v>71050000</v>
      </c>
      <c r="F6" s="116">
        <f t="shared" ref="F6:H16" si="6">$F$4/12*E6</f>
        <v>769708.33333333337</v>
      </c>
      <c r="G6" s="116">
        <f>'Term Loan'!J8</f>
        <v>63050000</v>
      </c>
      <c r="H6" s="116">
        <f t="shared" si="6"/>
        <v>683041.66666666674</v>
      </c>
      <c r="I6" s="116">
        <f>'Term Loan'!M8</f>
        <v>55050000</v>
      </c>
      <c r="J6" s="116">
        <f t="shared" si="2"/>
        <v>596375</v>
      </c>
      <c r="K6" s="116">
        <f>'Term Loan'!P8</f>
        <v>43050000</v>
      </c>
      <c r="L6" s="116">
        <f t="shared" si="3"/>
        <v>466375</v>
      </c>
      <c r="M6" s="116">
        <f>'Term Loan'!S8</f>
        <v>29550000</v>
      </c>
      <c r="N6" s="116">
        <f t="shared" si="4"/>
        <v>320125</v>
      </c>
      <c r="O6" s="116">
        <f>'Term Loan'!V8</f>
        <v>11950000</v>
      </c>
      <c r="P6" s="116">
        <f t="shared" si="5"/>
        <v>129458.33333333334</v>
      </c>
      <c r="Q6" s="30"/>
      <c r="R6" s="30"/>
    </row>
    <row r="7" spans="1:22">
      <c r="A7" s="36" t="s">
        <v>88</v>
      </c>
      <c r="B7" s="35">
        <f t="shared" si="0"/>
        <v>1.3333333333333334E-2</v>
      </c>
      <c r="C7" s="116">
        <f>'Term Loan'!D9</f>
        <v>75550000</v>
      </c>
      <c r="D7" s="116">
        <f t="shared" si="1"/>
        <v>1007333.3333333334</v>
      </c>
      <c r="E7" s="116">
        <f>'Term Loan'!G9</f>
        <v>71050000</v>
      </c>
      <c r="F7" s="116">
        <f t="shared" si="6"/>
        <v>769708.33333333337</v>
      </c>
      <c r="G7" s="116">
        <f>'Term Loan'!J9</f>
        <v>63050000</v>
      </c>
      <c r="H7" s="116">
        <f t="shared" si="6"/>
        <v>683041.66666666674</v>
      </c>
      <c r="I7" s="116">
        <f>'Term Loan'!M9</f>
        <v>55050000</v>
      </c>
      <c r="J7" s="116">
        <f t="shared" si="2"/>
        <v>596375</v>
      </c>
      <c r="K7" s="116">
        <f>'Term Loan'!P9</f>
        <v>43050000</v>
      </c>
      <c r="L7" s="116">
        <f t="shared" si="3"/>
        <v>466375</v>
      </c>
      <c r="M7" s="116">
        <f>'Term Loan'!S9</f>
        <v>29550000</v>
      </c>
      <c r="N7" s="116">
        <f t="shared" si="4"/>
        <v>320125</v>
      </c>
      <c r="O7" s="116">
        <f>'Term Loan'!V9</f>
        <v>11950000</v>
      </c>
      <c r="P7" s="116">
        <f t="shared" si="5"/>
        <v>129458.33333333334</v>
      </c>
      <c r="Q7" s="30"/>
      <c r="R7" s="30"/>
    </row>
    <row r="8" spans="1:22">
      <c r="A8" s="36" t="s">
        <v>87</v>
      </c>
      <c r="B8" s="35">
        <f t="shared" si="0"/>
        <v>1.3333333333333334E-2</v>
      </c>
      <c r="C8" s="116">
        <f>'Term Loan'!D10</f>
        <v>75050000</v>
      </c>
      <c r="D8" s="116">
        <f t="shared" si="1"/>
        <v>1000666.6666666667</v>
      </c>
      <c r="E8" s="116">
        <f>'Term Loan'!G10</f>
        <v>70050000</v>
      </c>
      <c r="F8" s="116">
        <f t="shared" si="6"/>
        <v>758875</v>
      </c>
      <c r="G8" s="116">
        <f>'Term Loan'!J10</f>
        <v>62050000</v>
      </c>
      <c r="H8" s="116">
        <f t="shared" si="6"/>
        <v>672208.33333333337</v>
      </c>
      <c r="I8" s="116">
        <f>'Term Loan'!M10</f>
        <v>53050000</v>
      </c>
      <c r="J8" s="116">
        <f t="shared" si="2"/>
        <v>574708.33333333337</v>
      </c>
      <c r="K8" s="116">
        <f>'Term Loan'!P10</f>
        <v>40550000</v>
      </c>
      <c r="L8" s="116">
        <f t="shared" si="3"/>
        <v>439291.66666666669</v>
      </c>
      <c r="M8" s="116">
        <f>'Term Loan'!S10</f>
        <v>26050000</v>
      </c>
      <c r="N8" s="116">
        <f t="shared" si="4"/>
        <v>282208.33333333331</v>
      </c>
      <c r="O8" s="116">
        <f>'Term Loan'!V10</f>
        <v>7950000</v>
      </c>
      <c r="P8" s="116">
        <f t="shared" si="5"/>
        <v>86125</v>
      </c>
      <c r="Q8" s="30"/>
      <c r="R8" s="30"/>
    </row>
    <row r="9" spans="1:22">
      <c r="A9" s="36" t="s">
        <v>86</v>
      </c>
      <c r="B9" s="35">
        <f t="shared" si="0"/>
        <v>1.3333333333333334E-2</v>
      </c>
      <c r="C9" s="116">
        <f>'Term Loan'!D11</f>
        <v>75050000</v>
      </c>
      <c r="D9" s="116">
        <f t="shared" si="1"/>
        <v>1000666.6666666667</v>
      </c>
      <c r="E9" s="116">
        <f>'Term Loan'!G11</f>
        <v>70050000</v>
      </c>
      <c r="F9" s="116">
        <f t="shared" si="6"/>
        <v>758875</v>
      </c>
      <c r="G9" s="116">
        <f>'Term Loan'!J11</f>
        <v>62050000</v>
      </c>
      <c r="H9" s="116">
        <f t="shared" si="6"/>
        <v>672208.33333333337</v>
      </c>
      <c r="I9" s="116">
        <f>'Term Loan'!M11</f>
        <v>53050000</v>
      </c>
      <c r="J9" s="116">
        <f t="shared" si="2"/>
        <v>574708.33333333337</v>
      </c>
      <c r="K9" s="116">
        <f>'Term Loan'!P11</f>
        <v>40550000</v>
      </c>
      <c r="L9" s="116">
        <f t="shared" si="3"/>
        <v>439291.66666666669</v>
      </c>
      <c r="M9" s="116">
        <f>'Term Loan'!S11</f>
        <v>26050000</v>
      </c>
      <c r="N9" s="116">
        <f t="shared" si="4"/>
        <v>282208.33333333331</v>
      </c>
      <c r="O9" s="116">
        <f>'Term Loan'!V11</f>
        <v>7950000</v>
      </c>
      <c r="P9" s="116">
        <f t="shared" si="5"/>
        <v>86125</v>
      </c>
      <c r="Q9" s="30"/>
      <c r="R9" s="30"/>
    </row>
    <row r="10" spans="1:22">
      <c r="A10" s="36" t="s">
        <v>85</v>
      </c>
      <c r="B10" s="35">
        <f t="shared" si="0"/>
        <v>1.3333333333333334E-2</v>
      </c>
      <c r="C10" s="116">
        <f>'Term Loan'!D12</f>
        <v>75050000</v>
      </c>
      <c r="D10" s="116">
        <f t="shared" si="1"/>
        <v>1000666.6666666667</v>
      </c>
      <c r="E10" s="116">
        <f>'Term Loan'!G12</f>
        <v>70050000</v>
      </c>
      <c r="F10" s="116">
        <f t="shared" si="6"/>
        <v>758875</v>
      </c>
      <c r="G10" s="116">
        <f>'Term Loan'!J12</f>
        <v>62050000</v>
      </c>
      <c r="H10" s="116">
        <f t="shared" si="6"/>
        <v>672208.33333333337</v>
      </c>
      <c r="I10" s="116">
        <f>'Term Loan'!M12</f>
        <v>53050000</v>
      </c>
      <c r="J10" s="116">
        <f t="shared" si="2"/>
        <v>574708.33333333337</v>
      </c>
      <c r="K10" s="116">
        <f>'Term Loan'!P12</f>
        <v>40550000</v>
      </c>
      <c r="L10" s="116">
        <f t="shared" si="3"/>
        <v>439291.66666666669</v>
      </c>
      <c r="M10" s="116">
        <f>'Term Loan'!S12</f>
        <v>26050000</v>
      </c>
      <c r="N10" s="116">
        <f t="shared" si="4"/>
        <v>282208.33333333331</v>
      </c>
      <c r="O10" s="116">
        <f>'Term Loan'!V12</f>
        <v>7950000</v>
      </c>
      <c r="P10" s="116">
        <f t="shared" si="5"/>
        <v>86125</v>
      </c>
      <c r="Q10" s="30"/>
      <c r="R10" s="30"/>
    </row>
    <row r="11" spans="1:22">
      <c r="A11" s="36" t="s">
        <v>84</v>
      </c>
      <c r="B11" s="35">
        <f>15%/12</f>
        <v>1.2499999999999999E-2</v>
      </c>
      <c r="C11" s="116">
        <f>'Term Loan'!D13</f>
        <v>74550000</v>
      </c>
      <c r="D11" s="116">
        <f t="shared" si="1"/>
        <v>931874.99999999988</v>
      </c>
      <c r="E11" s="116">
        <f>'Term Loan'!G13</f>
        <v>69050000</v>
      </c>
      <c r="F11" s="116">
        <f t="shared" si="6"/>
        <v>748041.66666666674</v>
      </c>
      <c r="G11" s="116">
        <f>'Term Loan'!J13</f>
        <v>61050000</v>
      </c>
      <c r="H11" s="116">
        <f t="shared" si="6"/>
        <v>661375</v>
      </c>
      <c r="I11" s="116">
        <f>'Term Loan'!M13</f>
        <v>51050000</v>
      </c>
      <c r="J11" s="116">
        <f t="shared" si="2"/>
        <v>553041.66666666663</v>
      </c>
      <c r="K11" s="116">
        <f>'Term Loan'!P13</f>
        <v>38050000</v>
      </c>
      <c r="L11" s="116">
        <f t="shared" si="3"/>
        <v>412208.33333333337</v>
      </c>
      <c r="M11" s="116">
        <f>'Term Loan'!S13</f>
        <v>22550000</v>
      </c>
      <c r="N11" s="116">
        <f t="shared" si="4"/>
        <v>244291.66666666669</v>
      </c>
      <c r="O11" s="116">
        <f>'Term Loan'!V13</f>
        <v>3950000</v>
      </c>
      <c r="P11" s="116">
        <f t="shared" si="5"/>
        <v>42791.666666666672</v>
      </c>
      <c r="Q11" s="30"/>
      <c r="R11" s="30"/>
    </row>
    <row r="12" spans="1:22">
      <c r="A12" s="36" t="s">
        <v>83</v>
      </c>
      <c r="B12" s="35">
        <f>13%/12</f>
        <v>1.0833333333333334E-2</v>
      </c>
      <c r="C12" s="116">
        <f>'Term Loan'!D14</f>
        <v>74550000</v>
      </c>
      <c r="D12" s="116">
        <f t="shared" si="1"/>
        <v>807625</v>
      </c>
      <c r="E12" s="116">
        <f>'Term Loan'!G14</f>
        <v>69050000</v>
      </c>
      <c r="F12" s="116">
        <f t="shared" si="6"/>
        <v>748041.66666666674</v>
      </c>
      <c r="G12" s="116">
        <f>'Term Loan'!J14</f>
        <v>61050000</v>
      </c>
      <c r="H12" s="116">
        <f t="shared" si="6"/>
        <v>661375</v>
      </c>
      <c r="I12" s="116">
        <f>'Term Loan'!M14</f>
        <v>51050000</v>
      </c>
      <c r="J12" s="116">
        <f t="shared" si="2"/>
        <v>553041.66666666663</v>
      </c>
      <c r="K12" s="116">
        <f>'Term Loan'!P14</f>
        <v>38050000</v>
      </c>
      <c r="L12" s="116">
        <f t="shared" si="3"/>
        <v>412208.33333333337</v>
      </c>
      <c r="M12" s="116">
        <f>'Term Loan'!S14</f>
        <v>22550000</v>
      </c>
      <c r="N12" s="116">
        <f t="shared" si="4"/>
        <v>244291.66666666669</v>
      </c>
      <c r="O12" s="116">
        <f>'Term Loan'!V14</f>
        <v>3950000</v>
      </c>
      <c r="P12" s="116">
        <f t="shared" si="5"/>
        <v>42791.666666666672</v>
      </c>
      <c r="Q12" s="30"/>
      <c r="R12" s="30"/>
    </row>
    <row r="13" spans="1:22">
      <c r="A13" s="36" t="s">
        <v>82</v>
      </c>
      <c r="B13" s="35">
        <f>13%/12</f>
        <v>1.0833333333333334E-2</v>
      </c>
      <c r="C13" s="116">
        <f>'Term Loan'!D15</f>
        <v>74550000</v>
      </c>
      <c r="D13" s="116">
        <f t="shared" si="1"/>
        <v>807625</v>
      </c>
      <c r="E13" s="116">
        <f>'Term Loan'!G15</f>
        <v>69050000</v>
      </c>
      <c r="F13" s="116">
        <f t="shared" si="6"/>
        <v>748041.66666666674</v>
      </c>
      <c r="G13" s="116">
        <f>'Term Loan'!J15</f>
        <v>61050000</v>
      </c>
      <c r="H13" s="116">
        <f t="shared" si="6"/>
        <v>661375</v>
      </c>
      <c r="I13" s="116">
        <f>'Term Loan'!M15</f>
        <v>51050000</v>
      </c>
      <c r="J13" s="116">
        <f t="shared" si="2"/>
        <v>553041.66666666663</v>
      </c>
      <c r="K13" s="116">
        <f>'Term Loan'!P15</f>
        <v>38050000</v>
      </c>
      <c r="L13" s="116">
        <f t="shared" si="3"/>
        <v>412208.33333333337</v>
      </c>
      <c r="M13" s="116">
        <f>'Term Loan'!S15</f>
        <v>22550000</v>
      </c>
      <c r="N13" s="116">
        <f t="shared" si="4"/>
        <v>244291.66666666669</v>
      </c>
      <c r="O13" s="116">
        <f>'Term Loan'!V15</f>
        <v>3950000</v>
      </c>
      <c r="P13" s="116">
        <f t="shared" si="5"/>
        <v>42791.666666666672</v>
      </c>
      <c r="Q13" s="30"/>
      <c r="R13" s="30"/>
    </row>
    <row r="14" spans="1:22">
      <c r="A14" s="36" t="s">
        <v>81</v>
      </c>
      <c r="B14" s="35">
        <f>13%/12</f>
        <v>1.0833333333333334E-2</v>
      </c>
      <c r="C14" s="116">
        <f>'Term Loan'!D16</f>
        <v>74050000</v>
      </c>
      <c r="D14" s="116">
        <f t="shared" si="1"/>
        <v>802208.33333333337</v>
      </c>
      <c r="E14" s="116">
        <f>'Term Loan'!G16</f>
        <v>68050000</v>
      </c>
      <c r="F14" s="116">
        <f t="shared" si="6"/>
        <v>737208.33333333337</v>
      </c>
      <c r="G14" s="116">
        <f>'Term Loan'!J16</f>
        <v>60050000</v>
      </c>
      <c r="H14" s="116">
        <f t="shared" si="6"/>
        <v>650541.66666666674</v>
      </c>
      <c r="I14" s="116">
        <f>'Term Loan'!M16</f>
        <v>49050000</v>
      </c>
      <c r="J14" s="116">
        <f t="shared" si="2"/>
        <v>531375</v>
      </c>
      <c r="K14" s="116">
        <f>'Term Loan'!P16</f>
        <v>35550000</v>
      </c>
      <c r="L14" s="116">
        <f t="shared" si="3"/>
        <v>385125</v>
      </c>
      <c r="M14" s="116">
        <f>'Term Loan'!S16</f>
        <v>19050000</v>
      </c>
      <c r="N14" s="116">
        <f t="shared" si="4"/>
        <v>206375</v>
      </c>
      <c r="O14" s="116">
        <f>'Term Loan'!V16</f>
        <v>0</v>
      </c>
      <c r="P14" s="116">
        <f t="shared" si="5"/>
        <v>0</v>
      </c>
      <c r="Q14" s="30"/>
      <c r="R14" s="30"/>
    </row>
    <row r="15" spans="1:22">
      <c r="A15" s="36" t="s">
        <v>80</v>
      </c>
      <c r="B15" s="35">
        <f>13%/12</f>
        <v>1.0833333333333334E-2</v>
      </c>
      <c r="C15" s="116">
        <f>'Term Loan'!D17</f>
        <v>74050000</v>
      </c>
      <c r="D15" s="116">
        <f t="shared" si="1"/>
        <v>802208.33333333337</v>
      </c>
      <c r="E15" s="116">
        <f>'Term Loan'!G17</f>
        <v>68050000</v>
      </c>
      <c r="F15" s="116">
        <f t="shared" si="6"/>
        <v>737208.33333333337</v>
      </c>
      <c r="G15" s="116">
        <f>'Term Loan'!J17</f>
        <v>60050000</v>
      </c>
      <c r="H15" s="116">
        <f t="shared" si="6"/>
        <v>650541.66666666674</v>
      </c>
      <c r="I15" s="116">
        <f>'Term Loan'!M17</f>
        <v>49050000</v>
      </c>
      <c r="J15" s="116">
        <f t="shared" si="2"/>
        <v>531375</v>
      </c>
      <c r="K15" s="116">
        <f>'Term Loan'!P17</f>
        <v>35550000</v>
      </c>
      <c r="L15" s="116">
        <f t="shared" si="3"/>
        <v>385125</v>
      </c>
      <c r="M15" s="116">
        <f>'Term Loan'!S17</f>
        <v>19050000</v>
      </c>
      <c r="N15" s="116">
        <f t="shared" si="4"/>
        <v>206375</v>
      </c>
      <c r="O15" s="116">
        <f>'Term Loan'!V17</f>
        <v>0</v>
      </c>
      <c r="P15" s="116">
        <f t="shared" si="5"/>
        <v>0</v>
      </c>
      <c r="Q15" s="30"/>
      <c r="R15" s="30"/>
    </row>
    <row r="16" spans="1:22">
      <c r="A16" s="36" t="s">
        <v>79</v>
      </c>
      <c r="B16" s="35">
        <f>13%/12</f>
        <v>1.0833333333333334E-2</v>
      </c>
      <c r="C16" s="116">
        <f>'Term Loan'!D18</f>
        <v>74050000</v>
      </c>
      <c r="D16" s="116">
        <f t="shared" si="1"/>
        <v>802208.33333333337</v>
      </c>
      <c r="E16" s="116">
        <f>'Term Loan'!G18</f>
        <v>68050000</v>
      </c>
      <c r="F16" s="116">
        <f t="shared" si="6"/>
        <v>737208.33333333337</v>
      </c>
      <c r="G16" s="116">
        <f>'Term Loan'!J18</f>
        <v>60050000</v>
      </c>
      <c r="H16" s="116">
        <f t="shared" si="6"/>
        <v>650541.66666666674</v>
      </c>
      <c r="I16" s="116">
        <f>'Term Loan'!M18</f>
        <v>49050000</v>
      </c>
      <c r="J16" s="116">
        <f t="shared" si="2"/>
        <v>531375</v>
      </c>
      <c r="K16" s="116">
        <f>'Term Loan'!P18</f>
        <v>35550000</v>
      </c>
      <c r="L16" s="116">
        <f t="shared" si="3"/>
        <v>385125</v>
      </c>
      <c r="M16" s="116">
        <f>'Term Loan'!S18</f>
        <v>19050000</v>
      </c>
      <c r="N16" s="116">
        <f t="shared" si="4"/>
        <v>206375</v>
      </c>
      <c r="O16" s="116">
        <f>'Term Loan'!V18</f>
        <v>0</v>
      </c>
      <c r="P16" s="116">
        <f t="shared" si="5"/>
        <v>0</v>
      </c>
      <c r="Q16" s="30"/>
      <c r="R16" s="30"/>
    </row>
    <row r="17" spans="1:22">
      <c r="A17" s="33" t="s">
        <v>3</v>
      </c>
      <c r="B17" s="34"/>
      <c r="C17" s="98"/>
      <c r="D17" s="98">
        <f>SUM(D5:D16)</f>
        <v>10977750.000000002</v>
      </c>
      <c r="E17" s="98"/>
      <c r="F17" s="98">
        <f>SUM(F5:F16)</f>
        <v>9041500</v>
      </c>
      <c r="G17" s="98"/>
      <c r="H17" s="98">
        <f>SUM(H5:H16)</f>
        <v>8001500.0000000009</v>
      </c>
      <c r="I17" s="98"/>
      <c r="J17" s="98">
        <f>SUM(J5:J16)</f>
        <v>6766500.0000000009</v>
      </c>
      <c r="K17" s="98"/>
      <c r="L17" s="98">
        <f>SUM(L5:L16)</f>
        <v>5109000</v>
      </c>
      <c r="M17" s="98"/>
      <c r="N17" s="98">
        <f>SUM(N5:N16)</f>
        <v>3158999.9999999995</v>
      </c>
      <c r="O17" s="98"/>
      <c r="P17" s="98">
        <f>SUM(P5:P16)</f>
        <v>775124.99999999988</v>
      </c>
      <c r="Q17" s="30"/>
      <c r="R17" s="30"/>
    </row>
    <row r="19" spans="1:22">
      <c r="A19" s="33" t="s">
        <v>720</v>
      </c>
      <c r="B19" s="33" t="s">
        <v>92</v>
      </c>
      <c r="C19" s="1070" t="s">
        <v>74</v>
      </c>
      <c r="D19" s="1071"/>
      <c r="E19" s="1070" t="s">
        <v>73</v>
      </c>
      <c r="F19" s="1071"/>
      <c r="G19" s="1070" t="s">
        <v>66</v>
      </c>
      <c r="H19" s="1071"/>
      <c r="I19" s="1070" t="s">
        <v>65</v>
      </c>
      <c r="J19" s="1071"/>
      <c r="K19" s="1070" t="s">
        <v>64</v>
      </c>
      <c r="L19" s="1071"/>
      <c r="M19" s="1070" t="s">
        <v>63</v>
      </c>
      <c r="N19" s="1071"/>
      <c r="O19" s="1070" t="s">
        <v>62</v>
      </c>
      <c r="P19" s="1071"/>
      <c r="Q19" s="1070" t="s">
        <v>61</v>
      </c>
      <c r="R19" s="1071"/>
      <c r="S19" s="1070" t="s">
        <v>58</v>
      </c>
      <c r="T19" s="1071"/>
      <c r="U19" s="1070" t="s">
        <v>725</v>
      </c>
      <c r="V19" s="1071"/>
    </row>
    <row r="20" spans="1:22">
      <c r="A20" s="32" t="s">
        <v>0</v>
      </c>
      <c r="B20" s="34">
        <v>0.13</v>
      </c>
      <c r="C20" s="270" t="s">
        <v>91</v>
      </c>
      <c r="D20" s="34">
        <v>0.13</v>
      </c>
      <c r="E20" s="270" t="s">
        <v>91</v>
      </c>
      <c r="F20" s="34">
        <v>0.13</v>
      </c>
      <c r="G20" s="270" t="s">
        <v>91</v>
      </c>
      <c r="H20" s="34">
        <v>0.13</v>
      </c>
      <c r="I20" s="270" t="s">
        <v>91</v>
      </c>
      <c r="J20" s="34">
        <v>0.13</v>
      </c>
      <c r="K20" s="270" t="s">
        <v>91</v>
      </c>
      <c r="L20" s="34">
        <v>0.13</v>
      </c>
      <c r="M20" s="270" t="s">
        <v>91</v>
      </c>
      <c r="N20" s="34">
        <v>0.13</v>
      </c>
      <c r="O20" s="270" t="s">
        <v>91</v>
      </c>
      <c r="P20" s="34">
        <v>0.13</v>
      </c>
      <c r="Q20" s="271" t="s">
        <v>91</v>
      </c>
      <c r="R20" s="34">
        <v>0.13</v>
      </c>
      <c r="S20" s="271" t="s">
        <v>91</v>
      </c>
      <c r="T20" s="34">
        <v>0.13</v>
      </c>
      <c r="U20" s="271" t="s">
        <v>91</v>
      </c>
      <c r="V20" s="34">
        <v>0.13</v>
      </c>
    </row>
    <row r="21" spans="1:22">
      <c r="A21" s="36" t="s">
        <v>90</v>
      </c>
      <c r="B21" s="35"/>
      <c r="C21" s="116">
        <f>'Term Loan'!D23</f>
        <v>0</v>
      </c>
      <c r="D21" s="116">
        <f>$D$20/12*C21</f>
        <v>0</v>
      </c>
      <c r="E21" s="116">
        <f>'Term Loan'!E29</f>
        <v>0</v>
      </c>
      <c r="F21" s="116">
        <f>$F$20/12*E21</f>
        <v>0</v>
      </c>
      <c r="G21" s="116">
        <f>'Term Loan'!H29</f>
        <v>110000000</v>
      </c>
      <c r="H21" s="116">
        <f>$H$20/12*G21</f>
        <v>1191666.6666666667</v>
      </c>
      <c r="I21" s="116">
        <f>'Term Loan'!K29</f>
        <v>107000000</v>
      </c>
      <c r="J21" s="116">
        <f>$J$20/12*I21</f>
        <v>1159166.6666666667</v>
      </c>
      <c r="K21" s="116">
        <f>'Term Loan'!N29</f>
        <v>101500000</v>
      </c>
      <c r="L21" s="116">
        <f>$L$20/12*K21</f>
        <v>1099583.3333333333</v>
      </c>
      <c r="M21" s="116">
        <f>'Term Loan'!Q29</f>
        <v>92500000</v>
      </c>
      <c r="N21" s="116">
        <f>$N$20/12*M21</f>
        <v>1002083.3333333334</v>
      </c>
      <c r="O21" s="116">
        <f>'Term Loan'!T29</f>
        <v>80000000</v>
      </c>
      <c r="P21" s="116">
        <f>$P$20/12*O21</f>
        <v>866666.66666666674</v>
      </c>
      <c r="Q21" s="116">
        <f>'Term Loan'!W29</f>
        <v>60000000</v>
      </c>
      <c r="R21" s="116">
        <f>$R$20/12*Q21</f>
        <v>650000</v>
      </c>
      <c r="S21" s="116">
        <f>'Term Loan'!Z29</f>
        <v>37500000</v>
      </c>
      <c r="T21" s="116">
        <f>$T$20/12*S21</f>
        <v>406250</v>
      </c>
      <c r="U21" s="116">
        <f>'Term Loan'!AC29</f>
        <v>7500000</v>
      </c>
      <c r="V21" s="116">
        <f>$V$20/12*U21</f>
        <v>81250</v>
      </c>
    </row>
    <row r="22" spans="1:22">
      <c r="A22" s="36" t="s">
        <v>89</v>
      </c>
      <c r="B22" s="35"/>
      <c r="C22" s="116">
        <f>'Term Loan'!D24</f>
        <v>0</v>
      </c>
      <c r="D22" s="116">
        <f t="shared" ref="D22:D32" si="7">$D$20/12*C22</f>
        <v>0</v>
      </c>
      <c r="E22" s="116">
        <f>'Term Loan'!E30</f>
        <v>0</v>
      </c>
      <c r="F22" s="116">
        <f t="shared" ref="F22:F32" si="8">$F$20/12*E22</f>
        <v>0</v>
      </c>
      <c r="G22" s="116">
        <f>'Term Loan'!H30</f>
        <v>110000000</v>
      </c>
      <c r="H22" s="116">
        <f t="shared" ref="H22:H32" si="9">$H$20/12*G22</f>
        <v>1191666.6666666667</v>
      </c>
      <c r="I22" s="116">
        <f>'Term Loan'!K30</f>
        <v>106000000</v>
      </c>
      <c r="J22" s="116">
        <f t="shared" ref="J22:J32" si="10">$J$20/12*I22</f>
        <v>1148333.3333333335</v>
      </c>
      <c r="K22" s="116">
        <f>'Term Loan'!N30</f>
        <v>100000000</v>
      </c>
      <c r="L22" s="116">
        <f t="shared" ref="L22:L32" si="11">$L$20/12*K22</f>
        <v>1083333.3333333333</v>
      </c>
      <c r="M22" s="116">
        <f>'Term Loan'!Q30</f>
        <v>90000000</v>
      </c>
      <c r="N22" s="116">
        <f t="shared" ref="N22:N32" si="12">$N$20/12*M22</f>
        <v>975000</v>
      </c>
      <c r="O22" s="116">
        <f>'Term Loan'!T30</f>
        <v>75000000</v>
      </c>
      <c r="P22" s="116">
        <f t="shared" ref="P22:P32" si="13">$P$20/12*O22</f>
        <v>812500</v>
      </c>
      <c r="Q22" s="116">
        <f>'Term Loan'!W30</f>
        <v>55000000</v>
      </c>
      <c r="R22" s="116">
        <f t="shared" ref="R22:R32" si="14">$R$20/12*Q22</f>
        <v>595833.33333333337</v>
      </c>
      <c r="S22" s="116">
        <f>'Term Loan'!Z30</f>
        <v>30000000</v>
      </c>
      <c r="T22" s="116">
        <f t="shared" ref="T22:T32" si="15">$T$20/12*S22</f>
        <v>325000</v>
      </c>
      <c r="U22" s="116">
        <f>'Term Loan'!AC30</f>
        <v>0</v>
      </c>
      <c r="V22" s="116">
        <f t="shared" ref="V22:V32" si="16">$V$20/12*U22</f>
        <v>0</v>
      </c>
    </row>
    <row r="23" spans="1:22">
      <c r="A23" s="36" t="s">
        <v>88</v>
      </c>
      <c r="B23" s="35"/>
      <c r="C23" s="116">
        <f>'Term Loan'!D25</f>
        <v>0</v>
      </c>
      <c r="D23" s="116">
        <f t="shared" si="7"/>
        <v>0</v>
      </c>
      <c r="E23" s="116">
        <f>'Term Loan'!E31</f>
        <v>0</v>
      </c>
      <c r="F23" s="116">
        <f t="shared" si="8"/>
        <v>0</v>
      </c>
      <c r="G23" s="116">
        <f>'Term Loan'!H31</f>
        <v>110000000</v>
      </c>
      <c r="H23" s="116">
        <f t="shared" si="9"/>
        <v>1191666.6666666667</v>
      </c>
      <c r="I23" s="116">
        <f>'Term Loan'!K31</f>
        <v>106000000</v>
      </c>
      <c r="J23" s="116">
        <f t="shared" si="10"/>
        <v>1148333.3333333335</v>
      </c>
      <c r="K23" s="116">
        <f>'Term Loan'!N31</f>
        <v>100000000</v>
      </c>
      <c r="L23" s="116">
        <f t="shared" si="11"/>
        <v>1083333.3333333333</v>
      </c>
      <c r="M23" s="116">
        <f>'Term Loan'!Q31</f>
        <v>90000000</v>
      </c>
      <c r="N23" s="116">
        <f t="shared" si="12"/>
        <v>975000</v>
      </c>
      <c r="O23" s="116">
        <f>'Term Loan'!T31</f>
        <v>75000000</v>
      </c>
      <c r="P23" s="116">
        <f t="shared" si="13"/>
        <v>812500</v>
      </c>
      <c r="Q23" s="116">
        <f>'Term Loan'!W31</f>
        <v>55000000</v>
      </c>
      <c r="R23" s="116">
        <f t="shared" si="14"/>
        <v>595833.33333333337</v>
      </c>
      <c r="S23" s="116">
        <f>'Term Loan'!Z31</f>
        <v>30000000</v>
      </c>
      <c r="T23" s="116">
        <f t="shared" si="15"/>
        <v>325000</v>
      </c>
      <c r="U23" s="116">
        <f>'Term Loan'!AC31</f>
        <v>0</v>
      </c>
      <c r="V23" s="116">
        <f t="shared" si="16"/>
        <v>0</v>
      </c>
    </row>
    <row r="24" spans="1:22">
      <c r="A24" s="36" t="s">
        <v>87</v>
      </c>
      <c r="B24" s="35"/>
      <c r="C24" s="116">
        <v>0</v>
      </c>
      <c r="D24" s="116">
        <f t="shared" si="7"/>
        <v>0</v>
      </c>
      <c r="E24" s="116">
        <f>'Term Loan'!E32</f>
        <v>110000000</v>
      </c>
      <c r="F24" s="116">
        <f t="shared" si="8"/>
        <v>1191666.6666666667</v>
      </c>
      <c r="G24" s="116">
        <f>'Term Loan'!H32</f>
        <v>110000000</v>
      </c>
      <c r="H24" s="116">
        <f t="shared" si="9"/>
        <v>1191666.6666666667</v>
      </c>
      <c r="I24" s="116">
        <f>'Term Loan'!K32</f>
        <v>106000000</v>
      </c>
      <c r="J24" s="116">
        <f t="shared" si="10"/>
        <v>1148333.3333333335</v>
      </c>
      <c r="K24" s="116">
        <f>'Term Loan'!N32</f>
        <v>100000000</v>
      </c>
      <c r="L24" s="116">
        <f t="shared" si="11"/>
        <v>1083333.3333333333</v>
      </c>
      <c r="M24" s="116">
        <f>'Term Loan'!Q32</f>
        <v>90000000</v>
      </c>
      <c r="N24" s="116">
        <f t="shared" si="12"/>
        <v>975000</v>
      </c>
      <c r="O24" s="116">
        <f>'Term Loan'!T32</f>
        <v>75000000</v>
      </c>
      <c r="P24" s="116">
        <f t="shared" si="13"/>
        <v>812500</v>
      </c>
      <c r="Q24" s="116">
        <f>'Term Loan'!W32</f>
        <v>55000000</v>
      </c>
      <c r="R24" s="116">
        <f t="shared" si="14"/>
        <v>595833.33333333337</v>
      </c>
      <c r="S24" s="116">
        <f>'Term Loan'!Z32</f>
        <v>30000000</v>
      </c>
      <c r="T24" s="116">
        <f t="shared" si="15"/>
        <v>325000</v>
      </c>
      <c r="U24" s="116">
        <f>'Term Loan'!AC32</f>
        <v>0</v>
      </c>
      <c r="V24" s="116">
        <f t="shared" si="16"/>
        <v>0</v>
      </c>
    </row>
    <row r="25" spans="1:22">
      <c r="A25" s="36" t="s">
        <v>86</v>
      </c>
      <c r="B25" s="35"/>
      <c r="C25" s="116">
        <v>0</v>
      </c>
      <c r="D25" s="116">
        <f t="shared" si="7"/>
        <v>0</v>
      </c>
      <c r="E25" s="116">
        <f>'Term Loan'!E33</f>
        <v>110000000</v>
      </c>
      <c r="F25" s="116">
        <f t="shared" si="8"/>
        <v>1191666.6666666667</v>
      </c>
      <c r="G25" s="116">
        <f>'Term Loan'!H33</f>
        <v>109000000</v>
      </c>
      <c r="H25" s="116">
        <f t="shared" si="9"/>
        <v>1180833.3333333335</v>
      </c>
      <c r="I25" s="116">
        <f>'Term Loan'!K33</f>
        <v>104500000</v>
      </c>
      <c r="J25" s="116">
        <f t="shared" si="10"/>
        <v>1132083.3333333333</v>
      </c>
      <c r="K25" s="116">
        <f>'Term Loan'!N33</f>
        <v>97500000</v>
      </c>
      <c r="L25" s="116">
        <f t="shared" si="11"/>
        <v>1056250</v>
      </c>
      <c r="M25" s="116">
        <f>'Term Loan'!Q33</f>
        <v>87500000</v>
      </c>
      <c r="N25" s="116">
        <f t="shared" si="12"/>
        <v>947916.66666666674</v>
      </c>
      <c r="O25" s="116">
        <f>'Term Loan'!T33</f>
        <v>70000000</v>
      </c>
      <c r="P25" s="116">
        <f t="shared" si="13"/>
        <v>758333.33333333337</v>
      </c>
      <c r="Q25" s="116">
        <f>'Term Loan'!W33</f>
        <v>50000000</v>
      </c>
      <c r="R25" s="116">
        <f t="shared" si="14"/>
        <v>541666.66666666663</v>
      </c>
      <c r="S25" s="116">
        <f>'Term Loan'!Z33</f>
        <v>22500000</v>
      </c>
      <c r="T25" s="116">
        <f t="shared" si="15"/>
        <v>243750</v>
      </c>
      <c r="U25" s="116">
        <f>'Term Loan'!AC33</f>
        <v>0</v>
      </c>
      <c r="V25" s="116">
        <f t="shared" si="16"/>
        <v>0</v>
      </c>
    </row>
    <row r="26" spans="1:22">
      <c r="A26" s="36" t="s">
        <v>85</v>
      </c>
      <c r="B26" s="35"/>
      <c r="C26" s="116">
        <v>0</v>
      </c>
      <c r="D26" s="116">
        <f t="shared" si="7"/>
        <v>0</v>
      </c>
      <c r="E26" s="116">
        <f>'Term Loan'!E34</f>
        <v>110000000</v>
      </c>
      <c r="F26" s="116">
        <f t="shared" si="8"/>
        <v>1191666.6666666667</v>
      </c>
      <c r="G26" s="116">
        <f>'Term Loan'!H34</f>
        <v>109000000</v>
      </c>
      <c r="H26" s="116">
        <f t="shared" si="9"/>
        <v>1180833.3333333335</v>
      </c>
      <c r="I26" s="116">
        <f>'Term Loan'!K34</f>
        <v>104500000</v>
      </c>
      <c r="J26" s="116">
        <f t="shared" si="10"/>
        <v>1132083.3333333333</v>
      </c>
      <c r="K26" s="116">
        <f>'Term Loan'!N34</f>
        <v>97500000</v>
      </c>
      <c r="L26" s="116">
        <f t="shared" si="11"/>
        <v>1056250</v>
      </c>
      <c r="M26" s="116">
        <f>'Term Loan'!Q34</f>
        <v>87500000</v>
      </c>
      <c r="N26" s="116">
        <f t="shared" si="12"/>
        <v>947916.66666666674</v>
      </c>
      <c r="O26" s="116">
        <f>'Term Loan'!T34</f>
        <v>70000000</v>
      </c>
      <c r="P26" s="116">
        <f t="shared" si="13"/>
        <v>758333.33333333337</v>
      </c>
      <c r="Q26" s="116">
        <f>'Term Loan'!W34</f>
        <v>50000000</v>
      </c>
      <c r="R26" s="116">
        <f t="shared" si="14"/>
        <v>541666.66666666663</v>
      </c>
      <c r="S26" s="116">
        <f>'Term Loan'!Z34</f>
        <v>22500000</v>
      </c>
      <c r="T26" s="116">
        <f t="shared" si="15"/>
        <v>243750</v>
      </c>
      <c r="U26" s="116">
        <f>'Term Loan'!AC34</f>
        <v>0</v>
      </c>
      <c r="V26" s="116">
        <f t="shared" si="16"/>
        <v>0</v>
      </c>
    </row>
    <row r="27" spans="1:22">
      <c r="A27" s="36" t="s">
        <v>84</v>
      </c>
      <c r="B27" s="35"/>
      <c r="C27" s="116">
        <v>0</v>
      </c>
      <c r="D27" s="116">
        <f t="shared" si="7"/>
        <v>0</v>
      </c>
      <c r="E27" s="116">
        <f>'Term Loan'!E35</f>
        <v>110000000</v>
      </c>
      <c r="F27" s="116">
        <f t="shared" si="8"/>
        <v>1191666.6666666667</v>
      </c>
      <c r="G27" s="116">
        <f>'Term Loan'!H35</f>
        <v>109000000</v>
      </c>
      <c r="H27" s="116">
        <f t="shared" si="9"/>
        <v>1180833.3333333335</v>
      </c>
      <c r="I27" s="116">
        <f>'Term Loan'!K35</f>
        <v>104500000</v>
      </c>
      <c r="J27" s="116">
        <f t="shared" si="10"/>
        <v>1132083.3333333333</v>
      </c>
      <c r="K27" s="116">
        <f>'Term Loan'!N35</f>
        <v>97500000</v>
      </c>
      <c r="L27" s="116">
        <f t="shared" si="11"/>
        <v>1056250</v>
      </c>
      <c r="M27" s="116">
        <f>'Term Loan'!Q35</f>
        <v>87500000</v>
      </c>
      <c r="N27" s="116">
        <f t="shared" si="12"/>
        <v>947916.66666666674</v>
      </c>
      <c r="O27" s="116">
        <f>'Term Loan'!T35</f>
        <v>70000000</v>
      </c>
      <c r="P27" s="116">
        <f t="shared" si="13"/>
        <v>758333.33333333337</v>
      </c>
      <c r="Q27" s="116">
        <f>'Term Loan'!W35</f>
        <v>50000000</v>
      </c>
      <c r="R27" s="116">
        <f t="shared" si="14"/>
        <v>541666.66666666663</v>
      </c>
      <c r="S27" s="116">
        <f>'Term Loan'!Z35</f>
        <v>22500000</v>
      </c>
      <c r="T27" s="116">
        <f t="shared" si="15"/>
        <v>243750</v>
      </c>
      <c r="U27" s="116">
        <f>'Term Loan'!AC35</f>
        <v>0</v>
      </c>
      <c r="V27" s="116">
        <f t="shared" si="16"/>
        <v>0</v>
      </c>
    </row>
    <row r="28" spans="1:22">
      <c r="A28" s="36" t="s">
        <v>83</v>
      </c>
      <c r="B28" s="35"/>
      <c r="C28" s="116">
        <v>0</v>
      </c>
      <c r="D28" s="116">
        <f t="shared" si="7"/>
        <v>0</v>
      </c>
      <c r="E28" s="116">
        <f>'Term Loan'!E36</f>
        <v>110000000</v>
      </c>
      <c r="F28" s="116">
        <f t="shared" si="8"/>
        <v>1191666.6666666667</v>
      </c>
      <c r="G28" s="116">
        <f>'Term Loan'!H36</f>
        <v>108000000</v>
      </c>
      <c r="H28" s="116">
        <f t="shared" si="9"/>
        <v>1170000</v>
      </c>
      <c r="I28" s="116">
        <f>'Term Loan'!K36</f>
        <v>103000000</v>
      </c>
      <c r="J28" s="116">
        <f t="shared" si="10"/>
        <v>1115833.3333333333</v>
      </c>
      <c r="K28" s="116">
        <f>'Term Loan'!N36</f>
        <v>95000000</v>
      </c>
      <c r="L28" s="116">
        <f t="shared" si="11"/>
        <v>1029166.6666666667</v>
      </c>
      <c r="M28" s="116">
        <f>'Term Loan'!Q36</f>
        <v>85000000</v>
      </c>
      <c r="N28" s="116">
        <f t="shared" si="12"/>
        <v>920833.33333333337</v>
      </c>
      <c r="O28" s="116">
        <f>'Term Loan'!T36</f>
        <v>65000000</v>
      </c>
      <c r="P28" s="116">
        <f t="shared" si="13"/>
        <v>704166.66666666674</v>
      </c>
      <c r="Q28" s="116">
        <f>'Term Loan'!W36</f>
        <v>45000000</v>
      </c>
      <c r="R28" s="116">
        <f t="shared" si="14"/>
        <v>487500</v>
      </c>
      <c r="S28" s="116">
        <f>'Term Loan'!Z36</f>
        <v>15000000</v>
      </c>
      <c r="T28" s="116">
        <f t="shared" si="15"/>
        <v>162500</v>
      </c>
      <c r="U28" s="116">
        <f>'Term Loan'!AC36</f>
        <v>0</v>
      </c>
      <c r="V28" s="116">
        <f t="shared" si="16"/>
        <v>0</v>
      </c>
    </row>
    <row r="29" spans="1:22">
      <c r="A29" s="36" t="s">
        <v>82</v>
      </c>
      <c r="B29" s="35"/>
      <c r="C29" s="116">
        <v>0</v>
      </c>
      <c r="D29" s="116">
        <f t="shared" si="7"/>
        <v>0</v>
      </c>
      <c r="E29" s="116">
        <f>'Term Loan'!E37</f>
        <v>110000000</v>
      </c>
      <c r="F29" s="116">
        <f t="shared" si="8"/>
        <v>1191666.6666666667</v>
      </c>
      <c r="G29" s="116">
        <f>'Term Loan'!H37</f>
        <v>108000000</v>
      </c>
      <c r="H29" s="116">
        <f t="shared" si="9"/>
        <v>1170000</v>
      </c>
      <c r="I29" s="116">
        <f>'Term Loan'!K37</f>
        <v>103000000</v>
      </c>
      <c r="J29" s="116">
        <f t="shared" si="10"/>
        <v>1115833.3333333333</v>
      </c>
      <c r="K29" s="116">
        <f>'Term Loan'!N37</f>
        <v>95000000</v>
      </c>
      <c r="L29" s="116">
        <f t="shared" si="11"/>
        <v>1029166.6666666667</v>
      </c>
      <c r="M29" s="116">
        <f>'Term Loan'!Q37</f>
        <v>85000000</v>
      </c>
      <c r="N29" s="116">
        <f t="shared" si="12"/>
        <v>920833.33333333337</v>
      </c>
      <c r="O29" s="116">
        <f>'Term Loan'!T37</f>
        <v>65000000</v>
      </c>
      <c r="P29" s="116">
        <f t="shared" si="13"/>
        <v>704166.66666666674</v>
      </c>
      <c r="Q29" s="116">
        <f>'Term Loan'!W37</f>
        <v>45000000</v>
      </c>
      <c r="R29" s="116">
        <f t="shared" si="14"/>
        <v>487500</v>
      </c>
      <c r="S29" s="116">
        <f>'Term Loan'!Z37</f>
        <v>15000000</v>
      </c>
      <c r="T29" s="116">
        <f t="shared" si="15"/>
        <v>162500</v>
      </c>
      <c r="U29" s="116">
        <f>'Term Loan'!AC37</f>
        <v>0</v>
      </c>
      <c r="V29" s="116">
        <f t="shared" si="16"/>
        <v>0</v>
      </c>
    </row>
    <row r="30" spans="1:22">
      <c r="A30" s="36" t="s">
        <v>81</v>
      </c>
      <c r="B30" s="35"/>
      <c r="C30" s="116">
        <v>0</v>
      </c>
      <c r="D30" s="116">
        <f t="shared" si="7"/>
        <v>0</v>
      </c>
      <c r="E30" s="116">
        <f>'Term Loan'!E38</f>
        <v>110000000</v>
      </c>
      <c r="F30" s="116">
        <f t="shared" si="8"/>
        <v>1191666.6666666667</v>
      </c>
      <c r="G30" s="116">
        <f>'Term Loan'!H38</f>
        <v>108000000</v>
      </c>
      <c r="H30" s="116">
        <f t="shared" si="9"/>
        <v>1170000</v>
      </c>
      <c r="I30" s="116">
        <f>'Term Loan'!K38</f>
        <v>103000000</v>
      </c>
      <c r="J30" s="116">
        <f t="shared" si="10"/>
        <v>1115833.3333333333</v>
      </c>
      <c r="K30" s="116">
        <f>'Term Loan'!N38</f>
        <v>95000000</v>
      </c>
      <c r="L30" s="116">
        <f t="shared" si="11"/>
        <v>1029166.6666666667</v>
      </c>
      <c r="M30" s="116">
        <f>'Term Loan'!Q38</f>
        <v>85000000</v>
      </c>
      <c r="N30" s="116">
        <f t="shared" si="12"/>
        <v>920833.33333333337</v>
      </c>
      <c r="O30" s="116">
        <f>'Term Loan'!T38</f>
        <v>65000000</v>
      </c>
      <c r="P30" s="116">
        <f t="shared" si="13"/>
        <v>704166.66666666674</v>
      </c>
      <c r="Q30" s="116">
        <f>'Term Loan'!W38</f>
        <v>45000000</v>
      </c>
      <c r="R30" s="116">
        <f t="shared" si="14"/>
        <v>487500</v>
      </c>
      <c r="S30" s="116">
        <f>'Term Loan'!Z38</f>
        <v>15000000</v>
      </c>
      <c r="T30" s="116">
        <f t="shared" si="15"/>
        <v>162500</v>
      </c>
      <c r="U30" s="116">
        <f>'Term Loan'!AC38</f>
        <v>0</v>
      </c>
      <c r="V30" s="116">
        <f t="shared" si="16"/>
        <v>0</v>
      </c>
    </row>
    <row r="31" spans="1:22">
      <c r="A31" s="36" t="s">
        <v>80</v>
      </c>
      <c r="B31" s="35"/>
      <c r="C31" s="116">
        <v>0</v>
      </c>
      <c r="D31" s="116">
        <f t="shared" si="7"/>
        <v>0</v>
      </c>
      <c r="E31" s="116">
        <f>'Term Loan'!E39</f>
        <v>110000000</v>
      </c>
      <c r="F31" s="116">
        <f t="shared" si="8"/>
        <v>1191666.6666666667</v>
      </c>
      <c r="G31" s="116">
        <f>'Term Loan'!H39</f>
        <v>107000000</v>
      </c>
      <c r="H31" s="116">
        <f t="shared" si="9"/>
        <v>1159166.6666666667</v>
      </c>
      <c r="I31" s="116">
        <f>'Term Loan'!K39</f>
        <v>101500000</v>
      </c>
      <c r="J31" s="116">
        <f t="shared" si="10"/>
        <v>1099583.3333333333</v>
      </c>
      <c r="K31" s="116">
        <f>'Term Loan'!N39</f>
        <v>92500000</v>
      </c>
      <c r="L31" s="116">
        <f t="shared" si="11"/>
        <v>1002083.3333333334</v>
      </c>
      <c r="M31" s="116">
        <f>'Term Loan'!Q39</f>
        <v>80000000</v>
      </c>
      <c r="N31" s="116">
        <f t="shared" si="12"/>
        <v>866666.66666666674</v>
      </c>
      <c r="O31" s="116">
        <f>'Term Loan'!T39</f>
        <v>60000000</v>
      </c>
      <c r="P31" s="116">
        <f t="shared" si="13"/>
        <v>650000</v>
      </c>
      <c r="Q31" s="116">
        <f>'Term Loan'!W39</f>
        <v>37500000</v>
      </c>
      <c r="R31" s="116">
        <f t="shared" si="14"/>
        <v>406250</v>
      </c>
      <c r="S31" s="116">
        <f>'Term Loan'!Z39</f>
        <v>7500000</v>
      </c>
      <c r="T31" s="116">
        <f t="shared" si="15"/>
        <v>81250</v>
      </c>
      <c r="U31" s="116">
        <f>'Term Loan'!AC39</f>
        <v>0</v>
      </c>
      <c r="V31" s="116">
        <f t="shared" si="16"/>
        <v>0</v>
      </c>
    </row>
    <row r="32" spans="1:22">
      <c r="A32" s="36" t="s">
        <v>79</v>
      </c>
      <c r="B32" s="35"/>
      <c r="C32" s="116">
        <v>0</v>
      </c>
      <c r="D32" s="116">
        <f t="shared" si="7"/>
        <v>0</v>
      </c>
      <c r="E32" s="116">
        <f>'Term Loan'!E40</f>
        <v>110000000</v>
      </c>
      <c r="F32" s="116">
        <f t="shared" si="8"/>
        <v>1191666.6666666667</v>
      </c>
      <c r="G32" s="116">
        <f>'Term Loan'!H40</f>
        <v>107000000</v>
      </c>
      <c r="H32" s="116">
        <f t="shared" si="9"/>
        <v>1159166.6666666667</v>
      </c>
      <c r="I32" s="116">
        <f>'Term Loan'!K40</f>
        <v>101500000</v>
      </c>
      <c r="J32" s="116">
        <f t="shared" si="10"/>
        <v>1099583.3333333333</v>
      </c>
      <c r="K32" s="116">
        <f>'Term Loan'!N40</f>
        <v>92500000</v>
      </c>
      <c r="L32" s="116">
        <f t="shared" si="11"/>
        <v>1002083.3333333334</v>
      </c>
      <c r="M32" s="116">
        <f>'Term Loan'!Q40</f>
        <v>80000000</v>
      </c>
      <c r="N32" s="116">
        <f t="shared" si="12"/>
        <v>866666.66666666674</v>
      </c>
      <c r="O32" s="116">
        <f>'Term Loan'!T40</f>
        <v>60000000</v>
      </c>
      <c r="P32" s="116">
        <f t="shared" si="13"/>
        <v>650000</v>
      </c>
      <c r="Q32" s="116">
        <f>'Term Loan'!W40</f>
        <v>37500000</v>
      </c>
      <c r="R32" s="116">
        <f t="shared" si="14"/>
        <v>406250</v>
      </c>
      <c r="S32" s="116">
        <f>'Term Loan'!Z40</f>
        <v>7500000</v>
      </c>
      <c r="T32" s="116">
        <f t="shared" si="15"/>
        <v>81250</v>
      </c>
      <c r="U32" s="116">
        <f>'Term Loan'!AC40</f>
        <v>0</v>
      </c>
      <c r="V32" s="116">
        <f t="shared" si="16"/>
        <v>0</v>
      </c>
    </row>
    <row r="33" spans="1:22" s="278" customFormat="1">
      <c r="A33" s="276" t="s">
        <v>3</v>
      </c>
      <c r="B33" s="277"/>
      <c r="C33" s="72">
        <v>0</v>
      </c>
      <c r="D33" s="72">
        <f>SUM(D21:D32)</f>
        <v>0</v>
      </c>
      <c r="E33" s="72"/>
      <c r="F33" s="72">
        <f>SUM(F21:F32)</f>
        <v>10725000</v>
      </c>
      <c r="G33" s="72"/>
      <c r="H33" s="72">
        <f>SUM(H21:H32)</f>
        <v>14137500</v>
      </c>
      <c r="I33" s="72"/>
      <c r="J33" s="72">
        <f>SUM(J21:J32)</f>
        <v>13547083.333333336</v>
      </c>
      <c r="K33" s="72"/>
      <c r="L33" s="72">
        <f>SUM(L21:L32)</f>
        <v>12610000</v>
      </c>
      <c r="M33" s="72"/>
      <c r="N33" s="72">
        <f>SUM(N21:N32)</f>
        <v>11266666.666666666</v>
      </c>
      <c r="O33" s="72"/>
      <c r="P33" s="72">
        <f>SUM(P21:P32)</f>
        <v>8991666.6666666679</v>
      </c>
      <c r="Q33" s="72"/>
      <c r="R33" s="72">
        <f>SUM(R21:R32)</f>
        <v>6337500</v>
      </c>
      <c r="S33" s="72"/>
      <c r="T33" s="72">
        <f>SUM(T21:T32)</f>
        <v>2762500</v>
      </c>
      <c r="U33" s="72"/>
      <c r="V33" s="72">
        <f>SUM(V21:V32)</f>
        <v>81250</v>
      </c>
    </row>
  </sheetData>
  <mergeCells count="20">
    <mergeCell ref="Q19:R19"/>
    <mergeCell ref="S19:T19"/>
    <mergeCell ref="U19:V19"/>
    <mergeCell ref="M3:N3"/>
    <mergeCell ref="Q3:R3"/>
    <mergeCell ref="S3:T3"/>
    <mergeCell ref="U3:V3"/>
    <mergeCell ref="O3:P3"/>
    <mergeCell ref="M19:N19"/>
    <mergeCell ref="O19:P19"/>
    <mergeCell ref="C3:D3"/>
    <mergeCell ref="E3:F3"/>
    <mergeCell ref="G3:H3"/>
    <mergeCell ref="I3:J3"/>
    <mergeCell ref="K3:L3"/>
    <mergeCell ref="C19:D19"/>
    <mergeCell ref="E19:F19"/>
    <mergeCell ref="G19:H19"/>
    <mergeCell ref="I19:J19"/>
    <mergeCell ref="K19:L19"/>
  </mergeCells>
  <pageMargins left="0.7" right="0.7" top="0.75" bottom="0.75" header="0.3" footer="0.3"/>
  <pageSetup orientation="portrait"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N24"/>
  <sheetViews>
    <sheetView workbookViewId="0">
      <selection activeCell="C46" sqref="C46:C50"/>
    </sheetView>
  </sheetViews>
  <sheetFormatPr defaultRowHeight="12.75"/>
  <cols>
    <col min="1" max="1" width="5.28515625" customWidth="1"/>
    <col min="2" max="2" width="16.28515625" customWidth="1"/>
    <col min="3" max="4" width="12.85546875" bestFit="1" customWidth="1"/>
    <col min="5" max="6" width="12.85546875" style="97" bestFit="1" customWidth="1"/>
    <col min="7" max="11" width="12.28515625" style="97" bestFit="1" customWidth="1"/>
    <col min="12" max="14" width="12.28515625" bestFit="1" customWidth="1"/>
  </cols>
  <sheetData>
    <row r="3" spans="1:14">
      <c r="A3" s="28" t="s">
        <v>78</v>
      </c>
    </row>
    <row r="5" spans="1:14">
      <c r="A5" s="27" t="s">
        <v>76</v>
      </c>
      <c r="B5" s="27" t="s">
        <v>0</v>
      </c>
      <c r="C5" s="27" t="s">
        <v>174</v>
      </c>
      <c r="D5" s="27" t="s">
        <v>175</v>
      </c>
      <c r="E5" s="98" t="s">
        <v>74</v>
      </c>
      <c r="F5" s="98" t="s">
        <v>73</v>
      </c>
      <c r="G5" s="98" t="s">
        <v>66</v>
      </c>
      <c r="H5" s="98" t="s">
        <v>65</v>
      </c>
      <c r="I5" s="98" t="s">
        <v>64</v>
      </c>
      <c r="J5" s="98" t="s">
        <v>63</v>
      </c>
      <c r="K5" s="98" t="s">
        <v>62</v>
      </c>
      <c r="L5" s="27" t="s">
        <v>61</v>
      </c>
      <c r="M5" s="27" t="s">
        <v>58</v>
      </c>
      <c r="N5" s="272" t="s">
        <v>725</v>
      </c>
    </row>
    <row r="6" spans="1:14">
      <c r="A6" s="19">
        <v>1</v>
      </c>
      <c r="B6" s="18" t="s">
        <v>57</v>
      </c>
      <c r="C6" s="247">
        <v>1994145</v>
      </c>
      <c r="D6" s="247">
        <f>+C6</f>
        <v>1994145</v>
      </c>
      <c r="E6" s="90">
        <f>+'FA Schedule'!I5</f>
        <v>1994145</v>
      </c>
      <c r="F6" s="90">
        <f>+'FA Schedule'!O5</f>
        <v>1994145</v>
      </c>
      <c r="G6" s="90">
        <f>+'FA Schedule'!I15</f>
        <v>1994145</v>
      </c>
      <c r="H6" s="90">
        <f>+'FA Schedule'!O15</f>
        <v>1994145</v>
      </c>
      <c r="I6" s="90">
        <f>+'FA Schedule'!I25</f>
        <v>16994145</v>
      </c>
      <c r="J6" s="90">
        <f>+'FA Schedule'!O25</f>
        <v>16994145</v>
      </c>
      <c r="K6" s="90">
        <f>+'FA Schedule'!I35</f>
        <v>16994145</v>
      </c>
      <c r="L6" s="90">
        <f>+'FA Schedule'!O35</f>
        <v>51994145</v>
      </c>
      <c r="M6" s="90">
        <f>'FA Schedule'!I45</f>
        <v>86994145</v>
      </c>
      <c r="N6" s="90">
        <f>'FA Schedule'!O45</f>
        <v>86994145</v>
      </c>
    </row>
    <row r="7" spans="1:14">
      <c r="A7" s="19">
        <v>2</v>
      </c>
      <c r="B7" s="18" t="s">
        <v>56</v>
      </c>
      <c r="C7" s="247">
        <v>47683821.799999997</v>
      </c>
      <c r="D7" s="247">
        <f>+C7*0.9</f>
        <v>42915439.619999997</v>
      </c>
      <c r="E7" s="90">
        <f>+'FA Schedule'!I6</f>
        <v>38623895.100000001</v>
      </c>
      <c r="F7" s="90">
        <f>+'FA Schedule'!O6</f>
        <v>34761505.590000004</v>
      </c>
      <c r="G7" s="90">
        <f>+'FA Schedule'!I16</f>
        <v>146948729.03100002</v>
      </c>
      <c r="H7" s="90">
        <f>+'FA Schedule'!O16</f>
        <v>132253856.12790002</v>
      </c>
      <c r="I7" s="90">
        <f>+'FA Schedule'!I26</f>
        <v>119028470.51511002</v>
      </c>
      <c r="J7" s="90">
        <f>+'FA Schedule'!O26</f>
        <v>107125623.46359901</v>
      </c>
      <c r="K7" s="90">
        <f>+'FA Schedule'!I36</f>
        <v>100913061.11723912</v>
      </c>
      <c r="L7" s="90">
        <f>+'FA Schedule'!O36</f>
        <v>90821755.005515203</v>
      </c>
      <c r="M7" s="90">
        <f>'FA Schedule'!I46</f>
        <v>81739579.504963681</v>
      </c>
      <c r="N7" s="90">
        <f>'FA Schedule'!O46</f>
        <v>120815621.55446732</v>
      </c>
    </row>
    <row r="8" spans="1:14">
      <c r="A8" s="19">
        <v>3</v>
      </c>
      <c r="B8" s="18" t="s">
        <v>55</v>
      </c>
      <c r="C8" s="247">
        <v>53514860.170000002</v>
      </c>
      <c r="D8" s="247">
        <f>+C8</f>
        <v>53514860.170000002</v>
      </c>
      <c r="E8" s="90">
        <f>+'FA Schedule'!I7</f>
        <v>53514860</v>
      </c>
      <c r="F8" s="90">
        <f>+'FA Schedule'!O7</f>
        <v>198514860</v>
      </c>
      <c r="G8" s="90">
        <f>+'FA Schedule'!I17</f>
        <v>0</v>
      </c>
      <c r="H8" s="90">
        <f>+'FA Schedule'!O17</f>
        <v>0</v>
      </c>
      <c r="I8" s="90">
        <f>+'FA Schedule'!I27</f>
        <v>0</v>
      </c>
      <c r="J8" s="90">
        <f>+'FA Schedule'!O27</f>
        <v>0</v>
      </c>
      <c r="K8" s="90">
        <f>+'FA Schedule'!I37</f>
        <v>10000000</v>
      </c>
      <c r="L8" s="90">
        <f>+'FA Schedule'!O37</f>
        <v>30000000</v>
      </c>
      <c r="M8" s="90">
        <f>'FA Schedule'!I47</f>
        <v>52500000</v>
      </c>
      <c r="N8" s="90">
        <f>'FA Schedule'!O47</f>
        <v>27500000</v>
      </c>
    </row>
    <row r="9" spans="1:14">
      <c r="A9" s="19">
        <v>4</v>
      </c>
      <c r="B9" s="18" t="s">
        <v>54</v>
      </c>
      <c r="C9" s="247">
        <v>1686974</v>
      </c>
      <c r="D9" s="247">
        <v>1509403</v>
      </c>
      <c r="E9" s="90">
        <f>+'FA Schedule'!I8</f>
        <v>1462430.7</v>
      </c>
      <c r="F9" s="90">
        <f>+'FA Schedule'!O8</f>
        <v>1721187.63</v>
      </c>
      <c r="G9" s="90">
        <f>+'FA Schedule'!I18</f>
        <v>29044068.866999999</v>
      </c>
      <c r="H9" s="90">
        <f>+'FA Schedule'!O18</f>
        <v>26904661.980299998</v>
      </c>
      <c r="I9" s="90">
        <f>+'FA Schedule'!I28</f>
        <v>25564195.782269999</v>
      </c>
      <c r="J9" s="90">
        <f>+'FA Schedule'!O28</f>
        <v>23727776.204043001</v>
      </c>
      <c r="K9" s="90">
        <f>+'FA Schedule'!I38</f>
        <v>22704998.583638702</v>
      </c>
      <c r="L9" s="90">
        <f>+'FA Schedule'!O38</f>
        <v>24934498.725274831</v>
      </c>
      <c r="M9" s="90">
        <f>'FA Schedule'!I48</f>
        <v>33691048.852747351</v>
      </c>
      <c r="N9" s="90">
        <f>'FA Schedule'!O48</f>
        <v>46521943.967472613</v>
      </c>
    </row>
    <row r="10" spans="1:14">
      <c r="A10" s="19">
        <v>5</v>
      </c>
      <c r="B10" s="18" t="s">
        <v>53</v>
      </c>
      <c r="C10" s="247">
        <f>114065543-C6-C7-C8-C9-C11</f>
        <v>1587219.0300000012</v>
      </c>
      <c r="D10" s="247">
        <f>112935159-D6-D7-D8-D9-D11</f>
        <v>1938692.2099999934</v>
      </c>
      <c r="E10" s="90">
        <f>+'FA Schedule'!I9</f>
        <v>1552247.05</v>
      </c>
      <c r="F10" s="90">
        <f>+'FA Schedule'!O9</f>
        <v>2041909.9924999999</v>
      </c>
      <c r="G10" s="90">
        <f>+'FA Schedule'!I19</f>
        <v>35948123.493625</v>
      </c>
      <c r="H10" s="90">
        <f>+'FA Schedule'!O19</f>
        <v>31533404.96958125</v>
      </c>
      <c r="I10" s="90">
        <f>+'FA Schedule'!I29</f>
        <v>28928394.22414406</v>
      </c>
      <c r="J10" s="90">
        <f>+'FA Schedule'!O29</f>
        <v>25609135.090522453</v>
      </c>
      <c r="K10" s="90">
        <f>+'FA Schedule'!I39</f>
        <v>23042764.826944087</v>
      </c>
      <c r="L10" s="90">
        <f>+'FA Schedule'!O39</f>
        <v>23836350.102902472</v>
      </c>
      <c r="M10" s="90">
        <f>'FA Schedule'!I49</f>
        <v>24510897.5874671</v>
      </c>
      <c r="N10" s="90">
        <f>'FA Schedule'!O49</f>
        <v>34434262.949347042</v>
      </c>
    </row>
    <row r="11" spans="1:14">
      <c r="A11" s="19">
        <v>6</v>
      </c>
      <c r="B11" s="18" t="s">
        <v>52</v>
      </c>
      <c r="C11" s="247">
        <f>168564+18042+7411917</f>
        <v>7598523</v>
      </c>
      <c r="D11" s="247">
        <f>143279+15336+10904004</f>
        <v>11062619</v>
      </c>
      <c r="E11" s="90">
        <f>+'FA Schedule'!I10</f>
        <v>9403226.1500000004</v>
      </c>
      <c r="F11" s="90">
        <f>+'FA Schedule'!O10</f>
        <v>10117742.227500001</v>
      </c>
      <c r="G11" s="90">
        <f>+'FA Schedule'!I20</f>
        <v>8600080.8933750018</v>
      </c>
      <c r="H11" s="90">
        <f>+'FA Schedule'!O20</f>
        <v>9860068.7593687512</v>
      </c>
      <c r="I11" s="90">
        <f>+'FA Schedule'!I30</f>
        <v>9231058.4454634376</v>
      </c>
      <c r="J11" s="90">
        <f>+'FA Schedule'!O30</f>
        <v>12946399.678643921</v>
      </c>
      <c r="K11" s="90">
        <f>+'FA Schedule'!I40</f>
        <v>13129439.726847334</v>
      </c>
      <c r="L11" s="90">
        <f>+'FA Schedule'!O40</f>
        <v>28160023.767820235</v>
      </c>
      <c r="M11" s="90">
        <f>'FA Schedule'!I50</f>
        <v>36686020.202647202</v>
      </c>
      <c r="N11" s="90">
        <f>'FA Schedule'!O50</f>
        <v>54558117.172250122</v>
      </c>
    </row>
    <row r="12" spans="1:14">
      <c r="A12" s="26"/>
      <c r="B12" s="25" t="s">
        <v>3</v>
      </c>
      <c r="C12" s="248">
        <f>SUM(C6:C11)</f>
        <v>114065543</v>
      </c>
      <c r="D12" s="248">
        <f>SUM(D6:D11)</f>
        <v>112935158.99999999</v>
      </c>
      <c r="E12" s="98">
        <f t="shared" ref="E12:N12" si="0">SUM(E6:E11)</f>
        <v>106550804</v>
      </c>
      <c r="F12" s="98">
        <f t="shared" si="0"/>
        <v>249151350.44</v>
      </c>
      <c r="G12" s="98">
        <f t="shared" si="0"/>
        <v>222535147.285</v>
      </c>
      <c r="H12" s="98">
        <f t="shared" si="0"/>
        <v>202546136.83715001</v>
      </c>
      <c r="I12" s="98">
        <f t="shared" si="0"/>
        <v>199746263.96698755</v>
      </c>
      <c r="J12" s="98">
        <f t="shared" si="0"/>
        <v>186403079.43680838</v>
      </c>
      <c r="K12" s="98">
        <f t="shared" si="0"/>
        <v>186784409.25466922</v>
      </c>
      <c r="L12" s="273">
        <f t="shared" si="0"/>
        <v>249746772.60151276</v>
      </c>
      <c r="M12" s="273">
        <f t="shared" si="0"/>
        <v>316121691.14782536</v>
      </c>
      <c r="N12" s="273">
        <f t="shared" si="0"/>
        <v>370824090.64353704</v>
      </c>
    </row>
    <row r="14" spans="1:14">
      <c r="A14" s="28" t="s">
        <v>77</v>
      </c>
    </row>
    <row r="16" spans="1:14">
      <c r="A16" s="27" t="s">
        <v>76</v>
      </c>
      <c r="B16" s="27" t="s">
        <v>0</v>
      </c>
      <c r="C16" s="27" t="s">
        <v>174</v>
      </c>
      <c r="D16" s="27" t="s">
        <v>175</v>
      </c>
      <c r="E16" s="98" t="s">
        <v>74</v>
      </c>
      <c r="F16" s="98" t="s">
        <v>73</v>
      </c>
      <c r="G16" s="98" t="s">
        <v>66</v>
      </c>
      <c r="H16" s="98" t="s">
        <v>65</v>
      </c>
      <c r="I16" s="98" t="s">
        <v>64</v>
      </c>
      <c r="J16" s="98" t="s">
        <v>63</v>
      </c>
      <c r="K16" s="98" t="s">
        <v>62</v>
      </c>
      <c r="L16" s="27" t="s">
        <v>61</v>
      </c>
      <c r="M16" s="27" t="s">
        <v>58</v>
      </c>
      <c r="N16" s="27" t="s">
        <v>725</v>
      </c>
    </row>
    <row r="17" spans="1:14">
      <c r="A17" s="19">
        <v>1</v>
      </c>
      <c r="B17" s="18" t="s">
        <v>57</v>
      </c>
      <c r="C17" s="247">
        <v>0</v>
      </c>
      <c r="D17" s="247">
        <v>0</v>
      </c>
      <c r="E17" s="90">
        <f>+'FA Schedule'!H5</f>
        <v>0</v>
      </c>
      <c r="F17" s="90">
        <f>+'FA Schedule'!N5</f>
        <v>0</v>
      </c>
      <c r="G17" s="90">
        <f>+'FA Schedule'!H15</f>
        <v>0</v>
      </c>
      <c r="H17" s="90">
        <f>+'FA Schedule'!N15</f>
        <v>0</v>
      </c>
      <c r="I17" s="90">
        <f>+'FA Schedule'!H25</f>
        <v>0</v>
      </c>
      <c r="J17" s="90">
        <f>+'FA Schedule'!N25</f>
        <v>0</v>
      </c>
      <c r="K17" s="90">
        <f>+'FA Schedule'!H35</f>
        <v>0</v>
      </c>
      <c r="L17" s="280">
        <f>'FA Schedule'!N35</f>
        <v>0</v>
      </c>
      <c r="M17" s="280">
        <f>'FA Schedule'!H45</f>
        <v>0</v>
      </c>
      <c r="N17" s="66">
        <f>'FA Schedule'!N45</f>
        <v>0</v>
      </c>
    </row>
    <row r="18" spans="1:14">
      <c r="A18" s="19">
        <v>2</v>
      </c>
      <c r="B18" s="18" t="s">
        <v>56</v>
      </c>
      <c r="C18" s="247">
        <v>5298202</v>
      </c>
      <c r="D18" s="247">
        <v>4768382</v>
      </c>
      <c r="E18" s="90">
        <f>+'FA Schedule'!H6</f>
        <v>4291543.9000000004</v>
      </c>
      <c r="F18" s="90">
        <f>+'FA Schedule'!N6</f>
        <v>3862389.5100000002</v>
      </c>
      <c r="G18" s="90">
        <f>+'FA Schedule'!H16</f>
        <v>16327636.559</v>
      </c>
      <c r="H18" s="90">
        <f>+'FA Schedule'!N16</f>
        <v>14694872.903100003</v>
      </c>
      <c r="I18" s="90">
        <f>+'FA Schedule'!H26</f>
        <v>13225385.612790003</v>
      </c>
      <c r="J18" s="90">
        <f>+'FA Schedule'!N26</f>
        <v>11902847.051511003</v>
      </c>
      <c r="K18" s="90">
        <f>+'FA Schedule'!H36</f>
        <v>11212562.346359901</v>
      </c>
      <c r="L18" s="90">
        <f>'FA Schedule'!N36</f>
        <v>10091306.111723913</v>
      </c>
      <c r="M18" s="90">
        <f>'FA Schedule'!H46</f>
        <v>9082175.5005515199</v>
      </c>
      <c r="N18" s="66">
        <f>'FA Schedule'!N46</f>
        <v>13423957.95049637</v>
      </c>
    </row>
    <row r="19" spans="1:14">
      <c r="A19" s="19">
        <v>3</v>
      </c>
      <c r="B19" s="18" t="s">
        <v>55</v>
      </c>
      <c r="C19" s="247">
        <v>0</v>
      </c>
      <c r="D19" s="247">
        <v>0</v>
      </c>
      <c r="E19" s="90">
        <f>+'FA Schedule'!H7</f>
        <v>0</v>
      </c>
      <c r="F19" s="90">
        <f>+'FA Schedule'!N7</f>
        <v>0</v>
      </c>
      <c r="G19" s="90">
        <f>+'FA Schedule'!H17</f>
        <v>0</v>
      </c>
      <c r="H19" s="90">
        <f>+'FA Schedule'!N17</f>
        <v>0</v>
      </c>
      <c r="I19" s="90">
        <f>+'FA Schedule'!H27</f>
        <v>0</v>
      </c>
      <c r="J19" s="90">
        <f>+'FA Schedule'!N27</f>
        <v>0</v>
      </c>
      <c r="K19" s="90">
        <f>+'FA Schedule'!H37</f>
        <v>0</v>
      </c>
      <c r="L19" s="90">
        <f>'FA Schedule'!N37</f>
        <v>0</v>
      </c>
      <c r="M19" s="90">
        <f>'FA Schedule'!H47</f>
        <v>0</v>
      </c>
      <c r="N19" s="66">
        <f>'FA Schedule'!N47</f>
        <v>0</v>
      </c>
    </row>
    <row r="20" spans="1:14">
      <c r="A20" s="19">
        <v>4</v>
      </c>
      <c r="B20" s="18" t="s">
        <v>54</v>
      </c>
      <c r="C20" s="247">
        <v>175294</v>
      </c>
      <c r="D20" s="247">
        <v>166517</v>
      </c>
      <c r="E20" s="90">
        <f>+'FA Schedule'!H8</f>
        <v>162492.30000000002</v>
      </c>
      <c r="F20" s="90">
        <f>+'FA Schedule'!N8</f>
        <v>191243.07</v>
      </c>
      <c r="G20" s="90">
        <f>+'FA Schedule'!H18</f>
        <v>3227118.7630000003</v>
      </c>
      <c r="H20" s="90">
        <f>+'FA Schedule'!N18</f>
        <v>2989406.8867000001</v>
      </c>
      <c r="I20" s="90">
        <f>+'FA Schedule'!H28</f>
        <v>2840466.1980300001</v>
      </c>
      <c r="J20" s="90">
        <f>+'FA Schedule'!N28</f>
        <v>2636419.5782270003</v>
      </c>
      <c r="K20" s="90">
        <f>+'FA Schedule'!H38</f>
        <v>2522777.6204043003</v>
      </c>
      <c r="L20" s="90">
        <f>'FA Schedule'!N38</f>
        <v>2770499.8583638705</v>
      </c>
      <c r="M20" s="90">
        <f>'FA Schedule'!H48</f>
        <v>3743449.8725274834</v>
      </c>
      <c r="N20" s="66">
        <f>'FA Schedule'!N48</f>
        <v>5169104.8852747353</v>
      </c>
    </row>
    <row r="21" spans="1:14">
      <c r="A21" s="19">
        <v>5</v>
      </c>
      <c r="B21" s="18" t="s">
        <v>53</v>
      </c>
      <c r="C21" s="247">
        <f>6994035.43-C17-C18-C19-C20-C22</f>
        <v>311093.4299999997</v>
      </c>
      <c r="D21" s="247">
        <f>6996201-D17-D18-D19-D20-D22</f>
        <v>380398</v>
      </c>
      <c r="E21" s="90">
        <f>+'FA Schedule'!H9</f>
        <v>273925.95</v>
      </c>
      <c r="F21" s="90">
        <f>+'FA Schedule'!N9</f>
        <v>360337.05749999994</v>
      </c>
      <c r="G21" s="90">
        <f>+'FA Schedule'!H19</f>
        <v>6343786.4988749996</v>
      </c>
      <c r="H21" s="90">
        <f>+'FA Schedule'!N19</f>
        <v>5564718.52404375</v>
      </c>
      <c r="I21" s="90">
        <f>+'FA Schedule'!H29</f>
        <v>5105010.7454371871</v>
      </c>
      <c r="J21" s="90">
        <f>+'FA Schedule'!N29</f>
        <v>4519259.1336216088</v>
      </c>
      <c r="K21" s="90">
        <f>+'FA Schedule'!H39</f>
        <v>4066370.2635783679</v>
      </c>
      <c r="L21" s="90">
        <f>'FA Schedule'!N39</f>
        <v>4206414.7240416128</v>
      </c>
      <c r="M21" s="90">
        <f>'FA Schedule'!H49</f>
        <v>4325452.5154353706</v>
      </c>
      <c r="N21" s="66">
        <f>'FA Schedule'!N49</f>
        <v>6076634.6381200654</v>
      </c>
    </row>
    <row r="22" spans="1:14">
      <c r="A22" s="19">
        <v>6</v>
      </c>
      <c r="B22" s="18" t="s">
        <v>52</v>
      </c>
      <c r="C22" s="247">
        <f>29747+3184+1176515</f>
        <v>1209446</v>
      </c>
      <c r="D22" s="247">
        <f>+(25285+2706+1652913)</f>
        <v>1680904</v>
      </c>
      <c r="E22" s="90">
        <f>+'FA Schedule'!H10</f>
        <v>1659392.8499999999</v>
      </c>
      <c r="F22" s="90">
        <f>+'FA Schedule'!N10</f>
        <v>1785483.9225000001</v>
      </c>
      <c r="G22" s="90">
        <f>+'FA Schedule'!H20</f>
        <v>1517661.3341250001</v>
      </c>
      <c r="H22" s="90">
        <f>+'FA Schedule'!N20</f>
        <v>1740012.1340062502</v>
      </c>
      <c r="I22" s="90">
        <f>+'FA Schedule'!H30</f>
        <v>1629010.3139053127</v>
      </c>
      <c r="J22" s="90">
        <f>+'FA Schedule'!N30</f>
        <v>2284658.7668195157</v>
      </c>
      <c r="K22" s="90">
        <f>+'FA Schedule'!H40</f>
        <v>2316959.951796588</v>
      </c>
      <c r="L22" s="90">
        <f>'FA Schedule'!N40</f>
        <v>4969415.9590271004</v>
      </c>
      <c r="M22" s="90">
        <f>'FA Schedule'!H50</f>
        <v>6474003.5651730355</v>
      </c>
      <c r="N22" s="66">
        <f>'FA Schedule'!N50</f>
        <v>9627903.0303970799</v>
      </c>
    </row>
    <row r="23" spans="1:14">
      <c r="A23" s="26"/>
      <c r="B23" s="25" t="s">
        <v>3</v>
      </c>
      <c r="C23" s="248">
        <f>SUM(C17:C22)</f>
        <v>6994035.4299999997</v>
      </c>
      <c r="D23" s="248">
        <f>SUM(D17:D22)</f>
        <v>6996201</v>
      </c>
      <c r="E23" s="98">
        <f t="shared" ref="E23:N23" si="1">SUM(E17:E22)</f>
        <v>6387355</v>
      </c>
      <c r="F23" s="98">
        <f t="shared" si="1"/>
        <v>6199453.5600000005</v>
      </c>
      <c r="G23" s="98">
        <f t="shared" si="1"/>
        <v>27416203.155000001</v>
      </c>
      <c r="H23" s="98">
        <f t="shared" si="1"/>
        <v>24989010.447850004</v>
      </c>
      <c r="I23" s="98">
        <f t="shared" si="1"/>
        <v>22799872.870162506</v>
      </c>
      <c r="J23" s="98">
        <f t="shared" si="1"/>
        <v>21343184.530179128</v>
      </c>
      <c r="K23" s="98">
        <f t="shared" si="1"/>
        <v>20118670.182139155</v>
      </c>
      <c r="L23" s="273">
        <f>SUM(L17:L22)</f>
        <v>22037636.653156497</v>
      </c>
      <c r="M23" s="273">
        <f t="shared" si="1"/>
        <v>23625081.453687407</v>
      </c>
      <c r="N23" s="273">
        <f t="shared" si="1"/>
        <v>34297600.504288256</v>
      </c>
    </row>
    <row r="24" spans="1:14">
      <c r="A24" s="24"/>
      <c r="B24" s="23" t="s">
        <v>75</v>
      </c>
      <c r="C24" s="90">
        <f>+C23/'Gross Receipts Summary'!B11%</f>
        <v>29.091921646043701</v>
      </c>
      <c r="D24" s="90">
        <f>+D23/'Gross Receipts Summary'!C11%</f>
        <v>22.353110400584921</v>
      </c>
      <c r="E24" s="90" t="e">
        <f>+E23/'Gross Receipts Summary'!D11%</f>
        <v>#REF!</v>
      </c>
      <c r="F24" s="90" t="e">
        <f>+F23/'Gross Receipts Summary'!E11%</f>
        <v>#REF!</v>
      </c>
      <c r="G24" s="90" t="e">
        <f>+G23/'Gross Receipts Summary'!F11%</f>
        <v>#REF!</v>
      </c>
      <c r="H24" s="90" t="e">
        <f>+H23/'Gross Receipts Summary'!G11%</f>
        <v>#REF!</v>
      </c>
      <c r="I24" s="90" t="e">
        <f>+I23/'Gross Receipts Summary'!H11%</f>
        <v>#REF!</v>
      </c>
      <c r="J24" s="90" t="e">
        <f>+J23/'Gross Receipts Summary'!I11%</f>
        <v>#REF!</v>
      </c>
      <c r="K24" s="90" t="e">
        <f>+K23/'Gross Receipts Summary'!J11%</f>
        <v>#REF!</v>
      </c>
      <c r="L24" s="22" t="e">
        <f>+L23/'Gross Receipts Summary'!K11%</f>
        <v>#REF!</v>
      </c>
      <c r="M24" s="22" t="e">
        <f>+M23/'Gross Receipts Summary'!L11%</f>
        <v>#REF!</v>
      </c>
      <c r="N24" s="22" t="e">
        <f>+N23/'Gross Receipts Summary'!M11%</f>
        <v>#REF!</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3:O51"/>
  <sheetViews>
    <sheetView topLeftCell="A34" workbookViewId="0">
      <selection activeCell="I5" sqref="I5"/>
    </sheetView>
  </sheetViews>
  <sheetFormatPr defaultRowHeight="12.75"/>
  <cols>
    <col min="1" max="1" width="5.140625" bestFit="1" customWidth="1"/>
    <col min="2" max="2" width="16.28515625" bestFit="1" customWidth="1"/>
    <col min="3" max="3" width="11.7109375" style="13" customWidth="1"/>
    <col min="4" max="4" width="12.42578125" style="100" bestFit="1" customWidth="1"/>
    <col min="5" max="6" width="12" style="100" bestFit="1" customWidth="1"/>
    <col min="7" max="7" width="12.42578125" style="100" bestFit="1" customWidth="1"/>
    <col min="8" max="8" width="11" style="100" bestFit="1" customWidth="1"/>
    <col min="9" max="9" width="12.42578125" style="100" bestFit="1" customWidth="1"/>
    <col min="10" max="11" width="12" style="100" customWidth="1"/>
    <col min="12" max="12" width="11" style="100" customWidth="1"/>
    <col min="13" max="13" width="12" style="100" customWidth="1"/>
    <col min="14" max="14" width="11" style="100" customWidth="1"/>
    <col min="15" max="15" width="12" style="100" customWidth="1"/>
    <col min="16" max="16" width="6.85546875" bestFit="1" customWidth="1"/>
    <col min="17" max="17" width="8.5703125" bestFit="1" customWidth="1"/>
    <col min="18" max="18" width="7.7109375" bestFit="1" customWidth="1"/>
    <col min="19" max="19" width="12.5703125" bestFit="1" customWidth="1"/>
    <col min="20" max="20" width="6.7109375" bestFit="1" customWidth="1"/>
  </cols>
  <sheetData>
    <row r="3" spans="1:15">
      <c r="A3" s="1075" t="s">
        <v>60</v>
      </c>
      <c r="B3" s="1075" t="s">
        <v>0</v>
      </c>
      <c r="C3" s="1076" t="s">
        <v>59</v>
      </c>
      <c r="D3" s="1077" t="s">
        <v>74</v>
      </c>
      <c r="E3" s="1077"/>
      <c r="F3" s="1077"/>
      <c r="G3" s="1077"/>
      <c r="H3" s="1077"/>
      <c r="I3" s="1077"/>
      <c r="J3" s="1077" t="s">
        <v>73</v>
      </c>
      <c r="K3" s="1077"/>
      <c r="L3" s="1077"/>
      <c r="M3" s="1077"/>
      <c r="N3" s="1077"/>
      <c r="O3" s="1077"/>
    </row>
    <row r="4" spans="1:15">
      <c r="A4" s="1075"/>
      <c r="B4" s="1075"/>
      <c r="C4" s="1076"/>
      <c r="D4" s="117" t="s">
        <v>72</v>
      </c>
      <c r="E4" s="117" t="s">
        <v>71</v>
      </c>
      <c r="F4" s="117" t="s">
        <v>70</v>
      </c>
      <c r="G4" s="117" t="s">
        <v>69</v>
      </c>
      <c r="H4" s="117" t="s">
        <v>68</v>
      </c>
      <c r="I4" s="117" t="s">
        <v>67</v>
      </c>
      <c r="J4" s="117" t="s">
        <v>72</v>
      </c>
      <c r="K4" s="117" t="s">
        <v>71</v>
      </c>
      <c r="L4" s="117" t="s">
        <v>70</v>
      </c>
      <c r="M4" s="117" t="s">
        <v>69</v>
      </c>
      <c r="N4" s="117" t="s">
        <v>68</v>
      </c>
      <c r="O4" s="117" t="s">
        <v>67</v>
      </c>
    </row>
    <row r="5" spans="1:15">
      <c r="A5" s="19">
        <v>1</v>
      </c>
      <c r="B5" s="18" t="s">
        <v>57</v>
      </c>
      <c r="C5" s="17">
        <v>0</v>
      </c>
      <c r="D5" s="118">
        <v>1994145</v>
      </c>
      <c r="E5" s="118"/>
      <c r="F5" s="118"/>
      <c r="G5" s="118">
        <f t="shared" ref="G5:G10" si="0">+D5+E5-F5</f>
        <v>1994145</v>
      </c>
      <c r="H5" s="118">
        <f>+G5*C5</f>
        <v>0</v>
      </c>
      <c r="I5" s="118">
        <f t="shared" ref="I5:I10" si="1">+G5-H5</f>
        <v>1994145</v>
      </c>
      <c r="J5" s="118">
        <f t="shared" ref="J5:J10" si="2">+I5</f>
        <v>1994145</v>
      </c>
      <c r="K5" s="118">
        <v>0</v>
      </c>
      <c r="L5" s="118"/>
      <c r="M5" s="118">
        <f t="shared" ref="M5:M10" si="3">+J5+K5-L5</f>
        <v>1994145</v>
      </c>
      <c r="N5" s="118">
        <f>+M5*C5</f>
        <v>0</v>
      </c>
      <c r="O5" s="118">
        <f t="shared" ref="O5:O10" si="4">+M5-N5</f>
        <v>1994145</v>
      </c>
    </row>
    <row r="6" spans="1:15">
      <c r="A6" s="19">
        <v>2</v>
      </c>
      <c r="B6" s="18" t="s">
        <v>56</v>
      </c>
      <c r="C6" s="17">
        <v>0.1</v>
      </c>
      <c r="D6" s="118">
        <v>42915439</v>
      </c>
      <c r="E6" s="118">
        <f>+F7</f>
        <v>0</v>
      </c>
      <c r="F6" s="118"/>
      <c r="G6" s="118">
        <f t="shared" si="0"/>
        <v>42915439</v>
      </c>
      <c r="H6" s="118">
        <f>+(D6*C6)+(E6*C6/2)</f>
        <v>4291543.9000000004</v>
      </c>
      <c r="I6" s="118">
        <f t="shared" si="1"/>
        <v>38623895.100000001</v>
      </c>
      <c r="J6" s="118">
        <f t="shared" si="2"/>
        <v>38623895.100000001</v>
      </c>
      <c r="K6" s="118">
        <v>0</v>
      </c>
      <c r="L6" s="118"/>
      <c r="M6" s="118">
        <f t="shared" si="3"/>
        <v>38623895.100000001</v>
      </c>
      <c r="N6" s="118">
        <f>+(J6*C6)+(K6*C6/2)</f>
        <v>3862389.5100000002</v>
      </c>
      <c r="O6" s="118">
        <f t="shared" si="4"/>
        <v>34761505.590000004</v>
      </c>
    </row>
    <row r="7" spans="1:15">
      <c r="A7" s="19">
        <v>3</v>
      </c>
      <c r="B7" s="18" t="s">
        <v>55</v>
      </c>
      <c r="C7" s="17">
        <v>0</v>
      </c>
      <c r="D7" s="118">
        <v>53514860</v>
      </c>
      <c r="E7" s="118">
        <v>0</v>
      </c>
      <c r="F7" s="118">
        <v>0</v>
      </c>
      <c r="G7" s="118">
        <f t="shared" si="0"/>
        <v>53514860</v>
      </c>
      <c r="H7" s="118">
        <f>+G7*C7</f>
        <v>0</v>
      </c>
      <c r="I7" s="118">
        <f t="shared" si="1"/>
        <v>53514860</v>
      </c>
      <c r="J7" s="118">
        <f t="shared" si="2"/>
        <v>53514860</v>
      </c>
      <c r="K7" s="118">
        <v>145000000</v>
      </c>
      <c r="L7" s="118">
        <v>0</v>
      </c>
      <c r="M7" s="118">
        <f t="shared" si="3"/>
        <v>198514860</v>
      </c>
      <c r="N7" s="118">
        <f>+M7*C7</f>
        <v>0</v>
      </c>
      <c r="O7" s="118">
        <f t="shared" si="4"/>
        <v>198514860</v>
      </c>
    </row>
    <row r="8" spans="1:15">
      <c r="A8" s="19">
        <v>4</v>
      </c>
      <c r="B8" s="18" t="s">
        <v>54</v>
      </c>
      <c r="C8" s="17">
        <v>0.1</v>
      </c>
      <c r="D8" s="118">
        <f>1509403+115520</f>
        <v>1624923</v>
      </c>
      <c r="E8" s="118">
        <v>0</v>
      </c>
      <c r="F8" s="118"/>
      <c r="G8" s="118">
        <f t="shared" si="0"/>
        <v>1624923</v>
      </c>
      <c r="H8" s="118">
        <f>+(D8*C8)+(E8*C8/2)</f>
        <v>162492.30000000002</v>
      </c>
      <c r="I8" s="118">
        <f t="shared" si="1"/>
        <v>1462430.7</v>
      </c>
      <c r="J8" s="118">
        <f t="shared" si="2"/>
        <v>1462430.7</v>
      </c>
      <c r="K8" s="118">
        <v>450000</v>
      </c>
      <c r="L8" s="118"/>
      <c r="M8" s="118">
        <f t="shared" si="3"/>
        <v>1912430.7</v>
      </c>
      <c r="N8" s="118">
        <f>+M8*C8</f>
        <v>191243.07</v>
      </c>
      <c r="O8" s="118">
        <f t="shared" si="4"/>
        <v>1721187.63</v>
      </c>
    </row>
    <row r="9" spans="1:15">
      <c r="A9" s="19">
        <v>5</v>
      </c>
      <c r="B9" s="18" t="s">
        <v>53</v>
      </c>
      <c r="C9" s="17">
        <v>0.15</v>
      </c>
      <c r="D9" s="118">
        <f>(112938159-D5-D6-D7-D8-D10)</f>
        <v>1826173</v>
      </c>
      <c r="E9" s="118">
        <v>0</v>
      </c>
      <c r="F9" s="118"/>
      <c r="G9" s="118">
        <f t="shared" si="0"/>
        <v>1826173</v>
      </c>
      <c r="H9" s="118">
        <f>+(D9*C9)+(E9*C9/2)</f>
        <v>273925.95</v>
      </c>
      <c r="I9" s="118">
        <f t="shared" si="1"/>
        <v>1552247.05</v>
      </c>
      <c r="J9" s="118">
        <f t="shared" si="2"/>
        <v>1552247.05</v>
      </c>
      <c r="K9" s="118">
        <v>850000</v>
      </c>
      <c r="L9" s="118"/>
      <c r="M9" s="118">
        <f t="shared" si="3"/>
        <v>2402247.0499999998</v>
      </c>
      <c r="N9" s="118">
        <f>+M9*C9</f>
        <v>360337.05749999994</v>
      </c>
      <c r="O9" s="118">
        <f t="shared" si="4"/>
        <v>2041909.9924999999</v>
      </c>
    </row>
    <row r="10" spans="1:15">
      <c r="A10" s="19">
        <v>6</v>
      </c>
      <c r="B10" s="18" t="s">
        <v>52</v>
      </c>
      <c r="C10" s="17">
        <v>0.15</v>
      </c>
      <c r="D10" s="118">
        <f>(10904004+15336+143279)</f>
        <v>11062619</v>
      </c>
      <c r="E10" s="118">
        <v>0</v>
      </c>
      <c r="F10" s="118"/>
      <c r="G10" s="118">
        <f t="shared" si="0"/>
        <v>11062619</v>
      </c>
      <c r="H10" s="118">
        <f>+G10*C10</f>
        <v>1659392.8499999999</v>
      </c>
      <c r="I10" s="118">
        <f t="shared" si="1"/>
        <v>9403226.1500000004</v>
      </c>
      <c r="J10" s="118">
        <f t="shared" si="2"/>
        <v>9403226.1500000004</v>
      </c>
      <c r="K10" s="118">
        <v>2500000</v>
      </c>
      <c r="L10" s="118"/>
      <c r="M10" s="118">
        <f t="shared" si="3"/>
        <v>11903226.15</v>
      </c>
      <c r="N10" s="118">
        <f>+M10*C10</f>
        <v>1785483.9225000001</v>
      </c>
      <c r="O10" s="118">
        <f t="shared" si="4"/>
        <v>10117742.227500001</v>
      </c>
    </row>
    <row r="11" spans="1:15">
      <c r="A11" s="16"/>
      <c r="B11" s="16" t="s">
        <v>3</v>
      </c>
      <c r="C11" s="15"/>
      <c r="D11" s="117">
        <f t="shared" ref="D11:O11" si="5">SUM(D5:D10)</f>
        <v>112938159</v>
      </c>
      <c r="E11" s="117">
        <f t="shared" si="5"/>
        <v>0</v>
      </c>
      <c r="F11" s="117">
        <f t="shared" si="5"/>
        <v>0</v>
      </c>
      <c r="G11" s="117">
        <f t="shared" si="5"/>
        <v>112938159</v>
      </c>
      <c r="H11" s="117">
        <f t="shared" si="5"/>
        <v>6387355</v>
      </c>
      <c r="I11" s="117">
        <f t="shared" si="5"/>
        <v>106550804</v>
      </c>
      <c r="J11" s="117">
        <f t="shared" si="5"/>
        <v>106550804</v>
      </c>
      <c r="K11" s="117">
        <f t="shared" si="5"/>
        <v>148800000</v>
      </c>
      <c r="L11" s="117">
        <f t="shared" si="5"/>
        <v>0</v>
      </c>
      <c r="M11" s="117">
        <f t="shared" si="5"/>
        <v>255350804</v>
      </c>
      <c r="N11" s="117">
        <f t="shared" si="5"/>
        <v>6199453.5600000005</v>
      </c>
      <c r="O11" s="117">
        <f t="shared" si="5"/>
        <v>249151350.44</v>
      </c>
    </row>
    <row r="12" spans="1:15">
      <c r="A12" s="21"/>
      <c r="B12" s="21"/>
      <c r="C12" s="20"/>
      <c r="D12" s="119"/>
      <c r="E12" s="119"/>
      <c r="F12" s="119"/>
      <c r="G12" s="119"/>
      <c r="H12" s="119"/>
      <c r="I12" s="119"/>
      <c r="J12" s="119"/>
      <c r="K12" s="119"/>
      <c r="L12" s="119"/>
      <c r="M12" s="119"/>
      <c r="N12" s="119"/>
      <c r="O12" s="119"/>
    </row>
    <row r="13" spans="1:15">
      <c r="A13" s="1075" t="s">
        <v>60</v>
      </c>
      <c r="B13" s="1075" t="s">
        <v>0</v>
      </c>
      <c r="C13" s="1076" t="s">
        <v>59</v>
      </c>
      <c r="D13" s="1078" t="s">
        <v>66</v>
      </c>
      <c r="E13" s="1079"/>
      <c r="F13" s="1079"/>
      <c r="G13" s="1079"/>
      <c r="H13" s="1079"/>
      <c r="I13" s="1080"/>
      <c r="J13" s="1077" t="s">
        <v>65</v>
      </c>
      <c r="K13" s="1077"/>
      <c r="L13" s="1077"/>
      <c r="M13" s="1077"/>
      <c r="N13" s="1077"/>
      <c r="O13" s="1077"/>
    </row>
    <row r="14" spans="1:15">
      <c r="A14" s="1075"/>
      <c r="B14" s="1075"/>
      <c r="C14" s="1076"/>
      <c r="D14" s="117" t="str">
        <f t="shared" ref="D14:O14" si="6">+D4</f>
        <v>OWDV</v>
      </c>
      <c r="E14" s="117" t="str">
        <f t="shared" si="6"/>
        <v>Addition</v>
      </c>
      <c r="F14" s="117" t="str">
        <f t="shared" si="6"/>
        <v>Deletion</v>
      </c>
      <c r="G14" s="117" t="str">
        <f t="shared" si="6"/>
        <v>Closing</v>
      </c>
      <c r="H14" s="117" t="str">
        <f t="shared" si="6"/>
        <v>Dep.</v>
      </c>
      <c r="I14" s="117" t="str">
        <f t="shared" si="6"/>
        <v>CWDV</v>
      </c>
      <c r="J14" s="117" t="str">
        <f t="shared" si="6"/>
        <v>OWDV</v>
      </c>
      <c r="K14" s="117" t="str">
        <f t="shared" si="6"/>
        <v>Addition</v>
      </c>
      <c r="L14" s="117" t="str">
        <f t="shared" si="6"/>
        <v>Deletion</v>
      </c>
      <c r="M14" s="117" t="str">
        <f t="shared" si="6"/>
        <v>Closing</v>
      </c>
      <c r="N14" s="117" t="str">
        <f t="shared" si="6"/>
        <v>Dep.</v>
      </c>
      <c r="O14" s="117" t="str">
        <f t="shared" si="6"/>
        <v>CWDV</v>
      </c>
    </row>
    <row r="15" spans="1:15">
      <c r="A15" s="19">
        <v>1</v>
      </c>
      <c r="B15" s="18" t="s">
        <v>57</v>
      </c>
      <c r="C15" s="17">
        <f t="shared" ref="C15:C20" si="7">C5</f>
        <v>0</v>
      </c>
      <c r="D15" s="118">
        <f t="shared" ref="D15:D21" si="8">+O5</f>
        <v>1994145</v>
      </c>
      <c r="E15" s="118">
        <v>0</v>
      </c>
      <c r="F15" s="118">
        <v>0</v>
      </c>
      <c r="G15" s="118">
        <f t="shared" ref="G15:G20" si="9">+D15+E15-F15</f>
        <v>1994145</v>
      </c>
      <c r="H15" s="118">
        <f t="shared" ref="H15:H20" si="10">+G15*C15</f>
        <v>0</v>
      </c>
      <c r="I15" s="118">
        <f t="shared" ref="I15:I20" si="11">+G15-H15</f>
        <v>1994145</v>
      </c>
      <c r="J15" s="118">
        <f t="shared" ref="J15:J20" si="12">+I15</f>
        <v>1994145</v>
      </c>
      <c r="K15" s="118">
        <v>0</v>
      </c>
      <c r="L15" s="118">
        <v>0</v>
      </c>
      <c r="M15" s="118">
        <f t="shared" ref="M15:M20" si="13">+J15+K15-L15</f>
        <v>1994145</v>
      </c>
      <c r="N15" s="118">
        <f t="shared" ref="N15:N20" si="14">+M15*C15</f>
        <v>0</v>
      </c>
      <c r="O15" s="118">
        <f t="shared" ref="O15:O20" si="15">+M15-N15</f>
        <v>1994145</v>
      </c>
    </row>
    <row r="16" spans="1:15">
      <c r="A16" s="19">
        <v>2</v>
      </c>
      <c r="B16" s="18" t="s">
        <v>56</v>
      </c>
      <c r="C16" s="17">
        <f t="shared" si="7"/>
        <v>0.1</v>
      </c>
      <c r="D16" s="118">
        <f t="shared" si="8"/>
        <v>34761505.590000004</v>
      </c>
      <c r="E16" s="118">
        <f>75000000+53514860</f>
        <v>128514860</v>
      </c>
      <c r="F16" s="118">
        <v>0</v>
      </c>
      <c r="G16" s="118">
        <f t="shared" si="9"/>
        <v>163276365.59</v>
      </c>
      <c r="H16" s="118">
        <f t="shared" si="10"/>
        <v>16327636.559</v>
      </c>
      <c r="I16" s="118">
        <f t="shared" si="11"/>
        <v>146948729.03100002</v>
      </c>
      <c r="J16" s="118">
        <f t="shared" si="12"/>
        <v>146948729.03100002</v>
      </c>
      <c r="K16" s="118">
        <v>0</v>
      </c>
      <c r="L16" s="118">
        <v>0</v>
      </c>
      <c r="M16" s="118">
        <f t="shared" si="13"/>
        <v>146948729.03100002</v>
      </c>
      <c r="N16" s="118">
        <f t="shared" si="14"/>
        <v>14694872.903100003</v>
      </c>
      <c r="O16" s="118">
        <f t="shared" si="15"/>
        <v>132253856.12790002</v>
      </c>
    </row>
    <row r="17" spans="1:15">
      <c r="A17" s="19">
        <v>3</v>
      </c>
      <c r="B17" s="18" t="s">
        <v>55</v>
      </c>
      <c r="C17" s="17">
        <f t="shared" si="7"/>
        <v>0</v>
      </c>
      <c r="D17" s="118">
        <f t="shared" si="8"/>
        <v>198514860</v>
      </c>
      <c r="E17" s="118">
        <v>0</v>
      </c>
      <c r="F17" s="118">
        <f>D17</f>
        <v>198514860</v>
      </c>
      <c r="G17" s="118">
        <f t="shared" si="9"/>
        <v>0</v>
      </c>
      <c r="H17" s="118">
        <f t="shared" si="10"/>
        <v>0</v>
      </c>
      <c r="I17" s="118">
        <f t="shared" si="11"/>
        <v>0</v>
      </c>
      <c r="J17" s="118">
        <f t="shared" si="12"/>
        <v>0</v>
      </c>
      <c r="K17" s="118">
        <v>0</v>
      </c>
      <c r="L17" s="118">
        <v>0</v>
      </c>
      <c r="M17" s="118">
        <f t="shared" si="13"/>
        <v>0</v>
      </c>
      <c r="N17" s="118">
        <f t="shared" si="14"/>
        <v>0</v>
      </c>
      <c r="O17" s="118">
        <f t="shared" si="15"/>
        <v>0</v>
      </c>
    </row>
    <row r="18" spans="1:15">
      <c r="A18" s="19">
        <v>4</v>
      </c>
      <c r="B18" s="18" t="s">
        <v>54</v>
      </c>
      <c r="C18" s="17">
        <f t="shared" si="7"/>
        <v>0.1</v>
      </c>
      <c r="D18" s="118">
        <f t="shared" si="8"/>
        <v>1721187.63</v>
      </c>
      <c r="E18" s="118">
        <f>550000+30000000</f>
        <v>30550000</v>
      </c>
      <c r="F18" s="118">
        <v>0</v>
      </c>
      <c r="G18" s="118">
        <f t="shared" si="9"/>
        <v>32271187.629999999</v>
      </c>
      <c r="H18" s="118">
        <f t="shared" si="10"/>
        <v>3227118.7630000003</v>
      </c>
      <c r="I18" s="118">
        <f t="shared" si="11"/>
        <v>29044068.866999999</v>
      </c>
      <c r="J18" s="118">
        <f t="shared" si="12"/>
        <v>29044068.866999999</v>
      </c>
      <c r="K18" s="118">
        <v>850000</v>
      </c>
      <c r="L18" s="118">
        <v>0</v>
      </c>
      <c r="M18" s="118">
        <f t="shared" si="13"/>
        <v>29894068.866999999</v>
      </c>
      <c r="N18" s="118">
        <f t="shared" si="14"/>
        <v>2989406.8867000001</v>
      </c>
      <c r="O18" s="118">
        <f t="shared" si="15"/>
        <v>26904661.980299998</v>
      </c>
    </row>
    <row r="19" spans="1:15">
      <c r="A19" s="19">
        <v>5</v>
      </c>
      <c r="B19" s="18" t="s">
        <v>53</v>
      </c>
      <c r="C19" s="17">
        <f t="shared" si="7"/>
        <v>0.15</v>
      </c>
      <c r="D19" s="118">
        <f t="shared" si="8"/>
        <v>2041909.9924999999</v>
      </c>
      <c r="E19" s="118">
        <f>250000+40000000</f>
        <v>40250000</v>
      </c>
      <c r="F19" s="118">
        <v>0</v>
      </c>
      <c r="G19" s="118">
        <f t="shared" si="9"/>
        <v>42291909.9925</v>
      </c>
      <c r="H19" s="118">
        <f t="shared" si="10"/>
        <v>6343786.4988749996</v>
      </c>
      <c r="I19" s="118">
        <f t="shared" si="11"/>
        <v>35948123.493625</v>
      </c>
      <c r="J19" s="118">
        <f t="shared" si="12"/>
        <v>35948123.493625</v>
      </c>
      <c r="K19" s="118">
        <v>1150000</v>
      </c>
      <c r="L19" s="118">
        <v>0</v>
      </c>
      <c r="M19" s="118">
        <f t="shared" si="13"/>
        <v>37098123.493625</v>
      </c>
      <c r="N19" s="118">
        <f t="shared" si="14"/>
        <v>5564718.52404375</v>
      </c>
      <c r="O19" s="118">
        <f t="shared" si="15"/>
        <v>31533404.96958125</v>
      </c>
    </row>
    <row r="20" spans="1:15">
      <c r="A20" s="19">
        <v>6</v>
      </c>
      <c r="B20" s="18" t="s">
        <v>52</v>
      </c>
      <c r="C20" s="17">
        <f t="shared" si="7"/>
        <v>0.15</v>
      </c>
      <c r="D20" s="118">
        <f t="shared" si="8"/>
        <v>10117742.227500001</v>
      </c>
      <c r="E20" s="118">
        <v>0</v>
      </c>
      <c r="F20" s="118">
        <v>0</v>
      </c>
      <c r="G20" s="118">
        <f t="shared" si="9"/>
        <v>10117742.227500001</v>
      </c>
      <c r="H20" s="118">
        <f t="shared" si="10"/>
        <v>1517661.3341250001</v>
      </c>
      <c r="I20" s="118">
        <f t="shared" si="11"/>
        <v>8600080.8933750018</v>
      </c>
      <c r="J20" s="118">
        <f t="shared" si="12"/>
        <v>8600080.8933750018</v>
      </c>
      <c r="K20" s="118">
        <v>3000000</v>
      </c>
      <c r="L20" s="118">
        <v>0</v>
      </c>
      <c r="M20" s="118">
        <f t="shared" si="13"/>
        <v>11600080.893375002</v>
      </c>
      <c r="N20" s="118">
        <f t="shared" si="14"/>
        <v>1740012.1340062502</v>
      </c>
      <c r="O20" s="118">
        <f t="shared" si="15"/>
        <v>9860068.7593687512</v>
      </c>
    </row>
    <row r="21" spans="1:15">
      <c r="A21" s="16"/>
      <c r="B21" s="16" t="s">
        <v>3</v>
      </c>
      <c r="C21" s="15"/>
      <c r="D21" s="118">
        <f t="shared" si="8"/>
        <v>249151350.44</v>
      </c>
      <c r="E21" s="117">
        <f t="shared" ref="E21:O21" si="16">SUM(E15:E20)</f>
        <v>199314860</v>
      </c>
      <c r="F21" s="117">
        <f t="shared" si="16"/>
        <v>198514860</v>
      </c>
      <c r="G21" s="117">
        <f t="shared" si="16"/>
        <v>249951350.44</v>
      </c>
      <c r="H21" s="117">
        <f t="shared" si="16"/>
        <v>27416203.155000001</v>
      </c>
      <c r="I21" s="117">
        <f t="shared" si="16"/>
        <v>222535147.285</v>
      </c>
      <c r="J21" s="117">
        <f t="shared" si="16"/>
        <v>222535147.285</v>
      </c>
      <c r="K21" s="117">
        <f t="shared" si="16"/>
        <v>5000000</v>
      </c>
      <c r="L21" s="117">
        <f t="shared" si="16"/>
        <v>0</v>
      </c>
      <c r="M21" s="117">
        <f t="shared" si="16"/>
        <v>227535147.285</v>
      </c>
      <c r="N21" s="117">
        <f t="shared" si="16"/>
        <v>24989010.447850004</v>
      </c>
      <c r="O21" s="117">
        <f t="shared" si="16"/>
        <v>202546136.83715001</v>
      </c>
    </row>
    <row r="22" spans="1:15">
      <c r="A22" s="21"/>
      <c r="B22" s="21"/>
      <c r="C22" s="20"/>
      <c r="D22" s="119"/>
      <c r="E22" s="119"/>
      <c r="F22" s="119"/>
      <c r="G22" s="119"/>
      <c r="H22" s="119"/>
      <c r="I22" s="119"/>
      <c r="J22" s="119"/>
      <c r="K22" s="119"/>
      <c r="L22" s="119"/>
      <c r="M22" s="119"/>
      <c r="N22" s="119"/>
      <c r="O22" s="119"/>
    </row>
    <row r="23" spans="1:15">
      <c r="A23" s="1075" t="s">
        <v>60</v>
      </c>
      <c r="B23" s="1075" t="s">
        <v>0</v>
      </c>
      <c r="C23" s="1076" t="s">
        <v>59</v>
      </c>
      <c r="D23" s="1078" t="s">
        <v>64</v>
      </c>
      <c r="E23" s="1079"/>
      <c r="F23" s="1079"/>
      <c r="G23" s="1079"/>
      <c r="H23" s="1079"/>
      <c r="I23" s="1080"/>
      <c r="J23" s="1078" t="s">
        <v>63</v>
      </c>
      <c r="K23" s="1079"/>
      <c r="L23" s="1079"/>
      <c r="M23" s="1079"/>
      <c r="N23" s="1079"/>
      <c r="O23" s="1080"/>
    </row>
    <row r="24" spans="1:15" ht="26.25" customHeight="1">
      <c r="A24" s="1075"/>
      <c r="B24" s="1075"/>
      <c r="C24" s="1076"/>
      <c r="D24" s="117" t="str">
        <f t="shared" ref="D24:O24" si="17">+D14</f>
        <v>OWDV</v>
      </c>
      <c r="E24" s="117" t="str">
        <f t="shared" si="17"/>
        <v>Addition</v>
      </c>
      <c r="F24" s="117" t="str">
        <f t="shared" si="17"/>
        <v>Deletion</v>
      </c>
      <c r="G24" s="117" t="str">
        <f t="shared" si="17"/>
        <v>Closing</v>
      </c>
      <c r="H24" s="117" t="str">
        <f t="shared" si="17"/>
        <v>Dep.</v>
      </c>
      <c r="I24" s="117" t="str">
        <f t="shared" si="17"/>
        <v>CWDV</v>
      </c>
      <c r="J24" s="117" t="str">
        <f t="shared" si="17"/>
        <v>OWDV</v>
      </c>
      <c r="K24" s="117" t="str">
        <f t="shared" si="17"/>
        <v>Addition</v>
      </c>
      <c r="L24" s="117" t="str">
        <f t="shared" si="17"/>
        <v>Deletion</v>
      </c>
      <c r="M24" s="117" t="str">
        <f t="shared" si="17"/>
        <v>Closing</v>
      </c>
      <c r="N24" s="117" t="str">
        <f t="shared" si="17"/>
        <v>Dep.</v>
      </c>
      <c r="O24" s="117" t="str">
        <f t="shared" si="17"/>
        <v>CWDV</v>
      </c>
    </row>
    <row r="25" spans="1:15">
      <c r="A25" s="19">
        <v>1</v>
      </c>
      <c r="B25" s="18" t="s">
        <v>57</v>
      </c>
      <c r="C25" s="17">
        <f t="shared" ref="C25:C30" si="18">C15</f>
        <v>0</v>
      </c>
      <c r="D25" s="118">
        <f t="shared" ref="D25:D31" si="19">+O15</f>
        <v>1994145</v>
      </c>
      <c r="E25" s="118">
        <v>15000000</v>
      </c>
      <c r="F25" s="118">
        <v>0</v>
      </c>
      <c r="G25" s="118">
        <f t="shared" ref="G25:G30" si="20">+D25+E25-F25</f>
        <v>16994145</v>
      </c>
      <c r="H25" s="118">
        <f t="shared" ref="H25:H30" si="21">+G25*C25</f>
        <v>0</v>
      </c>
      <c r="I25" s="118">
        <f t="shared" ref="I25:I30" si="22">+G25-H25</f>
        <v>16994145</v>
      </c>
      <c r="J25" s="118">
        <f t="shared" ref="J25:J30" si="23">+I25</f>
        <v>16994145</v>
      </c>
      <c r="K25" s="118">
        <v>0</v>
      </c>
      <c r="L25" s="118">
        <v>0</v>
      </c>
      <c r="M25" s="118">
        <f t="shared" ref="M25:M30" si="24">+J25+K25-L25</f>
        <v>16994145</v>
      </c>
      <c r="N25" s="118">
        <f t="shared" ref="N25:N30" si="25">+M25*C25</f>
        <v>0</v>
      </c>
      <c r="O25" s="118">
        <f t="shared" ref="O25:O30" si="26">+M25-N25</f>
        <v>16994145</v>
      </c>
    </row>
    <row r="26" spans="1:15">
      <c r="A26" s="19">
        <v>2</v>
      </c>
      <c r="B26" s="18" t="s">
        <v>56</v>
      </c>
      <c r="C26" s="17">
        <f t="shared" si="18"/>
        <v>0.1</v>
      </c>
      <c r="D26" s="118">
        <f t="shared" si="19"/>
        <v>132253856.12790002</v>
      </c>
      <c r="E26" s="118">
        <v>0</v>
      </c>
      <c r="F26" s="118">
        <v>0</v>
      </c>
      <c r="G26" s="118">
        <f t="shared" si="20"/>
        <v>132253856.12790002</v>
      </c>
      <c r="H26" s="118">
        <f t="shared" si="21"/>
        <v>13225385.612790003</v>
      </c>
      <c r="I26" s="118">
        <f t="shared" si="22"/>
        <v>119028470.51511002</v>
      </c>
      <c r="J26" s="118">
        <f t="shared" si="23"/>
        <v>119028470.51511002</v>
      </c>
      <c r="K26" s="118">
        <v>0</v>
      </c>
      <c r="L26" s="118">
        <v>0</v>
      </c>
      <c r="M26" s="118">
        <f t="shared" si="24"/>
        <v>119028470.51511002</v>
      </c>
      <c r="N26" s="118">
        <f t="shared" si="25"/>
        <v>11902847.051511003</v>
      </c>
      <c r="O26" s="118">
        <f t="shared" si="26"/>
        <v>107125623.46359901</v>
      </c>
    </row>
    <row r="27" spans="1:15">
      <c r="A27" s="19">
        <v>3</v>
      </c>
      <c r="B27" s="18" t="s">
        <v>55</v>
      </c>
      <c r="C27" s="17">
        <f t="shared" si="18"/>
        <v>0</v>
      </c>
      <c r="D27" s="118">
        <f t="shared" si="19"/>
        <v>0</v>
      </c>
      <c r="E27" s="118">
        <v>0</v>
      </c>
      <c r="F27" s="118">
        <v>0</v>
      </c>
      <c r="G27" s="118">
        <f t="shared" si="20"/>
        <v>0</v>
      </c>
      <c r="H27" s="118">
        <f t="shared" si="21"/>
        <v>0</v>
      </c>
      <c r="I27" s="118">
        <f t="shared" si="22"/>
        <v>0</v>
      </c>
      <c r="J27" s="118">
        <f t="shared" si="23"/>
        <v>0</v>
      </c>
      <c r="K27" s="118">
        <v>0</v>
      </c>
      <c r="L27" s="118">
        <v>0</v>
      </c>
      <c r="M27" s="118">
        <f t="shared" si="24"/>
        <v>0</v>
      </c>
      <c r="N27" s="118">
        <f t="shared" si="25"/>
        <v>0</v>
      </c>
      <c r="O27" s="118">
        <f t="shared" si="26"/>
        <v>0</v>
      </c>
    </row>
    <row r="28" spans="1:15">
      <c r="A28" s="19">
        <v>4</v>
      </c>
      <c r="B28" s="18" t="s">
        <v>54</v>
      </c>
      <c r="C28" s="17">
        <f t="shared" si="18"/>
        <v>0.1</v>
      </c>
      <c r="D28" s="118">
        <f t="shared" si="19"/>
        <v>26904661.980299998</v>
      </c>
      <c r="E28" s="118">
        <v>1500000</v>
      </c>
      <c r="F28" s="118">
        <v>0</v>
      </c>
      <c r="G28" s="118">
        <f t="shared" si="20"/>
        <v>28404661.980299998</v>
      </c>
      <c r="H28" s="118">
        <f t="shared" si="21"/>
        <v>2840466.1980300001</v>
      </c>
      <c r="I28" s="118">
        <f t="shared" si="22"/>
        <v>25564195.782269999</v>
      </c>
      <c r="J28" s="118">
        <f t="shared" si="23"/>
        <v>25564195.782269999</v>
      </c>
      <c r="K28" s="118">
        <v>800000</v>
      </c>
      <c r="L28" s="118">
        <v>0</v>
      </c>
      <c r="M28" s="118">
        <f t="shared" si="24"/>
        <v>26364195.782269999</v>
      </c>
      <c r="N28" s="118">
        <f t="shared" si="25"/>
        <v>2636419.5782270003</v>
      </c>
      <c r="O28" s="118">
        <f t="shared" si="26"/>
        <v>23727776.204043001</v>
      </c>
    </row>
    <row r="29" spans="1:15">
      <c r="A29" s="19">
        <v>5</v>
      </c>
      <c r="B29" s="18" t="s">
        <v>53</v>
      </c>
      <c r="C29" s="17">
        <f t="shared" si="18"/>
        <v>0.15</v>
      </c>
      <c r="D29" s="118">
        <f t="shared" si="19"/>
        <v>31533404.96958125</v>
      </c>
      <c r="E29" s="118">
        <v>2500000</v>
      </c>
      <c r="F29" s="118">
        <v>0</v>
      </c>
      <c r="G29" s="118">
        <f t="shared" si="20"/>
        <v>34033404.969581246</v>
      </c>
      <c r="H29" s="118">
        <f t="shared" si="21"/>
        <v>5105010.7454371871</v>
      </c>
      <c r="I29" s="118">
        <f t="shared" si="22"/>
        <v>28928394.22414406</v>
      </c>
      <c r="J29" s="118">
        <f t="shared" si="23"/>
        <v>28928394.22414406</v>
      </c>
      <c r="K29" s="118">
        <v>1200000</v>
      </c>
      <c r="L29" s="118">
        <v>0</v>
      </c>
      <c r="M29" s="118">
        <f t="shared" si="24"/>
        <v>30128394.22414406</v>
      </c>
      <c r="N29" s="118">
        <f t="shared" si="25"/>
        <v>4519259.1336216088</v>
      </c>
      <c r="O29" s="118">
        <f t="shared" si="26"/>
        <v>25609135.090522453</v>
      </c>
    </row>
    <row r="30" spans="1:15">
      <c r="A30" s="19">
        <v>6</v>
      </c>
      <c r="B30" s="18" t="s">
        <v>52</v>
      </c>
      <c r="C30" s="17">
        <f t="shared" si="18"/>
        <v>0.15</v>
      </c>
      <c r="D30" s="118">
        <f t="shared" si="19"/>
        <v>9860068.7593687512</v>
      </c>
      <c r="E30" s="118">
        <v>1000000</v>
      </c>
      <c r="F30" s="118">
        <v>0</v>
      </c>
      <c r="G30" s="118">
        <f t="shared" si="20"/>
        <v>10860068.759368751</v>
      </c>
      <c r="H30" s="118">
        <f t="shared" si="21"/>
        <v>1629010.3139053127</v>
      </c>
      <c r="I30" s="118">
        <f t="shared" si="22"/>
        <v>9231058.4454634376</v>
      </c>
      <c r="J30" s="118">
        <f t="shared" si="23"/>
        <v>9231058.4454634376</v>
      </c>
      <c r="K30" s="118">
        <v>6000000</v>
      </c>
      <c r="L30" s="118">
        <v>0</v>
      </c>
      <c r="M30" s="118">
        <f t="shared" si="24"/>
        <v>15231058.445463438</v>
      </c>
      <c r="N30" s="118">
        <f t="shared" si="25"/>
        <v>2284658.7668195157</v>
      </c>
      <c r="O30" s="118">
        <f t="shared" si="26"/>
        <v>12946399.678643921</v>
      </c>
    </row>
    <row r="31" spans="1:15">
      <c r="A31" s="16"/>
      <c r="B31" s="16" t="s">
        <v>3</v>
      </c>
      <c r="C31" s="15"/>
      <c r="D31" s="118">
        <f t="shared" si="19"/>
        <v>202546136.83715001</v>
      </c>
      <c r="E31" s="117">
        <f t="shared" ref="E31:O31" si="27">SUM(E25:E30)</f>
        <v>20000000</v>
      </c>
      <c r="F31" s="117">
        <f t="shared" si="27"/>
        <v>0</v>
      </c>
      <c r="G31" s="117">
        <f t="shared" si="27"/>
        <v>222546136.83715001</v>
      </c>
      <c r="H31" s="117">
        <f t="shared" si="27"/>
        <v>22799872.870162506</v>
      </c>
      <c r="I31" s="117">
        <f t="shared" si="27"/>
        <v>199746263.96698755</v>
      </c>
      <c r="J31" s="117">
        <f t="shared" si="27"/>
        <v>199746263.96698755</v>
      </c>
      <c r="K31" s="117">
        <f t="shared" si="27"/>
        <v>8000000</v>
      </c>
      <c r="L31" s="117">
        <f t="shared" si="27"/>
        <v>0</v>
      </c>
      <c r="M31" s="117">
        <f t="shared" si="27"/>
        <v>207746263.96698755</v>
      </c>
      <c r="N31" s="117">
        <f t="shared" si="27"/>
        <v>21343184.530179128</v>
      </c>
      <c r="O31" s="117">
        <f t="shared" si="27"/>
        <v>186403079.43680838</v>
      </c>
    </row>
    <row r="32" spans="1:15">
      <c r="A32" s="21"/>
      <c r="B32" s="21"/>
      <c r="C32" s="20"/>
      <c r="D32" s="119"/>
      <c r="E32" s="119"/>
      <c r="F32" s="119"/>
      <c r="G32" s="119"/>
      <c r="H32" s="119"/>
      <c r="I32" s="119"/>
      <c r="J32" s="119"/>
      <c r="K32" s="119"/>
      <c r="L32" s="119"/>
      <c r="M32" s="119"/>
      <c r="N32" s="119"/>
      <c r="O32" s="119"/>
    </row>
    <row r="33" spans="1:15" ht="12.75" customHeight="1">
      <c r="A33" s="1075" t="s">
        <v>60</v>
      </c>
      <c r="B33" s="1075" t="s">
        <v>0</v>
      </c>
      <c r="C33" s="1076" t="s">
        <v>59</v>
      </c>
      <c r="D33" s="1077" t="s">
        <v>62</v>
      </c>
      <c r="E33" s="1077"/>
      <c r="F33" s="1077"/>
      <c r="G33" s="1077"/>
      <c r="H33" s="1077"/>
      <c r="I33" s="1077"/>
      <c r="J33" s="1077" t="s">
        <v>61</v>
      </c>
      <c r="K33" s="1077"/>
      <c r="L33" s="1077"/>
      <c r="M33" s="1077"/>
      <c r="N33" s="1077"/>
      <c r="O33" s="1077"/>
    </row>
    <row r="34" spans="1:15">
      <c r="A34" s="1075"/>
      <c r="B34" s="1075"/>
      <c r="C34" s="1076"/>
      <c r="D34" s="264" t="str">
        <f t="shared" ref="D34:I34" si="28">+D24</f>
        <v>OWDV</v>
      </c>
      <c r="E34" s="264" t="str">
        <f t="shared" si="28"/>
        <v>Addition</v>
      </c>
      <c r="F34" s="264" t="str">
        <f t="shared" si="28"/>
        <v>Deletion</v>
      </c>
      <c r="G34" s="264" t="str">
        <f t="shared" si="28"/>
        <v>Closing</v>
      </c>
      <c r="H34" s="264" t="str">
        <f t="shared" si="28"/>
        <v>Dep.</v>
      </c>
      <c r="I34" s="264" t="str">
        <f t="shared" si="28"/>
        <v>CWDV</v>
      </c>
      <c r="J34" s="275" t="str">
        <f t="shared" ref="J34:O34" si="29">+J24</f>
        <v>OWDV</v>
      </c>
      <c r="K34" s="275" t="str">
        <f t="shared" si="29"/>
        <v>Addition</v>
      </c>
      <c r="L34" s="275" t="str">
        <f t="shared" si="29"/>
        <v>Deletion</v>
      </c>
      <c r="M34" s="275" t="str">
        <f t="shared" si="29"/>
        <v>Closing</v>
      </c>
      <c r="N34" s="275" t="str">
        <f t="shared" si="29"/>
        <v>Dep.</v>
      </c>
      <c r="O34" s="275" t="str">
        <f t="shared" si="29"/>
        <v>CWDV</v>
      </c>
    </row>
    <row r="35" spans="1:15">
      <c r="A35" s="19">
        <v>1</v>
      </c>
      <c r="B35" s="18" t="s">
        <v>57</v>
      </c>
      <c r="C35" s="17">
        <f t="shared" ref="C35:C40" si="30">C25</f>
        <v>0</v>
      </c>
      <c r="D35" s="118">
        <f t="shared" ref="D35:D41" si="31">+O25</f>
        <v>16994145</v>
      </c>
      <c r="E35" s="118">
        <v>0</v>
      </c>
      <c r="F35" s="118">
        <v>0</v>
      </c>
      <c r="G35" s="118">
        <f t="shared" ref="G35:G40" si="32">+D35+E35-F35</f>
        <v>16994145</v>
      </c>
      <c r="H35" s="118">
        <f t="shared" ref="H35:H40" si="33">+G35*C35</f>
        <v>0</v>
      </c>
      <c r="I35" s="118">
        <f t="shared" ref="I35:I40" si="34">+G35-H35</f>
        <v>16994145</v>
      </c>
      <c r="J35" s="118">
        <f t="shared" ref="J35:J40" si="35">I35</f>
        <v>16994145</v>
      </c>
      <c r="K35" s="118">
        <v>35000000</v>
      </c>
      <c r="L35" s="118">
        <v>0</v>
      </c>
      <c r="M35" s="118">
        <f t="shared" ref="M35:M40" si="36">+J35+K35-L35</f>
        <v>51994145</v>
      </c>
      <c r="N35" s="118">
        <f t="shared" ref="N35:N40" si="37">+M35*C35</f>
        <v>0</v>
      </c>
      <c r="O35" s="118">
        <f t="shared" ref="O35:O40" si="38">+M35-N35</f>
        <v>51994145</v>
      </c>
    </row>
    <row r="36" spans="1:15">
      <c r="A36" s="19">
        <v>2</v>
      </c>
      <c r="B36" s="18" t="s">
        <v>56</v>
      </c>
      <c r="C36" s="17">
        <f t="shared" si="30"/>
        <v>0.1</v>
      </c>
      <c r="D36" s="118">
        <f t="shared" si="31"/>
        <v>107125623.46359901</v>
      </c>
      <c r="E36" s="118">
        <v>5000000</v>
      </c>
      <c r="F36" s="118">
        <v>0</v>
      </c>
      <c r="G36" s="118">
        <f t="shared" si="32"/>
        <v>112125623.46359901</v>
      </c>
      <c r="H36" s="118">
        <f t="shared" si="33"/>
        <v>11212562.346359901</v>
      </c>
      <c r="I36" s="118">
        <f t="shared" si="34"/>
        <v>100913061.11723912</v>
      </c>
      <c r="J36" s="118">
        <f t="shared" si="35"/>
        <v>100913061.11723912</v>
      </c>
      <c r="K36" s="118">
        <v>0</v>
      </c>
      <c r="L36" s="118">
        <v>0</v>
      </c>
      <c r="M36" s="118">
        <f t="shared" si="36"/>
        <v>100913061.11723912</v>
      </c>
      <c r="N36" s="118">
        <f t="shared" si="37"/>
        <v>10091306.111723913</v>
      </c>
      <c r="O36" s="118">
        <f t="shared" si="38"/>
        <v>90821755.005515203</v>
      </c>
    </row>
    <row r="37" spans="1:15">
      <c r="A37" s="19">
        <v>3</v>
      </c>
      <c r="B37" s="18" t="s">
        <v>55</v>
      </c>
      <c r="C37" s="17">
        <f t="shared" si="30"/>
        <v>0</v>
      </c>
      <c r="D37" s="118">
        <f t="shared" si="31"/>
        <v>0</v>
      </c>
      <c r="E37" s="118">
        <v>10000000</v>
      </c>
      <c r="F37" s="118">
        <v>0</v>
      </c>
      <c r="G37" s="118">
        <f t="shared" si="32"/>
        <v>10000000</v>
      </c>
      <c r="H37" s="118">
        <f t="shared" si="33"/>
        <v>0</v>
      </c>
      <c r="I37" s="118">
        <f t="shared" si="34"/>
        <v>10000000</v>
      </c>
      <c r="J37" s="118">
        <f t="shared" si="35"/>
        <v>10000000</v>
      </c>
      <c r="K37" s="118">
        <v>20000000</v>
      </c>
      <c r="L37" s="118">
        <v>0</v>
      </c>
      <c r="M37" s="118">
        <f t="shared" si="36"/>
        <v>30000000</v>
      </c>
      <c r="N37" s="118">
        <f t="shared" si="37"/>
        <v>0</v>
      </c>
      <c r="O37" s="118">
        <f t="shared" si="38"/>
        <v>30000000</v>
      </c>
    </row>
    <row r="38" spans="1:15">
      <c r="A38" s="19">
        <v>4</v>
      </c>
      <c r="B38" s="18" t="s">
        <v>54</v>
      </c>
      <c r="C38" s="17">
        <f t="shared" si="30"/>
        <v>0.1</v>
      </c>
      <c r="D38" s="118">
        <f t="shared" si="31"/>
        <v>23727776.204043001</v>
      </c>
      <c r="E38" s="118">
        <v>1500000</v>
      </c>
      <c r="F38" s="118">
        <v>0</v>
      </c>
      <c r="G38" s="118">
        <f t="shared" si="32"/>
        <v>25227776.204043001</v>
      </c>
      <c r="H38" s="118">
        <f t="shared" si="33"/>
        <v>2522777.6204043003</v>
      </c>
      <c r="I38" s="118">
        <f t="shared" si="34"/>
        <v>22704998.583638702</v>
      </c>
      <c r="J38" s="118">
        <f t="shared" si="35"/>
        <v>22704998.583638702</v>
      </c>
      <c r="K38" s="118">
        <v>5000000</v>
      </c>
      <c r="L38" s="118">
        <v>0</v>
      </c>
      <c r="M38" s="118">
        <f t="shared" si="36"/>
        <v>27704998.583638702</v>
      </c>
      <c r="N38" s="118">
        <f t="shared" si="37"/>
        <v>2770499.8583638705</v>
      </c>
      <c r="O38" s="118">
        <f t="shared" si="38"/>
        <v>24934498.725274831</v>
      </c>
    </row>
    <row r="39" spans="1:15">
      <c r="A39" s="19">
        <v>5</v>
      </c>
      <c r="B39" s="18" t="s">
        <v>53</v>
      </c>
      <c r="C39" s="17">
        <f t="shared" si="30"/>
        <v>0.15</v>
      </c>
      <c r="D39" s="118">
        <f t="shared" si="31"/>
        <v>25609135.090522453</v>
      </c>
      <c r="E39" s="118">
        <v>1500000</v>
      </c>
      <c r="F39" s="118">
        <v>0</v>
      </c>
      <c r="G39" s="118">
        <f t="shared" si="32"/>
        <v>27109135.090522453</v>
      </c>
      <c r="H39" s="118">
        <f t="shared" si="33"/>
        <v>4066370.2635783679</v>
      </c>
      <c r="I39" s="118">
        <f t="shared" si="34"/>
        <v>23042764.826944087</v>
      </c>
      <c r="J39" s="118">
        <f t="shared" si="35"/>
        <v>23042764.826944087</v>
      </c>
      <c r="K39" s="118">
        <v>5000000</v>
      </c>
      <c r="L39" s="118">
        <v>0</v>
      </c>
      <c r="M39" s="118">
        <f t="shared" si="36"/>
        <v>28042764.826944087</v>
      </c>
      <c r="N39" s="118">
        <f t="shared" si="37"/>
        <v>4206414.7240416128</v>
      </c>
      <c r="O39" s="118">
        <f t="shared" si="38"/>
        <v>23836350.102902472</v>
      </c>
    </row>
    <row r="40" spans="1:15">
      <c r="A40" s="19">
        <v>6</v>
      </c>
      <c r="B40" s="18" t="s">
        <v>52</v>
      </c>
      <c r="C40" s="17">
        <f t="shared" si="30"/>
        <v>0.15</v>
      </c>
      <c r="D40" s="118">
        <f t="shared" si="31"/>
        <v>12946399.678643921</v>
      </c>
      <c r="E40" s="118">
        <v>2500000</v>
      </c>
      <c r="F40" s="118">
        <v>0</v>
      </c>
      <c r="G40" s="118">
        <f t="shared" si="32"/>
        <v>15446399.678643921</v>
      </c>
      <c r="H40" s="118">
        <f t="shared" si="33"/>
        <v>2316959.951796588</v>
      </c>
      <c r="I40" s="118">
        <f t="shared" si="34"/>
        <v>13129439.726847334</v>
      </c>
      <c r="J40" s="118">
        <f t="shared" si="35"/>
        <v>13129439.726847334</v>
      </c>
      <c r="K40" s="118">
        <v>20000000</v>
      </c>
      <c r="L40" s="118">
        <v>0</v>
      </c>
      <c r="M40" s="118">
        <f t="shared" si="36"/>
        <v>33129439.726847336</v>
      </c>
      <c r="N40" s="118">
        <f t="shared" si="37"/>
        <v>4969415.9590271004</v>
      </c>
      <c r="O40" s="118">
        <f t="shared" si="38"/>
        <v>28160023.767820235</v>
      </c>
    </row>
    <row r="41" spans="1:15">
      <c r="A41" s="16"/>
      <c r="B41" s="16" t="s">
        <v>3</v>
      </c>
      <c r="C41" s="15"/>
      <c r="D41" s="275">
        <f t="shared" si="31"/>
        <v>186403079.43680838</v>
      </c>
      <c r="E41" s="264">
        <f>SUM(E35:E40)</f>
        <v>20500000</v>
      </c>
      <c r="F41" s="264">
        <f>SUM(F35:F40)</f>
        <v>0</v>
      </c>
      <c r="G41" s="264">
        <f>SUM(G35:G40)</f>
        <v>206903079.43680838</v>
      </c>
      <c r="H41" s="264">
        <f>SUM(H35:H40)</f>
        <v>20118670.182139155</v>
      </c>
      <c r="I41" s="264">
        <f>SUM(I35:I40)</f>
        <v>186784409.25466922</v>
      </c>
      <c r="J41" s="118">
        <f>+T31</f>
        <v>0</v>
      </c>
      <c r="K41" s="275">
        <f>SUM(K35:K40)</f>
        <v>85000000</v>
      </c>
      <c r="L41" s="275">
        <f>SUM(L35:L40)</f>
        <v>0</v>
      </c>
      <c r="M41" s="275">
        <f>SUM(M35:M40)</f>
        <v>271784409.25466925</v>
      </c>
      <c r="N41" s="275">
        <f>SUM(N35:N40)</f>
        <v>22037636.653156497</v>
      </c>
      <c r="O41" s="275">
        <f>SUM(O35:O40)</f>
        <v>249746772.60151276</v>
      </c>
    </row>
    <row r="42" spans="1:15" ht="21" customHeight="1">
      <c r="A42" s="21"/>
      <c r="B42" s="21"/>
      <c r="C42" s="20"/>
      <c r="D42" s="119"/>
      <c r="E42" s="119"/>
      <c r="F42" s="119"/>
      <c r="G42" s="119"/>
      <c r="H42" s="119"/>
      <c r="I42" s="119"/>
      <c r="J42" s="119"/>
      <c r="K42" s="119"/>
      <c r="L42" s="119"/>
      <c r="M42" s="119"/>
      <c r="N42" s="119"/>
      <c r="O42" s="119"/>
    </row>
    <row r="43" spans="1:15">
      <c r="A43" s="1075" t="s">
        <v>60</v>
      </c>
      <c r="B43" s="1075" t="s">
        <v>0</v>
      </c>
      <c r="C43" s="1076" t="s">
        <v>59</v>
      </c>
      <c r="D43" s="1077" t="s">
        <v>58</v>
      </c>
      <c r="E43" s="1077"/>
      <c r="F43" s="1077"/>
      <c r="G43" s="1077"/>
      <c r="H43" s="1077"/>
      <c r="I43" s="1077"/>
      <c r="J43" s="1077" t="s">
        <v>725</v>
      </c>
      <c r="K43" s="1077"/>
      <c r="L43" s="1077"/>
      <c r="M43" s="1077"/>
      <c r="N43" s="1077"/>
      <c r="O43" s="1077"/>
    </row>
    <row r="44" spans="1:15">
      <c r="A44" s="1075"/>
      <c r="B44" s="1075"/>
      <c r="C44" s="1076"/>
      <c r="D44" s="275" t="str">
        <f t="shared" ref="D44:O44" si="39">D34</f>
        <v>OWDV</v>
      </c>
      <c r="E44" s="275" t="str">
        <f t="shared" si="39"/>
        <v>Addition</v>
      </c>
      <c r="F44" s="275" t="str">
        <f t="shared" si="39"/>
        <v>Deletion</v>
      </c>
      <c r="G44" s="275" t="str">
        <f t="shared" si="39"/>
        <v>Closing</v>
      </c>
      <c r="H44" s="275" t="str">
        <f t="shared" si="39"/>
        <v>Dep.</v>
      </c>
      <c r="I44" s="275" t="str">
        <f t="shared" si="39"/>
        <v>CWDV</v>
      </c>
      <c r="J44" s="275" t="str">
        <f t="shared" si="39"/>
        <v>OWDV</v>
      </c>
      <c r="K44" s="275" t="str">
        <f t="shared" si="39"/>
        <v>Addition</v>
      </c>
      <c r="L44" s="275" t="str">
        <f t="shared" si="39"/>
        <v>Deletion</v>
      </c>
      <c r="M44" s="275" t="str">
        <f t="shared" si="39"/>
        <v>Closing</v>
      </c>
      <c r="N44" s="275" t="str">
        <f t="shared" si="39"/>
        <v>Dep.</v>
      </c>
      <c r="O44" s="275" t="str">
        <f t="shared" si="39"/>
        <v>CWDV</v>
      </c>
    </row>
    <row r="45" spans="1:15">
      <c r="A45" s="19">
        <v>1</v>
      </c>
      <c r="B45" s="18" t="s">
        <v>57</v>
      </c>
      <c r="C45" s="17">
        <f t="shared" ref="C45:C50" si="40">C35</f>
        <v>0</v>
      </c>
      <c r="D45" s="118">
        <f t="shared" ref="D45:D50" si="41">O35</f>
        <v>51994145</v>
      </c>
      <c r="E45" s="118">
        <v>35000000</v>
      </c>
      <c r="F45" s="118">
        <v>0</v>
      </c>
      <c r="G45" s="118">
        <f t="shared" ref="G45:G50" si="42">+D45+E45-F45</f>
        <v>86994145</v>
      </c>
      <c r="H45" s="118">
        <f t="shared" ref="H45:H50" si="43">+G45*C45</f>
        <v>0</v>
      </c>
      <c r="I45" s="118">
        <f t="shared" ref="I45:I50" si="44">+G45-H45</f>
        <v>86994145</v>
      </c>
      <c r="J45" s="118">
        <f t="shared" ref="J45:J50" si="45">I45</f>
        <v>86994145</v>
      </c>
      <c r="K45" s="118">
        <v>0</v>
      </c>
      <c r="L45" s="118">
        <v>0</v>
      </c>
      <c r="M45" s="118">
        <f t="shared" ref="M45:M50" si="46">+J45+K45-L45</f>
        <v>86994145</v>
      </c>
      <c r="N45" s="118">
        <f t="shared" ref="N45:N50" si="47">+M45*C45</f>
        <v>0</v>
      </c>
      <c r="O45" s="118">
        <f t="shared" ref="O45:O50" si="48">+M45-N45</f>
        <v>86994145</v>
      </c>
    </row>
    <row r="46" spans="1:15">
      <c r="A46" s="19">
        <v>2</v>
      </c>
      <c r="B46" s="18" t="s">
        <v>56</v>
      </c>
      <c r="C46" s="17">
        <f t="shared" si="40"/>
        <v>0.1</v>
      </c>
      <c r="D46" s="118">
        <f t="shared" si="41"/>
        <v>90821755.005515203</v>
      </c>
      <c r="E46" s="118">
        <v>0</v>
      </c>
      <c r="F46" s="118">
        <v>0</v>
      </c>
      <c r="G46" s="118">
        <f t="shared" si="42"/>
        <v>90821755.005515203</v>
      </c>
      <c r="H46" s="118">
        <f t="shared" si="43"/>
        <v>9082175.5005515199</v>
      </c>
      <c r="I46" s="118">
        <f t="shared" si="44"/>
        <v>81739579.504963681</v>
      </c>
      <c r="J46" s="118">
        <f t="shared" si="45"/>
        <v>81739579.504963681</v>
      </c>
      <c r="K46" s="118">
        <f>L47</f>
        <v>52500000</v>
      </c>
      <c r="L46" s="118">
        <v>0</v>
      </c>
      <c r="M46" s="118">
        <f t="shared" si="46"/>
        <v>134239579.5049637</v>
      </c>
      <c r="N46" s="118">
        <f t="shared" si="47"/>
        <v>13423957.95049637</v>
      </c>
      <c r="O46" s="118">
        <f t="shared" si="48"/>
        <v>120815621.55446732</v>
      </c>
    </row>
    <row r="47" spans="1:15">
      <c r="A47" s="19">
        <v>3</v>
      </c>
      <c r="B47" s="18" t="s">
        <v>55</v>
      </c>
      <c r="C47" s="17">
        <f t="shared" si="40"/>
        <v>0</v>
      </c>
      <c r="D47" s="118">
        <f t="shared" si="41"/>
        <v>30000000</v>
      </c>
      <c r="E47" s="118">
        <v>22500000</v>
      </c>
      <c r="F47" s="118">
        <v>0</v>
      </c>
      <c r="G47" s="118">
        <f t="shared" si="42"/>
        <v>52500000</v>
      </c>
      <c r="H47" s="118">
        <f t="shared" si="43"/>
        <v>0</v>
      </c>
      <c r="I47" s="118">
        <f t="shared" si="44"/>
        <v>52500000</v>
      </c>
      <c r="J47" s="118">
        <f t="shared" si="45"/>
        <v>52500000</v>
      </c>
      <c r="K47" s="118">
        <v>27500000</v>
      </c>
      <c r="L47" s="118">
        <f>J47</f>
        <v>52500000</v>
      </c>
      <c r="M47" s="118">
        <f t="shared" si="46"/>
        <v>27500000</v>
      </c>
      <c r="N47" s="118">
        <f t="shared" si="47"/>
        <v>0</v>
      </c>
      <c r="O47" s="118">
        <f t="shared" si="48"/>
        <v>27500000</v>
      </c>
    </row>
    <row r="48" spans="1:15">
      <c r="A48" s="19">
        <v>4</v>
      </c>
      <c r="B48" s="18" t="s">
        <v>54</v>
      </c>
      <c r="C48" s="17">
        <f t="shared" si="40"/>
        <v>0.1</v>
      </c>
      <c r="D48" s="118">
        <f t="shared" si="41"/>
        <v>24934498.725274831</v>
      </c>
      <c r="E48" s="118">
        <v>12500000</v>
      </c>
      <c r="F48" s="118">
        <v>0</v>
      </c>
      <c r="G48" s="118">
        <f t="shared" si="42"/>
        <v>37434498.725274831</v>
      </c>
      <c r="H48" s="118">
        <f t="shared" si="43"/>
        <v>3743449.8725274834</v>
      </c>
      <c r="I48" s="118">
        <f t="shared" si="44"/>
        <v>33691048.852747351</v>
      </c>
      <c r="J48" s="118">
        <f t="shared" si="45"/>
        <v>33691048.852747351</v>
      </c>
      <c r="K48" s="118">
        <v>18000000</v>
      </c>
      <c r="L48" s="118">
        <v>0</v>
      </c>
      <c r="M48" s="118">
        <f t="shared" si="46"/>
        <v>51691048.852747351</v>
      </c>
      <c r="N48" s="118">
        <f t="shared" si="47"/>
        <v>5169104.8852747353</v>
      </c>
      <c r="O48" s="118">
        <f t="shared" si="48"/>
        <v>46521943.967472613</v>
      </c>
    </row>
    <row r="49" spans="1:15">
      <c r="A49" s="19">
        <v>5</v>
      </c>
      <c r="B49" s="18" t="s">
        <v>53</v>
      </c>
      <c r="C49" s="17">
        <f t="shared" si="40"/>
        <v>0.15</v>
      </c>
      <c r="D49" s="118">
        <f t="shared" si="41"/>
        <v>23836350.102902472</v>
      </c>
      <c r="E49" s="118">
        <v>5000000</v>
      </c>
      <c r="F49" s="118">
        <v>0</v>
      </c>
      <c r="G49" s="118">
        <f t="shared" si="42"/>
        <v>28836350.102902472</v>
      </c>
      <c r="H49" s="118">
        <f t="shared" si="43"/>
        <v>4325452.5154353706</v>
      </c>
      <c r="I49" s="118">
        <f t="shared" si="44"/>
        <v>24510897.5874671</v>
      </c>
      <c r="J49" s="118">
        <f t="shared" si="45"/>
        <v>24510897.5874671</v>
      </c>
      <c r="K49" s="118">
        <v>16000000</v>
      </c>
      <c r="L49" s="118">
        <v>0</v>
      </c>
      <c r="M49" s="118">
        <f t="shared" si="46"/>
        <v>40510897.587467104</v>
      </c>
      <c r="N49" s="118">
        <f t="shared" si="47"/>
        <v>6076634.6381200654</v>
      </c>
      <c r="O49" s="118">
        <f t="shared" si="48"/>
        <v>34434262.949347042</v>
      </c>
    </row>
    <row r="50" spans="1:15">
      <c r="A50" s="19">
        <v>6</v>
      </c>
      <c r="B50" s="18" t="s">
        <v>52</v>
      </c>
      <c r="C50" s="17">
        <f t="shared" si="40"/>
        <v>0.15</v>
      </c>
      <c r="D50" s="118">
        <f t="shared" si="41"/>
        <v>28160023.767820235</v>
      </c>
      <c r="E50" s="118">
        <v>15000000</v>
      </c>
      <c r="F50" s="118">
        <v>0</v>
      </c>
      <c r="G50" s="118">
        <f t="shared" si="42"/>
        <v>43160023.767820239</v>
      </c>
      <c r="H50" s="118">
        <f t="shared" si="43"/>
        <v>6474003.5651730355</v>
      </c>
      <c r="I50" s="118">
        <f t="shared" si="44"/>
        <v>36686020.202647202</v>
      </c>
      <c r="J50" s="118">
        <f t="shared" si="45"/>
        <v>36686020.202647202</v>
      </c>
      <c r="K50" s="118">
        <v>27500000</v>
      </c>
      <c r="L50" s="118">
        <v>0</v>
      </c>
      <c r="M50" s="118">
        <f t="shared" si="46"/>
        <v>64186020.202647202</v>
      </c>
      <c r="N50" s="118">
        <f t="shared" si="47"/>
        <v>9627903.0303970799</v>
      </c>
      <c r="O50" s="118">
        <f t="shared" si="48"/>
        <v>54558117.172250122</v>
      </c>
    </row>
    <row r="51" spans="1:15">
      <c r="A51" s="16"/>
      <c r="B51" s="16" t="s">
        <v>3</v>
      </c>
      <c r="C51" s="274"/>
      <c r="D51" s="275">
        <f>SUM(D45:D50)</f>
        <v>249746772.60151276</v>
      </c>
      <c r="E51" s="275">
        <f t="shared" ref="E51:J51" si="49">SUM(E45:E50)</f>
        <v>90000000</v>
      </c>
      <c r="F51" s="275">
        <f t="shared" si="49"/>
        <v>0</v>
      </c>
      <c r="G51" s="275">
        <f t="shared" si="49"/>
        <v>339746772.60151279</v>
      </c>
      <c r="H51" s="275">
        <f t="shared" si="49"/>
        <v>23625081.453687407</v>
      </c>
      <c r="I51" s="275">
        <f t="shared" si="49"/>
        <v>316121691.14782536</v>
      </c>
      <c r="J51" s="275">
        <f t="shared" si="49"/>
        <v>316121691.14782536</v>
      </c>
      <c r="K51" s="275">
        <f>SUM(K45:K50)</f>
        <v>141500000</v>
      </c>
      <c r="L51" s="275">
        <f>SUM(L45:L50)</f>
        <v>52500000</v>
      </c>
      <c r="M51" s="275">
        <f>SUM(M45:M50)</f>
        <v>405121691.14782536</v>
      </c>
      <c r="N51" s="275">
        <f>SUM(N45:N50)</f>
        <v>34297600.504288256</v>
      </c>
      <c r="O51" s="275">
        <f>SUM(O45:O50)</f>
        <v>370824090.64353704</v>
      </c>
    </row>
  </sheetData>
  <mergeCells count="25">
    <mergeCell ref="J3:O3"/>
    <mergeCell ref="J13:O13"/>
    <mergeCell ref="A23:A24"/>
    <mergeCell ref="B23:B24"/>
    <mergeCell ref="C23:C24"/>
    <mergeCell ref="D23:I23"/>
    <mergeCell ref="J23:O23"/>
    <mergeCell ref="D13:I13"/>
    <mergeCell ref="A13:A14"/>
    <mergeCell ref="B13:B14"/>
    <mergeCell ref="C13:C14"/>
    <mergeCell ref="D3:I3"/>
    <mergeCell ref="C3:C4"/>
    <mergeCell ref="B3:B4"/>
    <mergeCell ref="A3:A4"/>
    <mergeCell ref="A43:A44"/>
    <mergeCell ref="B43:B44"/>
    <mergeCell ref="C43:C44"/>
    <mergeCell ref="D43:I43"/>
    <mergeCell ref="J33:O33"/>
    <mergeCell ref="J43:O43"/>
    <mergeCell ref="A33:A34"/>
    <mergeCell ref="B33:B34"/>
    <mergeCell ref="C33:C34"/>
    <mergeCell ref="D33:I33"/>
  </mergeCells>
  <printOptions horizontalCentered="1"/>
  <pageMargins left="0.16" right="0.16" top="0.32" bottom="0.66" header="0.3" footer="0.66"/>
  <pageSetup scale="25"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2:K57"/>
  <sheetViews>
    <sheetView topLeftCell="A49" workbookViewId="0">
      <selection activeCell="B13" sqref="B13"/>
    </sheetView>
  </sheetViews>
  <sheetFormatPr defaultRowHeight="12.75"/>
  <cols>
    <col min="2" max="2" width="21.5703125" style="1" customWidth="1"/>
    <col min="3" max="3" width="9.85546875" style="1" customWidth="1"/>
    <col min="4" max="4" width="10.28515625" style="1" customWidth="1"/>
    <col min="5" max="5" width="9.42578125" style="1" customWidth="1"/>
    <col min="7" max="7" width="9.85546875" style="1" customWidth="1"/>
    <col min="8" max="8" width="19.42578125" style="1" customWidth="1"/>
    <col min="10" max="10" width="9.28515625" style="1" customWidth="1"/>
  </cols>
  <sheetData>
    <row r="2" spans="1:11">
      <c r="G2" s="3"/>
    </row>
    <row r="4" spans="1:11">
      <c r="A4" s="4" t="s">
        <v>9</v>
      </c>
      <c r="B4" s="5" t="s">
        <v>21</v>
      </c>
      <c r="C4" s="6">
        <v>2000</v>
      </c>
      <c r="D4" s="6">
        <v>2001</v>
      </c>
      <c r="E4" s="6">
        <v>2002</v>
      </c>
      <c r="F4" s="6">
        <v>2003</v>
      </c>
    </row>
    <row r="5" spans="1:11">
      <c r="A5" s="4"/>
      <c r="B5" s="5"/>
      <c r="C5" s="6" t="s">
        <v>22</v>
      </c>
      <c r="D5" s="6" t="s">
        <v>22</v>
      </c>
      <c r="E5" s="6" t="s">
        <v>23</v>
      </c>
      <c r="F5" s="6" t="s">
        <v>1</v>
      </c>
    </row>
    <row r="6" spans="1:11">
      <c r="A6" s="4">
        <v>1</v>
      </c>
      <c r="B6" s="5" t="s">
        <v>24</v>
      </c>
      <c r="C6" s="7" t="e">
        <f>#REF!</f>
        <v>#REF!</v>
      </c>
      <c r="D6" s="7" t="e">
        <f>#REF!</f>
        <v>#REF!</v>
      </c>
      <c r="E6" s="7" t="e">
        <f>#REF!</f>
        <v>#REF!</v>
      </c>
      <c r="F6" s="7" t="e">
        <f>NA()</f>
        <v>#N/A</v>
      </c>
    </row>
    <row r="7" spans="1:11">
      <c r="A7" s="4">
        <v>2</v>
      </c>
      <c r="B7" s="5" t="s">
        <v>25</v>
      </c>
      <c r="C7" s="7" t="e">
        <f>NA()</f>
        <v>#N/A</v>
      </c>
      <c r="D7" s="7" t="e">
        <f>NA()</f>
        <v>#N/A</v>
      </c>
      <c r="E7" s="7" t="e">
        <f>NA()</f>
        <v>#N/A</v>
      </c>
      <c r="F7" s="7" t="e">
        <f>NA()</f>
        <v>#N/A</v>
      </c>
      <c r="G7" s="3"/>
      <c r="H7" s="5"/>
      <c r="I7" s="5"/>
      <c r="J7" s="5"/>
      <c r="K7" s="5"/>
    </row>
    <row r="8" spans="1:11">
      <c r="A8" s="4">
        <v>3</v>
      </c>
      <c r="B8" s="5" t="s">
        <v>26</v>
      </c>
      <c r="C8" s="7" t="e">
        <f>#REF!</f>
        <v>#REF!</v>
      </c>
      <c r="D8" s="7" t="e">
        <f>#REF!</f>
        <v>#REF!</v>
      </c>
      <c r="E8" s="7" t="e">
        <f>#REF!</f>
        <v>#REF!</v>
      </c>
      <c r="F8" s="7" t="e">
        <f>NA()</f>
        <v>#N/A</v>
      </c>
      <c r="H8" s="5" t="s">
        <v>2</v>
      </c>
      <c r="I8" s="7" t="e">
        <f>'Financials improper'!E6</f>
        <v>#REF!</v>
      </c>
      <c r="J8" s="8" t="str">
        <f>"$#REF!.S44"</f>
        <v>$#REF!.S44</v>
      </c>
      <c r="K8" s="9" t="str">
        <f>"$#REF!.Z44"</f>
        <v>$#REF!.Z44</v>
      </c>
    </row>
    <row r="9" spans="1:11">
      <c r="A9" s="4">
        <v>4</v>
      </c>
      <c r="B9" s="5" t="s">
        <v>27</v>
      </c>
      <c r="C9" s="7" t="e">
        <f>#REF!</f>
        <v>#REF!</v>
      </c>
      <c r="D9" s="7" t="e">
        <f>#REF!</f>
        <v>#REF!</v>
      </c>
      <c r="E9" s="7" t="e">
        <f>#REF!</f>
        <v>#REF!</v>
      </c>
      <c r="F9" s="7" t="e">
        <f>NA()</f>
        <v>#N/A</v>
      </c>
      <c r="H9" s="5" t="s">
        <v>25</v>
      </c>
      <c r="I9" s="7" t="e">
        <f>E7</f>
        <v>#N/A</v>
      </c>
      <c r="J9" s="10" t="str">
        <f>"$#REF!.S47"</f>
        <v>$#REF!.S47</v>
      </c>
      <c r="K9" s="10" t="str">
        <f>"$#REF!.Z47"</f>
        <v>$#REF!.Z47</v>
      </c>
    </row>
    <row r="10" spans="1:11">
      <c r="A10" s="4">
        <v>5</v>
      </c>
      <c r="B10" s="5" t="s">
        <v>28</v>
      </c>
      <c r="C10" s="7" t="e">
        <f>NA()</f>
        <v>#N/A</v>
      </c>
      <c r="D10" s="7" t="e">
        <f>NA()</f>
        <v>#N/A</v>
      </c>
      <c r="E10" s="7" t="e">
        <f>NA()</f>
        <v>#N/A</v>
      </c>
      <c r="F10" s="7" t="e">
        <f>NA()</f>
        <v>#N/A</v>
      </c>
      <c r="H10" s="5" t="s">
        <v>19</v>
      </c>
      <c r="I10" s="7" t="e">
        <f>E9</f>
        <v>#REF!</v>
      </c>
      <c r="J10" s="10" t="str">
        <f>"$#REF!.S48"</f>
        <v>$#REF!.S48</v>
      </c>
      <c r="K10" s="10" t="str">
        <f>"$#REF!.Z48"</f>
        <v>$#REF!.Z48</v>
      </c>
    </row>
    <row r="11" spans="1:11">
      <c r="A11" s="4">
        <v>6</v>
      </c>
      <c r="B11" s="5" t="s">
        <v>29</v>
      </c>
      <c r="C11" s="11" t="e">
        <f>C7/C6</f>
        <v>#N/A</v>
      </c>
      <c r="D11" s="11" t="e">
        <f>D7/D6</f>
        <v>#N/A</v>
      </c>
      <c r="E11" s="11" t="e">
        <f>E7/E6</f>
        <v>#N/A</v>
      </c>
      <c r="F11" s="11" t="e">
        <f>F7/F6</f>
        <v>#N/A</v>
      </c>
      <c r="H11" s="5" t="s">
        <v>30</v>
      </c>
      <c r="I11" s="12" t="e">
        <f>E11</f>
        <v>#N/A</v>
      </c>
      <c r="J11" s="12" t="str">
        <f>"$#REF!.S49"</f>
        <v>$#REF!.S49</v>
      </c>
      <c r="K11" s="12" t="str">
        <f>"$#REF!.Z49"</f>
        <v>$#REF!.Z49</v>
      </c>
    </row>
    <row r="12" spans="1:11">
      <c r="A12" s="4">
        <v>7</v>
      </c>
      <c r="B12" s="5" t="s">
        <v>31</v>
      </c>
      <c r="C12" s="11" t="e">
        <f>C9/C6</f>
        <v>#REF!</v>
      </c>
      <c r="D12" s="11" t="e">
        <f>D9/D6</f>
        <v>#REF!</v>
      </c>
      <c r="E12" s="11" t="e">
        <f>E9/E6</f>
        <v>#REF!</v>
      </c>
      <c r="F12" s="11" t="e">
        <f>F9/F6</f>
        <v>#N/A</v>
      </c>
      <c r="H12" s="5" t="s">
        <v>32</v>
      </c>
      <c r="I12" s="12" t="e">
        <f>E12</f>
        <v>#REF!</v>
      </c>
      <c r="J12" s="12" t="str">
        <f>"$#REF!.S50"</f>
        <v>$#REF!.S50</v>
      </c>
      <c r="K12" s="12" t="str">
        <f>"$#REF!.Z50"</f>
        <v>$#REF!.Z50</v>
      </c>
    </row>
    <row r="13" spans="1:11">
      <c r="A13" s="4">
        <v>8</v>
      </c>
      <c r="B13" s="5" t="s">
        <v>33</v>
      </c>
      <c r="C13" s="11" t="e">
        <f>#REF!/#REF!</f>
        <v>#REF!</v>
      </c>
      <c r="D13" s="11" t="e">
        <f>#REF!/#REF!</f>
        <v>#REF!</v>
      </c>
      <c r="E13" s="11" t="e">
        <f>#REF!/#REF!</f>
        <v>#REF!</v>
      </c>
      <c r="F13" s="11" t="e">
        <f>NA()</f>
        <v>#N/A</v>
      </c>
    </row>
    <row r="14" spans="1:11">
      <c r="A14" s="4">
        <v>9</v>
      </c>
      <c r="B14" s="5" t="s">
        <v>34</v>
      </c>
      <c r="C14" s="7" t="e">
        <f>#REF!</f>
        <v>#REF!</v>
      </c>
      <c r="D14" s="7" t="e">
        <f>#REF!</f>
        <v>#REF!</v>
      </c>
      <c r="E14" s="7" t="e">
        <f>#REF!</f>
        <v>#REF!</v>
      </c>
      <c r="F14" s="7" t="e">
        <f>NA()</f>
        <v>#N/A</v>
      </c>
    </row>
    <row r="15" spans="1:11">
      <c r="A15" s="4">
        <v>10</v>
      </c>
      <c r="B15" s="5" t="s">
        <v>35</v>
      </c>
      <c r="C15" s="7" t="e">
        <f>#REF!</f>
        <v>#REF!</v>
      </c>
      <c r="D15" s="7" t="e">
        <f>#REF!</f>
        <v>#REF!</v>
      </c>
      <c r="E15" s="7" t="e">
        <f>#REF!</f>
        <v>#REF!</v>
      </c>
      <c r="F15" s="7" t="e">
        <f>NA()</f>
        <v>#N/A</v>
      </c>
    </row>
    <row r="16" spans="1:11">
      <c r="A16" s="4">
        <v>11</v>
      </c>
      <c r="B16" s="5" t="s">
        <v>36</v>
      </c>
      <c r="C16" s="7" t="e">
        <f>#REF!</f>
        <v>#REF!</v>
      </c>
      <c r="D16" s="7" t="e">
        <f>#REF!</f>
        <v>#REF!</v>
      </c>
      <c r="E16" s="7" t="e">
        <f>#REF!</f>
        <v>#REF!</v>
      </c>
      <c r="F16" s="7" t="e">
        <f>NA()</f>
        <v>#N/A</v>
      </c>
    </row>
    <row r="17" spans="1:10">
      <c r="A17" s="4">
        <v>12</v>
      </c>
      <c r="B17" s="5" t="s">
        <v>20</v>
      </c>
      <c r="C17" s="7" t="e">
        <f>#REF!-#REF!</f>
        <v>#REF!</v>
      </c>
      <c r="D17" s="7" t="e">
        <f>#REF!-#REF!</f>
        <v>#REF!</v>
      </c>
      <c r="E17" s="7" t="e">
        <f>#REF!-#REF!</f>
        <v>#REF!</v>
      </c>
      <c r="F17" s="7" t="e">
        <f>NA()</f>
        <v>#N/A</v>
      </c>
    </row>
    <row r="18" spans="1:10">
      <c r="A18" s="4">
        <v>13</v>
      </c>
      <c r="B18" s="5" t="s">
        <v>37</v>
      </c>
      <c r="C18" s="7" t="e">
        <f>NA()</f>
        <v>#N/A</v>
      </c>
      <c r="D18" s="7" t="e">
        <f>NA()</f>
        <v>#N/A</v>
      </c>
      <c r="E18" s="7" t="e">
        <f>NA()</f>
        <v>#N/A</v>
      </c>
      <c r="F18" s="7" t="e">
        <f>NA()</f>
        <v>#N/A</v>
      </c>
      <c r="H18" s="1">
        <f>(1.0002)^365</f>
        <v>1.0757226851573212</v>
      </c>
    </row>
    <row r="19" spans="1:10">
      <c r="A19" s="4">
        <v>14</v>
      </c>
      <c r="B19" s="5" t="s">
        <v>38</v>
      </c>
      <c r="C19" s="7" t="e">
        <f>C17-C18</f>
        <v>#REF!</v>
      </c>
      <c r="D19" s="7" t="e">
        <f>D17-D18</f>
        <v>#REF!</v>
      </c>
      <c r="E19" s="7" t="e">
        <f>E17-E18</f>
        <v>#REF!</v>
      </c>
      <c r="F19" s="7" t="e">
        <f>F17-F18</f>
        <v>#N/A</v>
      </c>
    </row>
    <row r="20" spans="1:10">
      <c r="A20" s="4">
        <v>15</v>
      </c>
      <c r="B20" s="5" t="s">
        <v>39</v>
      </c>
      <c r="C20" s="7" t="e">
        <f>#REF!/'Financials improper'!C17</f>
        <v>#REF!</v>
      </c>
      <c r="D20" s="7" t="e">
        <f>#REF!/'Financials improper'!D17</f>
        <v>#REF!</v>
      </c>
      <c r="E20" s="7" t="e">
        <f>#REF!/'Financials improper'!E17</f>
        <v>#REF!</v>
      </c>
      <c r="F20" s="7" t="e">
        <f>NA()</f>
        <v>#N/A</v>
      </c>
    </row>
    <row r="21" spans="1:10">
      <c r="A21" s="4">
        <v>16</v>
      </c>
      <c r="B21" s="5" t="s">
        <v>40</v>
      </c>
      <c r="C21" s="7" t="e">
        <f>NA()</f>
        <v>#N/A</v>
      </c>
      <c r="D21" s="7" t="e">
        <f>NA()</f>
        <v>#N/A</v>
      </c>
      <c r="E21" s="7" t="e">
        <f>NA()</f>
        <v>#N/A</v>
      </c>
      <c r="F21" s="7" t="e">
        <f>NA()</f>
        <v>#N/A</v>
      </c>
      <c r="I21" s="1">
        <v>2000</v>
      </c>
      <c r="J21" s="1">
        <v>2001</v>
      </c>
    </row>
    <row r="22" spans="1:10">
      <c r="A22" s="4">
        <v>17</v>
      </c>
      <c r="B22" s="5" t="s">
        <v>8</v>
      </c>
      <c r="C22" s="7" t="e">
        <f>#REF!/'Financials improper'!C17</f>
        <v>#REF!</v>
      </c>
      <c r="D22" s="7" t="e">
        <f>#REF!/'Financials improper'!D17</f>
        <v>#REF!</v>
      </c>
      <c r="E22" s="7" t="e">
        <f>#REF!/'Financials improper'!E17</f>
        <v>#REF!</v>
      </c>
      <c r="F22" s="7" t="e">
        <f>NA()</f>
        <v>#N/A</v>
      </c>
      <c r="I22" s="1">
        <f>61.15/(27.38+23.03)</f>
        <v>1.2130529656814124</v>
      </c>
      <c r="J22" s="1">
        <f>52.58/(21.65+23.2)</f>
        <v>1.1723522853957637</v>
      </c>
    </row>
    <row r="23" spans="1:10">
      <c r="A23" s="4">
        <v>18</v>
      </c>
      <c r="B23" s="5" t="s">
        <v>41</v>
      </c>
      <c r="C23" s="7" t="e">
        <f>#REF!</f>
        <v>#REF!</v>
      </c>
      <c r="D23" s="7" t="e">
        <f>#REF!</f>
        <v>#REF!</v>
      </c>
      <c r="E23" s="7" t="e">
        <f>#REF!</f>
        <v>#REF!</v>
      </c>
      <c r="F23" s="7" t="e">
        <f>NA()</f>
        <v>#N/A</v>
      </c>
      <c r="I23" s="1">
        <f>(36.34+27.38)/39.1</f>
        <v>1.6296675191815857</v>
      </c>
      <c r="J23" s="1">
        <f>(36.13+21.66)/39.1</f>
        <v>1.4780051150895142</v>
      </c>
    </row>
    <row r="24" spans="1:10">
      <c r="A24" s="4">
        <v>19</v>
      </c>
      <c r="B24" s="5" t="s">
        <v>5</v>
      </c>
      <c r="C24" s="7" t="e">
        <f>#REF!</f>
        <v>#REF!</v>
      </c>
      <c r="D24" s="7" t="e">
        <f>#REF!</f>
        <v>#REF!</v>
      </c>
      <c r="E24" s="7" t="e">
        <f>#REF!</f>
        <v>#REF!</v>
      </c>
      <c r="F24" s="7" t="e">
        <f>NA()</f>
        <v>#N/A</v>
      </c>
    </row>
    <row r="25" spans="1:10">
      <c r="A25" s="4">
        <v>20</v>
      </c>
      <c r="B25" s="5" t="s">
        <v>7</v>
      </c>
      <c r="C25" s="7" t="e">
        <f>C23-C24</f>
        <v>#REF!</v>
      </c>
      <c r="D25" s="7" t="e">
        <f>D23-D24</f>
        <v>#REF!</v>
      </c>
      <c r="E25" s="7" t="e">
        <f>E23-E24</f>
        <v>#REF!</v>
      </c>
      <c r="F25" s="7" t="e">
        <f>F23-F24</f>
        <v>#N/A</v>
      </c>
    </row>
    <row r="26" spans="1:10">
      <c r="A26" s="4">
        <v>21</v>
      </c>
      <c r="B26" s="5" t="s">
        <v>10</v>
      </c>
      <c r="C26" s="7" t="e">
        <f>C23/C24</f>
        <v>#REF!</v>
      </c>
      <c r="D26" s="7" t="e">
        <f>D23/D24</f>
        <v>#REF!</v>
      </c>
      <c r="E26" s="7" t="e">
        <f>E23/E24</f>
        <v>#REF!</v>
      </c>
      <c r="F26" s="7" t="e">
        <f>F23/F24</f>
        <v>#N/A</v>
      </c>
    </row>
    <row r="30" spans="1:10">
      <c r="B30" s="2" t="s">
        <v>42</v>
      </c>
    </row>
    <row r="32" spans="1:10">
      <c r="B32" s="5" t="s">
        <v>21</v>
      </c>
      <c r="C32" s="5" t="e">
        <f>#REF!</f>
        <v>#REF!</v>
      </c>
      <c r="D32" s="5" t="e">
        <f>#REF!</f>
        <v>#REF!</v>
      </c>
      <c r="E32" s="5" t="e">
        <f>NA()</f>
        <v>#N/A</v>
      </c>
    </row>
    <row r="33" spans="2:6">
      <c r="B33" s="5" t="s">
        <v>11</v>
      </c>
      <c r="C33" s="7" t="e">
        <f>#REF!</f>
        <v>#REF!</v>
      </c>
      <c r="D33" s="7" t="e">
        <f>#REF!</f>
        <v>#REF!</v>
      </c>
      <c r="E33" s="7" t="e">
        <f>NA()</f>
        <v>#N/A</v>
      </c>
    </row>
    <row r="34" spans="2:6">
      <c r="B34" s="5" t="s">
        <v>43</v>
      </c>
      <c r="C34" s="7" t="e">
        <f>#REF!</f>
        <v>#REF!</v>
      </c>
      <c r="D34" s="7" t="e">
        <f>#REF!</f>
        <v>#REF!</v>
      </c>
      <c r="E34" s="7" t="e">
        <f>NA()</f>
        <v>#N/A</v>
      </c>
    </row>
    <row r="35" spans="2:6">
      <c r="B35" s="5" t="s">
        <v>12</v>
      </c>
      <c r="C35" s="7" t="e">
        <f>#REF!</f>
        <v>#REF!</v>
      </c>
      <c r="D35" s="7" t="e">
        <f>#REF!</f>
        <v>#REF!</v>
      </c>
      <c r="E35" s="7" t="e">
        <f>NA()</f>
        <v>#N/A</v>
      </c>
    </row>
    <row r="36" spans="2:6">
      <c r="B36" s="5" t="s">
        <v>44</v>
      </c>
      <c r="C36" s="11" t="e">
        <f>C35/#REF!</f>
        <v>#REF!</v>
      </c>
      <c r="D36" s="11" t="e">
        <f>D35/#REF!</f>
        <v>#REF!</v>
      </c>
      <c r="E36" s="11" t="e">
        <f>NA()</f>
        <v>#N/A</v>
      </c>
    </row>
    <row r="38" spans="2:6">
      <c r="B38" s="2" t="s">
        <v>13</v>
      </c>
    </row>
    <row r="39" spans="2:6">
      <c r="B39" s="5" t="s">
        <v>21</v>
      </c>
      <c r="C39" s="5" t="e">
        <f>#REF!</f>
        <v>#REF!</v>
      </c>
      <c r="D39" s="5" t="e">
        <f>#REF!</f>
        <v>#REF!</v>
      </c>
      <c r="E39" s="5" t="e">
        <f>#REF!</f>
        <v>#REF!</v>
      </c>
      <c r="F39" s="5" t="e">
        <f>NA()</f>
        <v>#N/A</v>
      </c>
    </row>
    <row r="40" spans="2:6">
      <c r="B40" s="5" t="s">
        <v>14</v>
      </c>
      <c r="C40" s="11" t="e">
        <f>#REF!/#REF!</f>
        <v>#REF!</v>
      </c>
      <c r="D40" s="11" t="e">
        <f>#REF!/#REF!</f>
        <v>#REF!</v>
      </c>
      <c r="E40" s="11" t="e">
        <f>#REF!/#REF!</f>
        <v>#REF!</v>
      </c>
      <c r="F40" s="11" t="e">
        <f>NA()</f>
        <v>#N/A</v>
      </c>
    </row>
    <row r="41" spans="2:6">
      <c r="B41" s="5" t="s">
        <v>15</v>
      </c>
      <c r="C41" s="11" t="e">
        <f>NA()</f>
        <v>#N/A</v>
      </c>
      <c r="D41" s="11" t="e">
        <f>NA()</f>
        <v>#N/A</v>
      </c>
      <c r="E41" s="11" t="e">
        <f>NA()</f>
        <v>#N/A</v>
      </c>
      <c r="F41" s="11" t="e">
        <f>NA()</f>
        <v>#N/A</v>
      </c>
    </row>
    <row r="42" spans="2:6">
      <c r="B42" s="5" t="s">
        <v>45</v>
      </c>
      <c r="C42" s="11" t="e">
        <f>#REF!/#REF!</f>
        <v>#REF!</v>
      </c>
      <c r="D42" s="11" t="e">
        <f>#REF!/#REF!</f>
        <v>#REF!</v>
      </c>
      <c r="E42" s="11" t="e">
        <f>#REF!/#REF!</f>
        <v>#REF!</v>
      </c>
      <c r="F42" s="11" t="e">
        <f>NA()</f>
        <v>#N/A</v>
      </c>
    </row>
    <row r="43" spans="2:6">
      <c r="B43" s="5" t="s">
        <v>7</v>
      </c>
      <c r="C43" s="11" t="e">
        <f>1-(C40+C41+C42)</f>
        <v>#REF!</v>
      </c>
      <c r="D43" s="11" t="e">
        <f>1-(D40+D41+D42)</f>
        <v>#REF!</v>
      </c>
      <c r="E43" s="11" t="e">
        <f>1-(E40+E41+E42)</f>
        <v>#REF!</v>
      </c>
      <c r="F43" s="11" t="e">
        <f>1-(F40+F41+F42)</f>
        <v>#N/A</v>
      </c>
    </row>
    <row r="44" spans="2:6">
      <c r="B44" s="5"/>
      <c r="C44" s="12" t="e">
        <f>SUM(C40:C43)</f>
        <v>#REF!</v>
      </c>
      <c r="D44" s="12" t="e">
        <f>SUM(D40:D43)</f>
        <v>#REF!</v>
      </c>
      <c r="E44" s="12" t="e">
        <f>SUM(E40:E43)</f>
        <v>#REF!</v>
      </c>
      <c r="F44" s="12" t="e">
        <f>SUM(F40:F43)</f>
        <v>#N/A</v>
      </c>
    </row>
    <row r="47" spans="2:6">
      <c r="B47" s="2" t="s">
        <v>46</v>
      </c>
    </row>
    <row r="48" spans="2:6">
      <c r="B48" s="5" t="s">
        <v>21</v>
      </c>
      <c r="C48" s="5" t="e">
        <f>#REF!</f>
        <v>#REF!</v>
      </c>
      <c r="D48" s="5" t="e">
        <f>#REF!</f>
        <v>#REF!</v>
      </c>
      <c r="E48" s="5" t="e">
        <f>NA()</f>
        <v>#N/A</v>
      </c>
    </row>
    <row r="49" spans="2:5">
      <c r="B49" s="5" t="s">
        <v>47</v>
      </c>
      <c r="C49" s="7" t="e">
        <f>NA()</f>
        <v>#N/A</v>
      </c>
      <c r="D49" s="7" t="e">
        <f>NA()</f>
        <v>#N/A</v>
      </c>
      <c r="E49" s="7" t="e">
        <f>NA()</f>
        <v>#N/A</v>
      </c>
    </row>
    <row r="50" spans="2:5">
      <c r="B50" s="5" t="s">
        <v>48</v>
      </c>
      <c r="C50" s="7" t="e">
        <f>#REF!-#REF!</f>
        <v>#REF!</v>
      </c>
      <c r="D50" s="7" t="e">
        <f>#REF!-#REF!</f>
        <v>#REF!</v>
      </c>
      <c r="E50" s="7" t="e">
        <f>NA()</f>
        <v>#N/A</v>
      </c>
    </row>
    <row r="51" spans="2:5">
      <c r="B51" s="5" t="s">
        <v>17</v>
      </c>
      <c r="C51" s="7" t="e">
        <f>C49-C50</f>
        <v>#N/A</v>
      </c>
      <c r="D51" s="7" t="e">
        <f>D49-D50</f>
        <v>#N/A</v>
      </c>
      <c r="E51" s="7" t="e">
        <f>E49-E50</f>
        <v>#N/A</v>
      </c>
    </row>
    <row r="53" spans="2:5">
      <c r="B53" s="2" t="s">
        <v>49</v>
      </c>
    </row>
    <row r="54" spans="2:5">
      <c r="B54" s="5" t="s">
        <v>21</v>
      </c>
      <c r="C54" s="5" t="e">
        <f>#REF!</f>
        <v>#REF!</v>
      </c>
      <c r="D54" s="5" t="e">
        <f>#REF!</f>
        <v>#REF!</v>
      </c>
      <c r="E54" s="5" t="e">
        <f>NA()</f>
        <v>#N/A</v>
      </c>
    </row>
    <row r="55" spans="2:5">
      <c r="B55" s="5" t="s">
        <v>50</v>
      </c>
      <c r="C55" s="7" t="e">
        <f>#REF!</f>
        <v>#REF!</v>
      </c>
      <c r="D55" s="7" t="e">
        <f>#REF!</f>
        <v>#REF!</v>
      </c>
      <c r="E55" s="7" t="e">
        <f>NA()</f>
        <v>#N/A</v>
      </c>
    </row>
    <row r="56" spans="2:5">
      <c r="B56" s="5" t="s">
        <v>51</v>
      </c>
      <c r="C56" s="7" t="e">
        <f>((#REF!-#REF!)-(#REF!-#REF!))</f>
        <v>#REF!</v>
      </c>
      <c r="D56" s="7" t="e">
        <f>((#REF!-#REF!)-(#REF!-#REF!))</f>
        <v>#REF!</v>
      </c>
      <c r="E56" s="7" t="e">
        <f>NA()</f>
        <v>#N/A</v>
      </c>
    </row>
    <row r="57" spans="2:5">
      <c r="B57" s="5" t="s">
        <v>17</v>
      </c>
      <c r="C57" s="7" t="e">
        <f>C55-C56</f>
        <v>#REF!</v>
      </c>
      <c r="D57" s="7" t="e">
        <f>D55-D56</f>
        <v>#REF!</v>
      </c>
      <c r="E57" s="7" t="e">
        <f>E55-E56</f>
        <v>#N/A</v>
      </c>
    </row>
  </sheetData>
  <sheetProtection selectLockedCells="1" selectUnlockedCells="1"/>
  <pageMargins left="0.78749999999999998" right="0.78749999999999998" top="0.78749999999999998" bottom="0.78749999999999998" header="0.51180555555555551" footer="0.51180555555555551"/>
  <pageSetup paperSize="9" scale="68" firstPageNumber="0" orientation="landscape"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
  <sheetViews>
    <sheetView workbookViewId="0"/>
  </sheetViews>
  <sheetFormatPr defaultColWidth="11.7109375" defaultRowHeight="12.75"/>
  <sheetData/>
  <sheetProtection selectLockedCells="1" selectUnlockedCells="1"/>
  <pageMargins left="0.78749999999999998" right="0.78749999999999998" top="0.78749999999999998" bottom="0.78749999999999998" header="0.51180555555555551" footer="0.51180555555555551"/>
  <pageSetup paperSize="9" orientation="portrait" useFirstPageNumber="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Q76"/>
  <sheetViews>
    <sheetView view="pageBreakPreview" topLeftCell="A22" zoomScale="90" zoomScaleSheetLayoutView="90" workbookViewId="0">
      <selection activeCell="C1" sqref="C1"/>
    </sheetView>
  </sheetViews>
  <sheetFormatPr defaultRowHeight="12.75"/>
  <cols>
    <col min="1" max="1" width="31" style="207" bestFit="1" customWidth="1"/>
    <col min="2" max="2" width="10.42578125" style="208" bestFit="1" customWidth="1"/>
    <col min="3" max="3" width="11.140625" style="208" bestFit="1" customWidth="1"/>
    <col min="4" max="4" width="11.7109375" style="208" bestFit="1" customWidth="1"/>
    <col min="5" max="5" width="11.5703125" style="208" customWidth="1"/>
    <col min="6" max="6" width="11.140625" style="208" customWidth="1"/>
    <col min="7" max="8" width="9.140625" style="207" customWidth="1"/>
    <col min="9" max="9" width="10" style="207" bestFit="1" customWidth="1"/>
    <col min="10" max="10" width="11.28515625" style="207" bestFit="1" customWidth="1"/>
    <col min="11" max="11" width="11.140625" style="207" customWidth="1"/>
    <col min="12" max="12" width="10.85546875" style="207" customWidth="1"/>
    <col min="13" max="13" width="11.28515625" style="207" customWidth="1"/>
    <col min="14" max="15" width="9.140625" style="207" hidden="1" customWidth="1"/>
    <col min="16" max="16384" width="9.140625" style="207"/>
  </cols>
  <sheetData>
    <row r="2" spans="1:17">
      <c r="A2" s="893" t="str">
        <f>+'BANK CMA'!A2:J2</f>
        <v>M/s SANSKAR BHARTI FOUNDATION</v>
      </c>
      <c r="B2" s="893"/>
      <c r="C2" s="893"/>
      <c r="D2" s="893"/>
      <c r="E2" s="223"/>
      <c r="F2" s="224"/>
      <c r="G2" s="223"/>
      <c r="H2" s="225"/>
      <c r="I2" s="223"/>
      <c r="J2" s="225"/>
    </row>
    <row r="4" spans="1:17">
      <c r="F4" s="222" t="s">
        <v>591</v>
      </c>
    </row>
    <row r="5" spans="1:17">
      <c r="F5" s="222"/>
    </row>
    <row r="6" spans="1:17" ht="15">
      <c r="A6" s="221" t="s">
        <v>505</v>
      </c>
      <c r="B6" s="213" t="str">
        <f>+'BANK CMA'!B6</f>
        <v>31.03.12</v>
      </c>
      <c r="C6" s="213" t="str">
        <f>+'BANK CMA'!C6</f>
        <v>31.03.13</v>
      </c>
      <c r="D6" s="213" t="str">
        <f>+'BANK CMA'!D6</f>
        <v>31.03.14</v>
      </c>
      <c r="E6" s="213" t="str">
        <f>+'BANK CMA'!E6</f>
        <v>31.03.15</v>
      </c>
      <c r="F6" s="213" t="str">
        <f>+'BANK CMA'!F6</f>
        <v>31.03.16</v>
      </c>
      <c r="G6" s="213" t="str">
        <f>+'BANK CMA'!G6</f>
        <v>31.03.17</v>
      </c>
      <c r="H6" s="213" t="str">
        <f>+'BANK CMA'!H6</f>
        <v>31.03.18</v>
      </c>
      <c r="I6" s="213" t="str">
        <f>+'BANK CMA'!I6</f>
        <v>31.03.19</v>
      </c>
      <c r="J6" s="213" t="str">
        <f>+'BANK CMA'!J6</f>
        <v>31.03.20</v>
      </c>
      <c r="K6" s="213" t="str">
        <f>+'BANK CMA'!K6</f>
        <v>31.03.21</v>
      </c>
      <c r="L6" s="213" t="str">
        <f>+'BANK CMA'!L6</f>
        <v>31.03.22</v>
      </c>
      <c r="M6" s="213" t="str">
        <f>+'BANK CMA'!M6</f>
        <v>31.03.23</v>
      </c>
      <c r="N6" s="213" t="str">
        <f>+'BANK CMA'!N6</f>
        <v>31.03.20</v>
      </c>
      <c r="O6" s="213" t="str">
        <f>+'BANK CMA'!O6</f>
        <v>31.03.21</v>
      </c>
    </row>
    <row r="7" spans="1:17">
      <c r="A7" s="214"/>
      <c r="B7" s="213" t="str">
        <f>+'BANK CMA'!B7</f>
        <v>AUDITED</v>
      </c>
      <c r="C7" s="213" t="str">
        <f>+'BANK CMA'!C7</f>
        <v>AUDITED</v>
      </c>
      <c r="D7" s="213" t="str">
        <f>+'BANK CMA'!D7</f>
        <v>Prov.</v>
      </c>
      <c r="E7" s="213" t="str">
        <f>+'BANK CMA'!E7</f>
        <v>Proj.</v>
      </c>
      <c r="F7" s="213" t="str">
        <f>+'BANK CMA'!F7</f>
        <v>Proj.</v>
      </c>
      <c r="G7" s="213" t="str">
        <f>+'BANK CMA'!G7</f>
        <v>Proj.</v>
      </c>
      <c r="H7" s="213" t="str">
        <f>+'BANK CMA'!H7</f>
        <v>Proj.</v>
      </c>
      <c r="I7" s="213" t="str">
        <f>+'BANK CMA'!I7</f>
        <v>Proj.</v>
      </c>
      <c r="J7" s="213" t="str">
        <f>+'BANK CMA'!J7</f>
        <v>Proj.</v>
      </c>
      <c r="K7" s="213" t="str">
        <f>+'BANK CMA'!K7</f>
        <v>Proj.</v>
      </c>
      <c r="L7" s="213" t="str">
        <f>+'BANK CMA'!L7</f>
        <v>Proj.</v>
      </c>
      <c r="M7" s="213" t="str">
        <f>+'BANK CMA'!M7</f>
        <v>Proj.</v>
      </c>
      <c r="N7" s="213" t="str">
        <f>+'BANK CMA'!N7</f>
        <v>Proj.</v>
      </c>
      <c r="O7" s="213" t="str">
        <f>+'BANK CMA'!O7</f>
        <v>Proj.</v>
      </c>
    </row>
    <row r="8" spans="1:17">
      <c r="A8" s="216"/>
      <c r="B8" s="220"/>
      <c r="C8" s="220"/>
      <c r="D8" s="220"/>
      <c r="E8" s="220"/>
      <c r="F8" s="220"/>
      <c r="G8" s="220"/>
      <c r="H8" s="220"/>
      <c r="I8" s="220"/>
      <c r="J8" s="220"/>
      <c r="K8" s="220"/>
      <c r="L8" s="220"/>
      <c r="M8" s="220"/>
      <c r="N8" s="220"/>
    </row>
    <row r="9" spans="1:17">
      <c r="A9" s="216" t="s">
        <v>590</v>
      </c>
      <c r="B9" s="215">
        <f>+'BANK CMA'!B198</f>
        <v>161.12524730000001</v>
      </c>
      <c r="C9" s="215">
        <f>+'BANK CMA'!C198</f>
        <v>161.12524730000001</v>
      </c>
      <c r="D9" s="215">
        <f>+'BANK CMA'!D198</f>
        <v>161.12524730000001</v>
      </c>
      <c r="E9" s="215">
        <f>+'BANK CMA'!E198</f>
        <v>161.12524730000001</v>
      </c>
      <c r="F9" s="215">
        <f>+'BANK CMA'!F198</f>
        <v>161.12524730000001</v>
      </c>
      <c r="G9" s="215">
        <f>+'BANK CMA'!G198</f>
        <v>161.12524730000001</v>
      </c>
      <c r="H9" s="215">
        <f>+'BANK CMA'!H198</f>
        <v>161.12524730000001</v>
      </c>
      <c r="I9" s="215">
        <f>+'BANK CMA'!I198</f>
        <v>161.12524730000001</v>
      </c>
      <c r="J9" s="215">
        <f>+'BANK CMA'!J198</f>
        <v>161.12524730000001</v>
      </c>
      <c r="K9" s="215">
        <f>+'BANK CMA'!K198</f>
        <v>161.12524730000001</v>
      </c>
      <c r="L9" s="215">
        <f>+'BANK CMA'!L198</f>
        <v>161.12524730000001</v>
      </c>
      <c r="M9" s="215">
        <f>+'BANK CMA'!M198</f>
        <v>161.12524730000001</v>
      </c>
      <c r="N9" s="215">
        <f>+'BANK CMA'!N198</f>
        <v>161.12524730000001</v>
      </c>
      <c r="O9" s="215">
        <f>+'BANK CMA'!O198</f>
        <v>161.12524730000001</v>
      </c>
    </row>
    <row r="10" spans="1:17">
      <c r="A10" s="216" t="s">
        <v>581</v>
      </c>
      <c r="B10" s="215">
        <v>0</v>
      </c>
      <c r="C10" s="215">
        <v>0</v>
      </c>
      <c r="D10" s="215">
        <v>0</v>
      </c>
      <c r="E10" s="215">
        <v>0</v>
      </c>
      <c r="F10" s="215">
        <v>0</v>
      </c>
      <c r="G10" s="215">
        <v>0</v>
      </c>
      <c r="H10" s="215">
        <v>0</v>
      </c>
      <c r="I10" s="215">
        <v>0</v>
      </c>
      <c r="J10" s="215">
        <v>0</v>
      </c>
      <c r="K10" s="215">
        <v>0</v>
      </c>
      <c r="L10" s="215">
        <v>0</v>
      </c>
      <c r="M10" s="215">
        <v>0</v>
      </c>
      <c r="N10" s="215">
        <v>0</v>
      </c>
      <c r="O10" s="215">
        <v>0</v>
      </c>
    </row>
    <row r="11" spans="1:17" ht="25.5">
      <c r="A11" s="216" t="s">
        <v>589</v>
      </c>
      <c r="B11" s="215">
        <f>+'BANK CMA'!B202+'BANK CMA'!B208</f>
        <v>-277.66532999999998</v>
      </c>
      <c r="C11" s="215">
        <f>+'BANK CMA'!C202+'BANK CMA'!C208</f>
        <v>-342.08619999999996</v>
      </c>
      <c r="D11" s="215" t="e">
        <f>+'BANK CMA'!D202+'BANK CMA'!D208</f>
        <v>#REF!</v>
      </c>
      <c r="E11" s="215" t="e">
        <f>+'BANK CMA'!E202+'BANK CMA'!E208</f>
        <v>#REF!</v>
      </c>
      <c r="F11" s="215" t="e">
        <f>+'BANK CMA'!F202+'BANK CMA'!F208</f>
        <v>#REF!</v>
      </c>
      <c r="G11" s="215" t="e">
        <f>+'BANK CMA'!G202+'BANK CMA'!G208</f>
        <v>#REF!</v>
      </c>
      <c r="H11" s="215" t="e">
        <f>+'BANK CMA'!H202+'BANK CMA'!H208</f>
        <v>#REF!</v>
      </c>
      <c r="I11" s="215" t="e">
        <f>+'BANK CMA'!I202+'BANK CMA'!I208</f>
        <v>#REF!</v>
      </c>
      <c r="J11" s="215" t="e">
        <f>+'BANK CMA'!J202+'BANK CMA'!J208</f>
        <v>#REF!</v>
      </c>
      <c r="K11" s="215" t="e">
        <f>+'BANK CMA'!K202</f>
        <v>#REF!</v>
      </c>
      <c r="L11" s="215" t="e">
        <f>+'BANK CMA'!L202</f>
        <v>#REF!</v>
      </c>
      <c r="M11" s="215" t="e">
        <f>+'BANK CMA'!M202</f>
        <v>#REF!</v>
      </c>
      <c r="N11" s="215" t="e">
        <f>+'BANK CMA'!N202</f>
        <v>#REF!</v>
      </c>
      <c r="O11" s="215" t="e">
        <f>+'BANK CMA'!O202</f>
        <v>#REF!</v>
      </c>
    </row>
    <row r="12" spans="1:17">
      <c r="A12" s="217" t="s">
        <v>588</v>
      </c>
      <c r="B12" s="215">
        <f>+'BANK CMA'!B300</f>
        <v>2.0517300000000001</v>
      </c>
      <c r="C12" s="215">
        <f>+'BANK CMA'!C300</f>
        <v>1.5388001</v>
      </c>
      <c r="D12" s="215">
        <f>+'BANK CMA'!D300</f>
        <v>0.76940005</v>
      </c>
      <c r="E12" s="215">
        <f>+'BANK CMA'!E300</f>
        <v>0</v>
      </c>
      <c r="F12" s="215">
        <f>+'BANK CMA'!F300</f>
        <v>0</v>
      </c>
      <c r="G12" s="215">
        <f>+'BANK CMA'!G300</f>
        <v>0</v>
      </c>
      <c r="H12" s="215">
        <f>+'BANK CMA'!H300</f>
        <v>0</v>
      </c>
      <c r="I12" s="215">
        <f>+'BANK CMA'!I300</f>
        <v>0</v>
      </c>
      <c r="J12" s="215">
        <f>+'BANK CMA'!J300</f>
        <v>0</v>
      </c>
      <c r="K12" s="215">
        <f>+'BANK CMA'!K300</f>
        <v>0</v>
      </c>
      <c r="L12" s="215">
        <f>+'BANK CMA'!L300</f>
        <v>0</v>
      </c>
      <c r="M12" s="215">
        <f>+'BANK CMA'!M300</f>
        <v>0</v>
      </c>
      <c r="N12" s="215">
        <f>+'BANK CMA'!N300</f>
        <v>0</v>
      </c>
      <c r="O12" s="215">
        <f>+'BANK CMA'!O300</f>
        <v>0</v>
      </c>
    </row>
    <row r="13" spans="1:17">
      <c r="A13" s="217" t="s">
        <v>587</v>
      </c>
      <c r="B13" s="215"/>
      <c r="C13" s="215"/>
      <c r="D13" s="215"/>
      <c r="E13" s="215"/>
      <c r="F13" s="215"/>
      <c r="G13" s="215"/>
      <c r="H13" s="215"/>
      <c r="I13" s="215"/>
      <c r="J13" s="215"/>
      <c r="K13" s="215"/>
      <c r="L13" s="215"/>
      <c r="M13" s="215"/>
      <c r="N13" s="215"/>
    </row>
    <row r="14" spans="1:17">
      <c r="A14" s="217" t="s">
        <v>586</v>
      </c>
      <c r="B14" s="215">
        <f>+'BANK CMA'!B206</f>
        <v>0</v>
      </c>
      <c r="C14" s="215">
        <f>+'BANK CMA'!C206</f>
        <v>0</v>
      </c>
      <c r="D14" s="215">
        <f>+'BANK CMA'!D206</f>
        <v>0</v>
      </c>
      <c r="E14" s="215">
        <f>+'BANK CMA'!E206</f>
        <v>0</v>
      </c>
      <c r="F14" s="215">
        <f>+'BANK CMA'!F206</f>
        <v>0</v>
      </c>
      <c r="G14" s="215">
        <f>+'BANK CMA'!G206</f>
        <v>0</v>
      </c>
      <c r="H14" s="215">
        <f>+'BANK CMA'!H206</f>
        <v>0</v>
      </c>
      <c r="I14" s="215">
        <f>+'BANK CMA'!I206</f>
        <v>0</v>
      </c>
      <c r="J14" s="215">
        <f>+'BANK CMA'!J206</f>
        <v>0</v>
      </c>
      <c r="K14" s="215">
        <f>+'BANK CMA'!K206</f>
        <v>0</v>
      </c>
      <c r="L14" s="215">
        <f>+'BANK CMA'!L206</f>
        <v>0</v>
      </c>
      <c r="M14" s="215">
        <f>+'BANK CMA'!M206</f>
        <v>0</v>
      </c>
      <c r="N14" s="215">
        <f>+'BANK CMA'!N206</f>
        <v>220.52</v>
      </c>
      <c r="O14" s="215">
        <f>+'BANK CMA'!O206</f>
        <v>220.52</v>
      </c>
    </row>
    <row r="15" spans="1:17">
      <c r="A15" s="214" t="s">
        <v>244</v>
      </c>
      <c r="B15" s="213">
        <f t="shared" ref="B15:O15" si="0">+B9+B10+B11-B12-B13+B14</f>
        <v>-118.59181269999998</v>
      </c>
      <c r="C15" s="213">
        <f t="shared" si="0"/>
        <v>-182.49975279999995</v>
      </c>
      <c r="D15" s="213" t="e">
        <f t="shared" si="0"/>
        <v>#REF!</v>
      </c>
      <c r="E15" s="213" t="e">
        <f t="shared" si="0"/>
        <v>#REF!</v>
      </c>
      <c r="F15" s="213" t="e">
        <f t="shared" si="0"/>
        <v>#REF!</v>
      </c>
      <c r="G15" s="213" t="e">
        <f>+G9+G10+G11-G12-G13+G14</f>
        <v>#REF!</v>
      </c>
      <c r="H15" s="213" t="e">
        <f>+H9+H10+H11-H12-H13+H14</f>
        <v>#REF!</v>
      </c>
      <c r="I15" s="213" t="e">
        <f t="shared" si="0"/>
        <v>#REF!</v>
      </c>
      <c r="J15" s="213" t="e">
        <f t="shared" si="0"/>
        <v>#REF!</v>
      </c>
      <c r="K15" s="213" t="e">
        <f t="shared" si="0"/>
        <v>#REF!</v>
      </c>
      <c r="L15" s="213" t="e">
        <f t="shared" si="0"/>
        <v>#REF!</v>
      </c>
      <c r="M15" s="213" t="e">
        <f t="shared" si="0"/>
        <v>#REF!</v>
      </c>
      <c r="N15" s="213" t="e">
        <f t="shared" si="0"/>
        <v>#REF!</v>
      </c>
      <c r="O15" s="213" t="e">
        <f t="shared" si="0"/>
        <v>#REF!</v>
      </c>
      <c r="P15" s="213"/>
      <c r="Q15" s="213"/>
    </row>
    <row r="16" spans="1:17" ht="25.5">
      <c r="A16" s="219" t="s">
        <v>585</v>
      </c>
      <c r="B16" s="215">
        <f>+'BANK CMA'!B287</f>
        <v>0</v>
      </c>
      <c r="C16" s="215">
        <f>+'BANK CMA'!C287</f>
        <v>0</v>
      </c>
      <c r="D16" s="215">
        <f>+'BANK CMA'!D287</f>
        <v>0</v>
      </c>
      <c r="E16" s="215">
        <f>+'BANK CMA'!E287</f>
        <v>0</v>
      </c>
      <c r="F16" s="215">
        <f>+'BANK CMA'!F287</f>
        <v>0</v>
      </c>
      <c r="G16" s="215">
        <f>+'BANK CMA'!G287</f>
        <v>0</v>
      </c>
      <c r="H16" s="215">
        <f>+'BANK CMA'!H287</f>
        <v>0</v>
      </c>
      <c r="I16" s="215">
        <f>+'BANK CMA'!I287</f>
        <v>0</v>
      </c>
      <c r="J16" s="215">
        <f>+'BANK CMA'!J287</f>
        <v>0</v>
      </c>
      <c r="K16" s="215">
        <f>+'BANK CMA'!K287</f>
        <v>0</v>
      </c>
      <c r="L16" s="215">
        <f>+'BANK CMA'!L287</f>
        <v>0</v>
      </c>
      <c r="M16" s="215">
        <f>+'BANK CMA'!M287</f>
        <v>0</v>
      </c>
      <c r="N16" s="215">
        <f>+'BANK CMA'!N287</f>
        <v>0</v>
      </c>
      <c r="O16" s="215">
        <f>+'BANK CMA'!O287</f>
        <v>0</v>
      </c>
    </row>
    <row r="17" spans="1:15">
      <c r="A17" s="218" t="s">
        <v>584</v>
      </c>
      <c r="B17" s="213">
        <f t="shared" ref="B17:O17" si="1">+B15-B16</f>
        <v>-118.59181269999998</v>
      </c>
      <c r="C17" s="213">
        <f t="shared" si="1"/>
        <v>-182.49975279999995</v>
      </c>
      <c r="D17" s="213" t="e">
        <f t="shared" si="1"/>
        <v>#REF!</v>
      </c>
      <c r="E17" s="213" t="e">
        <f t="shared" si="1"/>
        <v>#REF!</v>
      </c>
      <c r="F17" s="213" t="e">
        <f t="shared" si="1"/>
        <v>#REF!</v>
      </c>
      <c r="G17" s="213" t="e">
        <f>+G15-G16</f>
        <v>#REF!</v>
      </c>
      <c r="H17" s="213" t="e">
        <f>+H15-H16</f>
        <v>#REF!</v>
      </c>
      <c r="I17" s="213" t="e">
        <f t="shared" si="1"/>
        <v>#REF!</v>
      </c>
      <c r="J17" s="213" t="e">
        <f t="shared" si="1"/>
        <v>#REF!</v>
      </c>
      <c r="K17" s="213" t="e">
        <f t="shared" si="1"/>
        <v>#REF!</v>
      </c>
      <c r="L17" s="213" t="e">
        <f t="shared" si="1"/>
        <v>#REF!</v>
      </c>
      <c r="M17" s="213" t="e">
        <f t="shared" si="1"/>
        <v>#REF!</v>
      </c>
      <c r="N17" s="213" t="e">
        <f t="shared" si="1"/>
        <v>#REF!</v>
      </c>
      <c r="O17" s="213" t="e">
        <f t="shared" si="1"/>
        <v>#REF!</v>
      </c>
    </row>
    <row r="18" spans="1:15">
      <c r="A18" s="217" t="s">
        <v>583</v>
      </c>
      <c r="B18" s="215">
        <f>+'BANK CMA'!B181</f>
        <v>895.31170420000001</v>
      </c>
      <c r="C18" s="215">
        <f>+'BANK CMA'!C181</f>
        <v>822.91561999999999</v>
      </c>
      <c r="D18" s="215">
        <f>+'BANK CMA'!D181</f>
        <v>706.23523999999998</v>
      </c>
      <c r="E18" s="215">
        <f>+'BANK CMA'!E181</f>
        <v>1678.73603</v>
      </c>
      <c r="F18" s="215">
        <f>+'BANK CMA'!F181</f>
        <v>1505.5</v>
      </c>
      <c r="G18" s="215">
        <f>+'BANK CMA'!G181</f>
        <v>1280.5</v>
      </c>
      <c r="H18" s="215">
        <f>+'BANK CMA'!H181</f>
        <v>990.5</v>
      </c>
      <c r="I18" s="215">
        <f>+'BANK CMA'!I181</f>
        <v>600</v>
      </c>
      <c r="J18" s="215">
        <f>+'BANK CMA'!J181</f>
        <v>375</v>
      </c>
      <c r="K18" s="215">
        <f>+'BANK CMA'!K181</f>
        <v>75</v>
      </c>
      <c r="L18" s="215">
        <f>+'BANK CMA'!L181</f>
        <v>0</v>
      </c>
      <c r="M18" s="215">
        <f>+'BANK CMA'!M181</f>
        <v>0</v>
      </c>
      <c r="N18" s="215" t="e">
        <f>+'BANK CMA'!N181</f>
        <v>#REF!</v>
      </c>
      <c r="O18" s="215" t="e">
        <f>+'BANK CMA'!O181</f>
        <v>#REF!</v>
      </c>
    </row>
    <row r="19" spans="1:15">
      <c r="A19" s="217" t="s">
        <v>243</v>
      </c>
      <c r="B19" s="215">
        <f>+'BANK CMA'!B187</f>
        <v>283.26155999999997</v>
      </c>
      <c r="C19" s="215">
        <f>+'BANK CMA'!C187</f>
        <v>328.05522000000002</v>
      </c>
      <c r="D19" s="215">
        <f>+'BANK CMA'!D187</f>
        <v>310</v>
      </c>
      <c r="E19" s="215">
        <f>+'BANK CMA'!E187</f>
        <v>750</v>
      </c>
      <c r="F19" s="215">
        <f>+'BANK CMA'!F187</f>
        <v>750</v>
      </c>
      <c r="G19" s="215">
        <f>+'BANK CMA'!G187</f>
        <v>750</v>
      </c>
      <c r="H19" s="215">
        <f>+'BANK CMA'!H187</f>
        <v>750</v>
      </c>
      <c r="I19" s="215">
        <f>+'BANK CMA'!I187</f>
        <v>750</v>
      </c>
      <c r="J19" s="215">
        <f>+'BANK CMA'!J187</f>
        <v>750</v>
      </c>
      <c r="K19" s="215">
        <f>+'BANK CMA'!K187</f>
        <v>750</v>
      </c>
      <c r="L19" s="215">
        <f>+'BANK CMA'!L187</f>
        <v>750</v>
      </c>
      <c r="M19" s="215">
        <f>+'BANK CMA'!M187</f>
        <v>750</v>
      </c>
      <c r="N19" s="215">
        <f>+'BANK CMA'!N187</f>
        <v>717.78</v>
      </c>
      <c r="O19" s="215">
        <f>+'BANK CMA'!O187</f>
        <v>703.02</v>
      </c>
    </row>
    <row r="20" spans="1:15">
      <c r="A20" s="217" t="s">
        <v>582</v>
      </c>
      <c r="B20" s="215">
        <v>0</v>
      </c>
      <c r="C20" s="215">
        <v>0</v>
      </c>
      <c r="D20" s="215">
        <v>0</v>
      </c>
      <c r="E20" s="215">
        <v>0</v>
      </c>
      <c r="F20" s="215">
        <v>0</v>
      </c>
      <c r="G20" s="215">
        <v>0</v>
      </c>
      <c r="H20" s="215">
        <v>0</v>
      </c>
      <c r="I20" s="215">
        <v>0</v>
      </c>
      <c r="J20" s="215">
        <v>0</v>
      </c>
      <c r="K20" s="215">
        <v>0</v>
      </c>
      <c r="L20" s="215">
        <v>0</v>
      </c>
      <c r="M20" s="215">
        <v>0</v>
      </c>
      <c r="N20" s="215">
        <v>0</v>
      </c>
      <c r="O20" s="215">
        <v>0</v>
      </c>
    </row>
    <row r="21" spans="1:15">
      <c r="A21" s="217" t="s">
        <v>581</v>
      </c>
      <c r="B21" s="215">
        <v>0</v>
      </c>
      <c r="C21" s="215">
        <v>0</v>
      </c>
      <c r="D21" s="215">
        <v>0</v>
      </c>
      <c r="E21" s="215">
        <v>0</v>
      </c>
      <c r="F21" s="215">
        <v>0</v>
      </c>
      <c r="G21" s="215">
        <v>0</v>
      </c>
      <c r="H21" s="215">
        <v>0</v>
      </c>
      <c r="I21" s="215">
        <v>0</v>
      </c>
      <c r="J21" s="215">
        <v>0</v>
      </c>
      <c r="K21" s="215">
        <v>0</v>
      </c>
      <c r="L21" s="215">
        <v>0</v>
      </c>
      <c r="M21" s="215">
        <v>0</v>
      </c>
      <c r="N21" s="215">
        <v>0</v>
      </c>
      <c r="O21" s="215">
        <v>0</v>
      </c>
    </row>
    <row r="22" spans="1:15">
      <c r="A22" s="217" t="s">
        <v>580</v>
      </c>
      <c r="B22" s="215">
        <v>0</v>
      </c>
      <c r="C22" s="215">
        <v>0</v>
      </c>
      <c r="D22" s="215">
        <v>0</v>
      </c>
      <c r="E22" s="215">
        <v>0</v>
      </c>
      <c r="F22" s="215">
        <v>0</v>
      </c>
      <c r="G22" s="215">
        <v>0</v>
      </c>
      <c r="H22" s="215">
        <v>0</v>
      </c>
      <c r="I22" s="215">
        <f>+'BANK CMA'!I190</f>
        <v>0</v>
      </c>
      <c r="J22" s="215">
        <v>0</v>
      </c>
      <c r="K22" s="215">
        <v>0</v>
      </c>
      <c r="L22" s="215">
        <v>0</v>
      </c>
      <c r="M22" s="215">
        <v>0</v>
      </c>
      <c r="N22" s="215">
        <v>0</v>
      </c>
      <c r="O22" s="215">
        <v>0</v>
      </c>
    </row>
    <row r="23" spans="1:15">
      <c r="A23" s="214" t="s">
        <v>242</v>
      </c>
      <c r="B23" s="213">
        <f t="shared" ref="B23:O23" si="2">SUM(B18:B22)</f>
        <v>1178.5732642</v>
      </c>
      <c r="C23" s="213">
        <f t="shared" si="2"/>
        <v>1150.97084</v>
      </c>
      <c r="D23" s="213">
        <f t="shared" si="2"/>
        <v>1016.23524</v>
      </c>
      <c r="E23" s="213">
        <f t="shared" si="2"/>
        <v>2428.73603</v>
      </c>
      <c r="F23" s="213">
        <f t="shared" si="2"/>
        <v>2255.5</v>
      </c>
      <c r="G23" s="213">
        <f>SUM(G18:G22)</f>
        <v>2030.5</v>
      </c>
      <c r="H23" s="213">
        <f>SUM(H18:H22)</f>
        <v>1740.5</v>
      </c>
      <c r="I23" s="213">
        <f t="shared" si="2"/>
        <v>1350</v>
      </c>
      <c r="J23" s="213">
        <f t="shared" si="2"/>
        <v>1125</v>
      </c>
      <c r="K23" s="213">
        <f t="shared" si="2"/>
        <v>825</v>
      </c>
      <c r="L23" s="213">
        <f t="shared" si="2"/>
        <v>750</v>
      </c>
      <c r="M23" s="213">
        <f t="shared" si="2"/>
        <v>750</v>
      </c>
      <c r="N23" s="213" t="e">
        <f t="shared" si="2"/>
        <v>#REF!</v>
      </c>
      <c r="O23" s="213" t="e">
        <f t="shared" si="2"/>
        <v>#REF!</v>
      </c>
    </row>
    <row r="24" spans="1:15">
      <c r="A24" s="214" t="s">
        <v>241</v>
      </c>
      <c r="B24" s="213">
        <f t="shared" ref="B24:O24" si="3">+B15+B23</f>
        <v>1059.9814515</v>
      </c>
      <c r="C24" s="213">
        <f t="shared" si="3"/>
        <v>968.47108720000006</v>
      </c>
      <c r="D24" s="213" t="e">
        <f t="shared" si="3"/>
        <v>#REF!</v>
      </c>
      <c r="E24" s="213" t="e">
        <f t="shared" si="3"/>
        <v>#REF!</v>
      </c>
      <c r="F24" s="213" t="e">
        <f t="shared" si="3"/>
        <v>#REF!</v>
      </c>
      <c r="G24" s="213" t="e">
        <f>+G15+G23</f>
        <v>#REF!</v>
      </c>
      <c r="H24" s="213" t="e">
        <f>+H15+H23</f>
        <v>#REF!</v>
      </c>
      <c r="I24" s="213" t="e">
        <f t="shared" si="3"/>
        <v>#REF!</v>
      </c>
      <c r="J24" s="213" t="e">
        <f t="shared" si="3"/>
        <v>#REF!</v>
      </c>
      <c r="K24" s="213" t="e">
        <f t="shared" si="3"/>
        <v>#REF!</v>
      </c>
      <c r="L24" s="213" t="e">
        <f t="shared" si="3"/>
        <v>#REF!</v>
      </c>
      <c r="M24" s="213" t="e">
        <f t="shared" si="3"/>
        <v>#REF!</v>
      </c>
      <c r="N24" s="213" t="e">
        <f t="shared" si="3"/>
        <v>#REF!</v>
      </c>
      <c r="O24" s="213" t="e">
        <f t="shared" si="3"/>
        <v>#REF!</v>
      </c>
    </row>
    <row r="25" spans="1:15">
      <c r="A25" s="214"/>
      <c r="B25" s="213"/>
      <c r="C25" s="213"/>
      <c r="D25" s="213"/>
      <c r="E25" s="213"/>
      <c r="F25" s="213"/>
      <c r="G25" s="213"/>
      <c r="H25" s="213"/>
      <c r="I25" s="213"/>
      <c r="J25" s="213"/>
      <c r="K25" s="213"/>
      <c r="L25" s="213"/>
      <c r="M25" s="213"/>
      <c r="N25" s="213"/>
    </row>
    <row r="26" spans="1:15">
      <c r="A26" s="214" t="s">
        <v>5</v>
      </c>
      <c r="B26" s="213"/>
      <c r="C26" s="213"/>
      <c r="D26" s="213"/>
      <c r="E26" s="213"/>
      <c r="F26" s="213"/>
      <c r="G26" s="213"/>
      <c r="H26" s="213"/>
      <c r="I26" s="213"/>
      <c r="J26" s="213"/>
      <c r="K26" s="213"/>
      <c r="L26" s="213"/>
      <c r="M26" s="213"/>
      <c r="N26" s="213"/>
    </row>
    <row r="27" spans="1:15">
      <c r="A27" s="217" t="s">
        <v>579</v>
      </c>
      <c r="B27" s="215">
        <f>+'BANK CMA'!B138</f>
        <v>0</v>
      </c>
      <c r="C27" s="215">
        <f>+'BANK CMA'!C138</f>
        <v>0</v>
      </c>
      <c r="D27" s="215">
        <f>+'BANK CMA'!D138</f>
        <v>0</v>
      </c>
      <c r="E27" s="215">
        <f>+'BANK CMA'!E138</f>
        <v>0</v>
      </c>
      <c r="F27" s="215">
        <f>+'BANK CMA'!F138</f>
        <v>0</v>
      </c>
      <c r="G27" s="215">
        <f>+'BANK CMA'!G138</f>
        <v>0</v>
      </c>
      <c r="H27" s="215">
        <f>+'BANK CMA'!H138</f>
        <v>0</v>
      </c>
      <c r="I27" s="215">
        <f>+'BANK CMA'!I138</f>
        <v>0</v>
      </c>
      <c r="J27" s="215">
        <f>+'BANK CMA'!J138</f>
        <v>0</v>
      </c>
      <c r="K27" s="215">
        <f>+'BANK CMA'!K134</f>
        <v>0</v>
      </c>
      <c r="L27" s="215">
        <f>+'BANK CMA'!L134</f>
        <v>0</v>
      </c>
      <c r="M27" s="215">
        <f>+'BANK CMA'!M134</f>
        <v>0</v>
      </c>
      <c r="N27" s="215" t="e">
        <f>+'BANK CMA'!N134</f>
        <v>#REF!</v>
      </c>
      <c r="O27" s="215">
        <f>+'BANK CMA'!O134</f>
        <v>1000</v>
      </c>
    </row>
    <row r="28" spans="1:15">
      <c r="A28" s="217" t="s">
        <v>578</v>
      </c>
      <c r="B28" s="215">
        <f>+'BANK CMA'!B142</f>
        <v>31.3042373</v>
      </c>
      <c r="C28" s="215">
        <f>+'BANK CMA'!C142</f>
        <v>25.9422566</v>
      </c>
      <c r="D28" s="215">
        <f>+'BANK CMA'!D142</f>
        <v>35</v>
      </c>
      <c r="E28" s="215">
        <f>+'BANK CMA'!E142</f>
        <v>25</v>
      </c>
      <c r="F28" s="215">
        <f>+'BANK CMA'!F142</f>
        <v>25</v>
      </c>
      <c r="G28" s="215">
        <f>+'BANK CMA'!G142</f>
        <v>20</v>
      </c>
      <c r="H28" s="215">
        <f>+'BANK CMA'!H142</f>
        <v>20</v>
      </c>
      <c r="I28" s="215">
        <f>+'BANK CMA'!I142</f>
        <v>10</v>
      </c>
      <c r="J28" s="215">
        <f>+'BANK CMA'!J142</f>
        <v>10</v>
      </c>
      <c r="K28" s="215">
        <f>+'BANK CMA'!K142</f>
        <v>10</v>
      </c>
      <c r="L28" s="215">
        <f>+'BANK CMA'!L142</f>
        <v>10</v>
      </c>
      <c r="M28" s="215">
        <f>+'BANK CMA'!M142</f>
        <v>10</v>
      </c>
      <c r="N28" s="215">
        <f>+'BANK CMA'!N142</f>
        <v>1245</v>
      </c>
      <c r="O28" s="215">
        <f>+'BANK CMA'!O142</f>
        <v>1245</v>
      </c>
    </row>
    <row r="29" spans="1:15">
      <c r="A29" s="217" t="s">
        <v>358</v>
      </c>
      <c r="B29" s="215">
        <f>+'BANK CMA'!B143</f>
        <v>0</v>
      </c>
      <c r="C29" s="215">
        <f>+'BANK CMA'!C143</f>
        <v>0</v>
      </c>
      <c r="D29" s="215">
        <f>+'BANK CMA'!D143</f>
        <v>0</v>
      </c>
      <c r="E29" s="215">
        <f>+'BANK CMA'!E143</f>
        <v>0</v>
      </c>
      <c r="F29" s="215">
        <f>+'BANK CMA'!F143</f>
        <v>0</v>
      </c>
      <c r="G29" s="215">
        <f>+'BANK CMA'!G143</f>
        <v>0</v>
      </c>
      <c r="H29" s="215">
        <f>+'BANK CMA'!H143</f>
        <v>0</v>
      </c>
      <c r="I29" s="215">
        <f>+'BANK CMA'!I143</f>
        <v>0</v>
      </c>
      <c r="J29" s="215">
        <f>+'BANK CMA'!J143</f>
        <v>0</v>
      </c>
      <c r="K29" s="215">
        <v>0</v>
      </c>
      <c r="L29" s="215">
        <v>0</v>
      </c>
      <c r="M29" s="215">
        <v>0</v>
      </c>
      <c r="N29" s="215">
        <v>0</v>
      </c>
      <c r="O29" s="215">
        <v>0</v>
      </c>
    </row>
    <row r="30" spans="1:15" ht="25.5">
      <c r="A30" s="217" t="s">
        <v>577</v>
      </c>
      <c r="B30" s="215">
        <f>+'BANK CMA'!B147</f>
        <v>0</v>
      </c>
      <c r="C30" s="215">
        <f>+'BANK CMA'!C147</f>
        <v>0</v>
      </c>
      <c r="D30" s="215">
        <f>+'BANK CMA'!D147</f>
        <v>0</v>
      </c>
      <c r="E30" s="215">
        <f>+'BANK CMA'!E147</f>
        <v>0</v>
      </c>
      <c r="F30" s="215">
        <f>+'BANK CMA'!F147</f>
        <v>0</v>
      </c>
      <c r="G30" s="215">
        <f>+'BANK CMA'!G147</f>
        <v>0</v>
      </c>
      <c r="H30" s="215">
        <f>+'BANK CMA'!H147</f>
        <v>0</v>
      </c>
      <c r="I30" s="215">
        <f>+'BANK CMA'!I147</f>
        <v>0</v>
      </c>
      <c r="J30" s="215">
        <f>+'BANK CMA'!J147</f>
        <v>0</v>
      </c>
      <c r="K30" s="215">
        <f>+'BANK CMA'!K147</f>
        <v>0</v>
      </c>
      <c r="L30" s="215">
        <f>+'BANK CMA'!L147</f>
        <v>0</v>
      </c>
      <c r="M30" s="215">
        <f>+'BANK CMA'!M147</f>
        <v>0</v>
      </c>
      <c r="N30" s="215">
        <f>+'BANK CMA'!N147</f>
        <v>0</v>
      </c>
      <c r="O30" s="215">
        <f>+'BANK CMA'!O147</f>
        <v>0</v>
      </c>
    </row>
    <row r="31" spans="1:15">
      <c r="A31" s="268" t="s">
        <v>716</v>
      </c>
      <c r="B31" s="215">
        <f>+'BANK CMA'!B144</f>
        <v>29.78725</v>
      </c>
      <c r="C31" s="215">
        <f>+'BANK CMA'!C144</f>
        <v>19.530750000000001</v>
      </c>
      <c r="D31" s="215" t="e">
        <f>+'BANK CMA'!D144</f>
        <v>#REF!</v>
      </c>
      <c r="E31" s="215" t="e">
        <f>+'BANK CMA'!E144</f>
        <v>#REF!</v>
      </c>
      <c r="F31" s="215" t="e">
        <f>+'BANK CMA'!F144</f>
        <v>#REF!</v>
      </c>
      <c r="G31" s="215" t="e">
        <f>+'BANK CMA'!G144</f>
        <v>#REF!</v>
      </c>
      <c r="H31" s="215" t="e">
        <f>+'BANK CMA'!H144</f>
        <v>#REF!</v>
      </c>
      <c r="I31" s="215" t="e">
        <f>+'BANK CMA'!I144</f>
        <v>#REF!</v>
      </c>
      <c r="J31" s="215" t="e">
        <f>+'BANK CMA'!J144</f>
        <v>#REF!</v>
      </c>
      <c r="K31" s="215">
        <v>0</v>
      </c>
      <c r="L31" s="215">
        <v>0</v>
      </c>
      <c r="M31" s="215">
        <v>0</v>
      </c>
      <c r="N31" s="215">
        <v>0</v>
      </c>
      <c r="O31" s="215">
        <v>0</v>
      </c>
    </row>
    <row r="32" spans="1:15">
      <c r="A32" s="217" t="s">
        <v>576</v>
      </c>
      <c r="B32" s="215">
        <f>+'BANK CMA'!B158+'BANK CMA'!B159+'BANK CMA'!B161</f>
        <v>55.955129999999997</v>
      </c>
      <c r="C32" s="215">
        <f>+'BANK CMA'!C158+'BANK CMA'!C159+'BANK CMA'!C161</f>
        <v>61.493769999999998</v>
      </c>
      <c r="D32" s="215" t="e">
        <f>+'BANK CMA'!D158+'BANK CMA'!D159+'BANK CMA'!D161</f>
        <v>#REF!</v>
      </c>
      <c r="E32" s="215" t="e">
        <f>+'BANK CMA'!E158+'BANK CMA'!E159+'BANK CMA'!E161</f>
        <v>#REF!</v>
      </c>
      <c r="F32" s="215" t="e">
        <f>+'BANK CMA'!F158+'BANK CMA'!F159+'BANK CMA'!F161</f>
        <v>#REF!</v>
      </c>
      <c r="G32" s="215" t="e">
        <f>+'BANK CMA'!G158+'BANK CMA'!G159+'BANK CMA'!G161</f>
        <v>#REF!</v>
      </c>
      <c r="H32" s="215" t="e">
        <f>+'BANK CMA'!H158+'BANK CMA'!H159+'BANK CMA'!H161</f>
        <v>#REF!</v>
      </c>
      <c r="I32" s="215" t="e">
        <f>+'BANK CMA'!I158+'BANK CMA'!I159+'BANK CMA'!I161</f>
        <v>#REF!</v>
      </c>
      <c r="J32" s="215" t="e">
        <f>+'BANK CMA'!J158+'BANK CMA'!J159+'BANK CMA'!J161</f>
        <v>#REF!</v>
      </c>
      <c r="K32" s="215" t="e">
        <f>+'BANK CMA'!K158+'BANK CMA'!K159+'BANK CMA'!K161</f>
        <v>#REF!</v>
      </c>
      <c r="L32" s="215" t="e">
        <f>+'BANK CMA'!L158+'BANK CMA'!L159+'BANK CMA'!L161</f>
        <v>#REF!</v>
      </c>
      <c r="M32" s="215" t="e">
        <f>+'BANK CMA'!M158+'BANK CMA'!M159+'BANK CMA'!M161</f>
        <v>#REF!</v>
      </c>
      <c r="N32" s="215">
        <f>+'BANK CMA'!N158+'BANK CMA'!N159+'BANK CMA'!N161</f>
        <v>100</v>
      </c>
      <c r="O32" s="215">
        <f>+'BANK CMA'!O158+'BANK CMA'!O159+'BANK CMA'!O161</f>
        <v>100</v>
      </c>
    </row>
    <row r="33" spans="1:16">
      <c r="A33" s="268" t="s">
        <v>717</v>
      </c>
      <c r="B33" s="215">
        <f>+'BANK CMA'!B153</f>
        <v>0</v>
      </c>
      <c r="C33" s="215">
        <f>+'BANK CMA'!C153</f>
        <v>65.916759999999996</v>
      </c>
      <c r="D33" s="215">
        <f>+'BANK CMA'!D153</f>
        <v>88.48921</v>
      </c>
      <c r="E33" s="215">
        <f>+'BANK CMA'!E153</f>
        <v>127.49921000000001</v>
      </c>
      <c r="F33" s="215">
        <f>+'BANK CMA'!F153</f>
        <v>173.23603</v>
      </c>
      <c r="G33" s="215">
        <f>+'BANK CMA'!G153</f>
        <v>225</v>
      </c>
      <c r="H33" s="215">
        <f>+'BANK CMA'!H153</f>
        <v>290</v>
      </c>
      <c r="I33" s="215">
        <f>+'BANK CMA'!I153</f>
        <v>390.5</v>
      </c>
      <c r="J33" s="215">
        <f>+'BANK CMA'!J153</f>
        <v>225</v>
      </c>
      <c r="K33" s="215">
        <v>0</v>
      </c>
      <c r="L33" s="215">
        <v>0</v>
      </c>
      <c r="M33" s="215">
        <v>0</v>
      </c>
      <c r="N33" s="215">
        <v>0</v>
      </c>
      <c r="O33" s="215">
        <v>0</v>
      </c>
    </row>
    <row r="34" spans="1:16">
      <c r="A34" s="217" t="s">
        <v>253</v>
      </c>
      <c r="B34" s="215">
        <f>+'BANK CMA'!B162+'BANK CMA'!B151</f>
        <v>0</v>
      </c>
      <c r="C34" s="215">
        <f>+'BANK CMA'!C162+'BANK CMA'!C151</f>
        <v>0</v>
      </c>
      <c r="D34" s="215">
        <f>+'BANK CMA'!D162+'BANK CMA'!D151</f>
        <v>0</v>
      </c>
      <c r="E34" s="215">
        <f>+'BANK CMA'!E162+'BANK CMA'!E151</f>
        <v>0</v>
      </c>
      <c r="F34" s="215">
        <f>+'BANK CMA'!F162+'BANK CMA'!F151</f>
        <v>0</v>
      </c>
      <c r="G34" s="215">
        <f>+'BANK CMA'!G162+'BANK CMA'!G151</f>
        <v>0</v>
      </c>
      <c r="H34" s="215">
        <f>+'BANK CMA'!H162+'BANK CMA'!H151</f>
        <v>0</v>
      </c>
      <c r="I34" s="215">
        <f>+'BANK CMA'!I162+'BANK CMA'!I151</f>
        <v>0</v>
      </c>
      <c r="J34" s="215">
        <f>+'BANK CMA'!J162+'BANK CMA'!J151</f>
        <v>0</v>
      </c>
      <c r="K34" s="215">
        <f>+'BANK CMA'!K162+'BANK CMA'!K151</f>
        <v>0</v>
      </c>
      <c r="L34" s="215">
        <f>+'BANK CMA'!L162+'BANK CMA'!L151</f>
        <v>0</v>
      </c>
      <c r="M34" s="215">
        <f>+'BANK CMA'!M162+'BANK CMA'!M151</f>
        <v>0</v>
      </c>
      <c r="N34" s="215">
        <f>+'BANK CMA'!N162+'BANK CMA'!N151</f>
        <v>10</v>
      </c>
      <c r="O34" s="215">
        <f>+'BANK CMA'!O162+'BANK CMA'!O151</f>
        <v>10</v>
      </c>
    </row>
    <row r="35" spans="1:16">
      <c r="A35" s="214" t="s">
        <v>240</v>
      </c>
      <c r="B35" s="213">
        <f t="shared" ref="B35:O35" si="4">SUM(B27:B34)</f>
        <v>117.04661729999999</v>
      </c>
      <c r="C35" s="213">
        <f t="shared" si="4"/>
        <v>172.88353660000001</v>
      </c>
      <c r="D35" s="213" t="e">
        <f t="shared" si="4"/>
        <v>#REF!</v>
      </c>
      <c r="E35" s="213" t="e">
        <f t="shared" si="4"/>
        <v>#REF!</v>
      </c>
      <c r="F35" s="213" t="e">
        <f t="shared" si="4"/>
        <v>#REF!</v>
      </c>
      <c r="G35" s="213" t="e">
        <f>SUM(G27:G34)</f>
        <v>#REF!</v>
      </c>
      <c r="H35" s="213" t="e">
        <f>SUM(H27:H34)</f>
        <v>#REF!</v>
      </c>
      <c r="I35" s="213" t="e">
        <f t="shared" si="4"/>
        <v>#REF!</v>
      </c>
      <c r="J35" s="213" t="e">
        <f t="shared" si="4"/>
        <v>#REF!</v>
      </c>
      <c r="K35" s="213" t="e">
        <f t="shared" si="4"/>
        <v>#REF!</v>
      </c>
      <c r="L35" s="213" t="e">
        <f t="shared" si="4"/>
        <v>#REF!</v>
      </c>
      <c r="M35" s="213" t="e">
        <f t="shared" si="4"/>
        <v>#REF!</v>
      </c>
      <c r="N35" s="213" t="e">
        <f t="shared" si="4"/>
        <v>#REF!</v>
      </c>
      <c r="O35" s="213">
        <f t="shared" si="4"/>
        <v>2355</v>
      </c>
    </row>
    <row r="36" spans="1:16">
      <c r="A36" s="216"/>
      <c r="B36" s="215"/>
      <c r="C36" s="215"/>
      <c r="D36" s="215"/>
      <c r="E36" s="215"/>
      <c r="F36" s="215"/>
      <c r="G36" s="215"/>
      <c r="H36" s="215"/>
      <c r="I36" s="215"/>
      <c r="J36" s="215"/>
      <c r="K36" s="215"/>
      <c r="L36" s="215"/>
      <c r="M36" s="215"/>
      <c r="N36" s="215"/>
    </row>
    <row r="37" spans="1:16">
      <c r="A37" s="214" t="s">
        <v>239</v>
      </c>
      <c r="B37" s="213">
        <f t="shared" ref="B37:O37" si="5">+B24+B35</f>
        <v>1177.0280688</v>
      </c>
      <c r="C37" s="213">
        <f t="shared" si="5"/>
        <v>1141.3546238000001</v>
      </c>
      <c r="D37" s="213" t="e">
        <f t="shared" si="5"/>
        <v>#REF!</v>
      </c>
      <c r="E37" s="213" t="e">
        <f t="shared" si="5"/>
        <v>#REF!</v>
      </c>
      <c r="F37" s="213" t="e">
        <f t="shared" si="5"/>
        <v>#REF!</v>
      </c>
      <c r="G37" s="213" t="e">
        <f>+G24+G35</f>
        <v>#REF!</v>
      </c>
      <c r="H37" s="213" t="e">
        <f>+H24+H35</f>
        <v>#REF!</v>
      </c>
      <c r="I37" s="213" t="e">
        <f t="shared" si="5"/>
        <v>#REF!</v>
      </c>
      <c r="J37" s="213" t="e">
        <f t="shared" si="5"/>
        <v>#REF!</v>
      </c>
      <c r="K37" s="213" t="e">
        <f t="shared" si="5"/>
        <v>#REF!</v>
      </c>
      <c r="L37" s="213" t="e">
        <f t="shared" si="5"/>
        <v>#REF!</v>
      </c>
      <c r="M37" s="213" t="e">
        <f t="shared" si="5"/>
        <v>#REF!</v>
      </c>
      <c r="N37" s="213" t="e">
        <f t="shared" si="5"/>
        <v>#REF!</v>
      </c>
      <c r="O37" s="213" t="e">
        <f t="shared" si="5"/>
        <v>#REF!</v>
      </c>
      <c r="P37" s="213"/>
    </row>
    <row r="38" spans="1:16">
      <c r="B38" s="210">
        <f>+'BANK CMA'!B212</f>
        <v>1179.0797987999999</v>
      </c>
      <c r="C38" s="210">
        <f>+'BANK CMA'!C212</f>
        <v>1142.8934239</v>
      </c>
      <c r="D38" s="210" t="e">
        <f>+'BANK CMA'!D212</f>
        <v>#REF!</v>
      </c>
      <c r="E38" s="210" t="e">
        <f>+'BANK CMA'!E212</f>
        <v>#REF!</v>
      </c>
      <c r="F38" s="210" t="e">
        <f>+'BANK CMA'!F212</f>
        <v>#REF!</v>
      </c>
      <c r="G38" s="210" t="e">
        <f>+'BANK CMA'!G212</f>
        <v>#REF!</v>
      </c>
      <c r="H38" s="210" t="e">
        <f>+'BANK CMA'!H212</f>
        <v>#REF!</v>
      </c>
      <c r="I38" s="210" t="e">
        <f>+'BANK CMA'!I212</f>
        <v>#REF!</v>
      </c>
      <c r="J38" s="210" t="e">
        <f>+'BANK CMA'!J212</f>
        <v>#REF!</v>
      </c>
      <c r="K38" s="210" t="e">
        <f>+'BANK CMA'!K212</f>
        <v>#REF!</v>
      </c>
      <c r="L38" s="210" t="e">
        <f>+'BANK CMA'!L212</f>
        <v>#REF!</v>
      </c>
      <c r="M38" s="210" t="e">
        <f>+'BANK CMA'!M212</f>
        <v>#REF!</v>
      </c>
      <c r="N38" s="210" t="e">
        <f>+'BANK CMA'!N212</f>
        <v>#REF!</v>
      </c>
      <c r="O38" s="210" t="e">
        <f>+'BANK CMA'!O212</f>
        <v>#REF!</v>
      </c>
    </row>
    <row r="39" spans="1:16">
      <c r="B39" s="210">
        <f t="shared" ref="B39:O39" si="6">+B37-B38</f>
        <v>-2.0517299999999068</v>
      </c>
      <c r="C39" s="210">
        <f t="shared" si="6"/>
        <v>-1.5388000999998894</v>
      </c>
      <c r="D39" s="210" t="e">
        <f t="shared" si="6"/>
        <v>#REF!</v>
      </c>
      <c r="E39" s="210" t="e">
        <f t="shared" si="6"/>
        <v>#REF!</v>
      </c>
      <c r="F39" s="210" t="e">
        <f t="shared" si="6"/>
        <v>#REF!</v>
      </c>
      <c r="G39" s="210" t="e">
        <f>+G37-G38</f>
        <v>#REF!</v>
      </c>
      <c r="H39" s="210" t="e">
        <f>+H37-H38</f>
        <v>#REF!</v>
      </c>
      <c r="I39" s="210" t="e">
        <f t="shared" si="6"/>
        <v>#REF!</v>
      </c>
      <c r="J39" s="210" t="e">
        <f t="shared" si="6"/>
        <v>#REF!</v>
      </c>
      <c r="K39" s="210" t="e">
        <f t="shared" si="6"/>
        <v>#REF!</v>
      </c>
      <c r="L39" s="210" t="e">
        <f t="shared" si="6"/>
        <v>#REF!</v>
      </c>
      <c r="M39" s="210" t="e">
        <f t="shared" si="6"/>
        <v>#REF!</v>
      </c>
      <c r="N39" s="210" t="e">
        <f t="shared" si="6"/>
        <v>#REF!</v>
      </c>
      <c r="O39" s="210" t="e">
        <f t="shared" si="6"/>
        <v>#REF!</v>
      </c>
    </row>
    <row r="40" spans="1:16">
      <c r="B40" s="210"/>
      <c r="C40" s="210"/>
      <c r="D40" s="210"/>
      <c r="E40" s="210"/>
      <c r="F40" s="210"/>
      <c r="G40" s="209"/>
      <c r="H40" s="209"/>
      <c r="I40" s="209"/>
      <c r="J40" s="209"/>
    </row>
    <row r="41" spans="1:16">
      <c r="B41" s="210"/>
      <c r="C41" s="210"/>
      <c r="D41" s="210"/>
      <c r="E41" s="210"/>
      <c r="F41" s="210"/>
      <c r="G41" s="209"/>
      <c r="H41" s="209"/>
      <c r="I41" s="209"/>
      <c r="J41" s="209"/>
    </row>
    <row r="42" spans="1:16">
      <c r="B42" s="210"/>
      <c r="C42" s="210"/>
      <c r="D42" s="210"/>
      <c r="E42" s="210"/>
      <c r="F42" s="210"/>
      <c r="G42" s="209"/>
      <c r="H42" s="209"/>
      <c r="I42" s="209"/>
      <c r="J42" s="209"/>
    </row>
    <row r="43" spans="1:16">
      <c r="B43" s="210"/>
      <c r="C43" s="210"/>
      <c r="D43" s="210"/>
      <c r="E43" s="210"/>
      <c r="F43" s="210"/>
      <c r="G43" s="209"/>
      <c r="H43" s="209"/>
      <c r="I43" s="209"/>
      <c r="J43" s="209"/>
    </row>
    <row r="44" spans="1:16">
      <c r="A44" s="211" t="str">
        <f t="shared" ref="A44:O44" si="7">+A23</f>
        <v>Total Long Term Loans</v>
      </c>
      <c r="B44" s="210">
        <f t="shared" si="7"/>
        <v>1178.5732642</v>
      </c>
      <c r="C44" s="210">
        <f t="shared" si="7"/>
        <v>1150.97084</v>
      </c>
      <c r="D44" s="210">
        <f t="shared" si="7"/>
        <v>1016.23524</v>
      </c>
      <c r="E44" s="210">
        <f t="shared" si="7"/>
        <v>2428.73603</v>
      </c>
      <c r="F44" s="210">
        <f t="shared" si="7"/>
        <v>2255.5</v>
      </c>
      <c r="G44" s="210">
        <f>+G23</f>
        <v>2030.5</v>
      </c>
      <c r="H44" s="210">
        <f>+H23</f>
        <v>1740.5</v>
      </c>
      <c r="I44" s="210">
        <f t="shared" si="7"/>
        <v>1350</v>
      </c>
      <c r="J44" s="210">
        <f t="shared" si="7"/>
        <v>1125</v>
      </c>
      <c r="K44" s="210">
        <f t="shared" si="7"/>
        <v>825</v>
      </c>
      <c r="L44" s="210">
        <f t="shared" si="7"/>
        <v>750</v>
      </c>
      <c r="M44" s="210">
        <f t="shared" si="7"/>
        <v>750</v>
      </c>
      <c r="N44" s="210" t="e">
        <f t="shared" si="7"/>
        <v>#REF!</v>
      </c>
      <c r="O44" s="210" t="e">
        <f t="shared" si="7"/>
        <v>#REF!</v>
      </c>
    </row>
    <row r="45" spans="1:16">
      <c r="A45" s="211" t="str">
        <f>+A15</f>
        <v>Tangible Net Worth</v>
      </c>
      <c r="B45" s="210">
        <f>+B15+B19</f>
        <v>164.66974729999998</v>
      </c>
      <c r="C45" s="210">
        <f t="shared" ref="C45:M45" si="8">+C15+C19</f>
        <v>145.55546720000007</v>
      </c>
      <c r="D45" s="210" t="e">
        <f t="shared" si="8"/>
        <v>#REF!</v>
      </c>
      <c r="E45" s="210" t="e">
        <f t="shared" si="8"/>
        <v>#REF!</v>
      </c>
      <c r="F45" s="210" t="e">
        <f t="shared" si="8"/>
        <v>#REF!</v>
      </c>
      <c r="G45" s="210" t="e">
        <f t="shared" si="8"/>
        <v>#REF!</v>
      </c>
      <c r="H45" s="210" t="e">
        <f t="shared" si="8"/>
        <v>#REF!</v>
      </c>
      <c r="I45" s="210" t="e">
        <f t="shared" si="8"/>
        <v>#REF!</v>
      </c>
      <c r="J45" s="210" t="e">
        <f t="shared" si="8"/>
        <v>#REF!</v>
      </c>
      <c r="K45" s="210" t="e">
        <f t="shared" si="8"/>
        <v>#REF!</v>
      </c>
      <c r="L45" s="210" t="e">
        <f t="shared" si="8"/>
        <v>#REF!</v>
      </c>
      <c r="M45" s="210" t="e">
        <f t="shared" si="8"/>
        <v>#REF!</v>
      </c>
      <c r="N45" s="210" t="e">
        <f>+N15</f>
        <v>#REF!</v>
      </c>
      <c r="O45" s="210" t="e">
        <f>+O15</f>
        <v>#REF!</v>
      </c>
    </row>
    <row r="46" spans="1:16">
      <c r="A46" s="211" t="s">
        <v>232</v>
      </c>
      <c r="B46" s="210">
        <f t="shared" ref="B46:O46" si="9">+B44/B45</f>
        <v>7.1571936164621794</v>
      </c>
      <c r="C46" s="210">
        <f t="shared" si="9"/>
        <v>7.9074380519043768</v>
      </c>
      <c r="D46" s="210" t="e">
        <f t="shared" si="9"/>
        <v>#REF!</v>
      </c>
      <c r="E46" s="210" t="e">
        <f t="shared" si="9"/>
        <v>#REF!</v>
      </c>
      <c r="F46" s="210" t="e">
        <f t="shared" si="9"/>
        <v>#REF!</v>
      </c>
      <c r="G46" s="210" t="e">
        <f>+G44/G45</f>
        <v>#REF!</v>
      </c>
      <c r="H46" s="210" t="e">
        <f>+H44/H45</f>
        <v>#REF!</v>
      </c>
      <c r="I46" s="210" t="e">
        <f t="shared" si="9"/>
        <v>#REF!</v>
      </c>
      <c r="J46" s="210" t="e">
        <f t="shared" si="9"/>
        <v>#REF!</v>
      </c>
      <c r="K46" s="210" t="e">
        <f t="shared" si="9"/>
        <v>#REF!</v>
      </c>
      <c r="L46" s="210" t="e">
        <f t="shared" si="9"/>
        <v>#REF!</v>
      </c>
      <c r="M46" s="210" t="e">
        <f t="shared" si="9"/>
        <v>#REF!</v>
      </c>
      <c r="N46" s="210" t="e">
        <f t="shared" si="9"/>
        <v>#REF!</v>
      </c>
      <c r="O46" s="210" t="e">
        <f t="shared" si="9"/>
        <v>#REF!</v>
      </c>
    </row>
    <row r="47" spans="1:16">
      <c r="A47" s="211" t="str">
        <f>+A17</f>
        <v>Net Owned Funds/ Adjusted TNW</v>
      </c>
      <c r="B47" s="210">
        <f>+B17+B19</f>
        <v>164.66974729999998</v>
      </c>
      <c r="C47" s="210">
        <f t="shared" ref="C47:M47" si="10">+C17+C19</f>
        <v>145.55546720000007</v>
      </c>
      <c r="D47" s="210" t="e">
        <f t="shared" si="10"/>
        <v>#REF!</v>
      </c>
      <c r="E47" s="210" t="e">
        <f t="shared" si="10"/>
        <v>#REF!</v>
      </c>
      <c r="F47" s="210" t="e">
        <f t="shared" si="10"/>
        <v>#REF!</v>
      </c>
      <c r="G47" s="210" t="e">
        <f t="shared" si="10"/>
        <v>#REF!</v>
      </c>
      <c r="H47" s="210" t="e">
        <f t="shared" si="10"/>
        <v>#REF!</v>
      </c>
      <c r="I47" s="210" t="e">
        <f t="shared" si="10"/>
        <v>#REF!</v>
      </c>
      <c r="J47" s="210" t="e">
        <f t="shared" si="10"/>
        <v>#REF!</v>
      </c>
      <c r="K47" s="210" t="e">
        <f t="shared" si="10"/>
        <v>#REF!</v>
      </c>
      <c r="L47" s="210" t="e">
        <f t="shared" si="10"/>
        <v>#REF!</v>
      </c>
      <c r="M47" s="210" t="e">
        <f t="shared" si="10"/>
        <v>#REF!</v>
      </c>
      <c r="N47" s="210" t="e">
        <f>+N17</f>
        <v>#REF!</v>
      </c>
      <c r="O47" s="210" t="e">
        <f>+O17</f>
        <v>#REF!</v>
      </c>
    </row>
    <row r="48" spans="1:16">
      <c r="A48" s="211" t="s">
        <v>575</v>
      </c>
      <c r="B48" s="210">
        <f t="shared" ref="B48:O48" si="11">+B44/B47</f>
        <v>7.1571936164621794</v>
      </c>
      <c r="C48" s="210">
        <f t="shared" si="11"/>
        <v>7.9074380519043768</v>
      </c>
      <c r="D48" s="210" t="e">
        <f t="shared" si="11"/>
        <v>#REF!</v>
      </c>
      <c r="E48" s="210" t="e">
        <f t="shared" si="11"/>
        <v>#REF!</v>
      </c>
      <c r="F48" s="210" t="e">
        <f t="shared" si="11"/>
        <v>#REF!</v>
      </c>
      <c r="G48" s="210" t="e">
        <f>+G44/G47</f>
        <v>#REF!</v>
      </c>
      <c r="H48" s="210" t="e">
        <f>+H44/H47</f>
        <v>#REF!</v>
      </c>
      <c r="I48" s="210" t="e">
        <f t="shared" si="11"/>
        <v>#REF!</v>
      </c>
      <c r="J48" s="210" t="e">
        <f t="shared" si="11"/>
        <v>#REF!</v>
      </c>
      <c r="K48" s="210" t="e">
        <f t="shared" si="11"/>
        <v>#REF!</v>
      </c>
      <c r="L48" s="210" t="e">
        <f t="shared" si="11"/>
        <v>#REF!</v>
      </c>
      <c r="M48" s="210" t="e">
        <f t="shared" si="11"/>
        <v>#REF!</v>
      </c>
      <c r="N48" s="210" t="e">
        <f t="shared" si="11"/>
        <v>#REF!</v>
      </c>
      <c r="O48" s="210" t="e">
        <f t="shared" si="11"/>
        <v>#REF!</v>
      </c>
    </row>
    <row r="49" spans="1:15">
      <c r="A49" s="212"/>
      <c r="B49" s="210"/>
      <c r="C49" s="210"/>
      <c r="D49" s="210"/>
      <c r="E49" s="210"/>
      <c r="F49" s="210"/>
      <c r="G49" s="210"/>
      <c r="H49" s="210"/>
      <c r="I49" s="210"/>
      <c r="J49" s="210"/>
      <c r="K49" s="210"/>
      <c r="L49" s="210"/>
      <c r="M49" s="210"/>
      <c r="N49" s="210"/>
      <c r="O49" s="210"/>
    </row>
    <row r="50" spans="1:15">
      <c r="A50" s="211" t="str">
        <f t="shared" ref="A50:O50" si="12">+A37</f>
        <v>Total Liabilities</v>
      </c>
      <c r="B50" s="210">
        <f t="shared" si="12"/>
        <v>1177.0280688</v>
      </c>
      <c r="C50" s="210">
        <f t="shared" si="12"/>
        <v>1141.3546238000001</v>
      </c>
      <c r="D50" s="210" t="e">
        <f t="shared" si="12"/>
        <v>#REF!</v>
      </c>
      <c r="E50" s="210" t="e">
        <f t="shared" si="12"/>
        <v>#REF!</v>
      </c>
      <c r="F50" s="210" t="e">
        <f t="shared" si="12"/>
        <v>#REF!</v>
      </c>
      <c r="G50" s="210" t="e">
        <f>+G37</f>
        <v>#REF!</v>
      </c>
      <c r="H50" s="210" t="e">
        <f>+H37</f>
        <v>#REF!</v>
      </c>
      <c r="I50" s="210" t="e">
        <f t="shared" si="12"/>
        <v>#REF!</v>
      </c>
      <c r="J50" s="210" t="e">
        <f t="shared" si="12"/>
        <v>#REF!</v>
      </c>
      <c r="K50" s="210" t="e">
        <f t="shared" si="12"/>
        <v>#REF!</v>
      </c>
      <c r="L50" s="210" t="e">
        <f t="shared" si="12"/>
        <v>#REF!</v>
      </c>
      <c r="M50" s="210" t="e">
        <f t="shared" si="12"/>
        <v>#REF!</v>
      </c>
      <c r="N50" s="210" t="e">
        <f t="shared" si="12"/>
        <v>#REF!</v>
      </c>
      <c r="O50" s="210" t="e">
        <f t="shared" si="12"/>
        <v>#REF!</v>
      </c>
    </row>
    <row r="51" spans="1:15">
      <c r="A51" s="211" t="str">
        <f>+A15</f>
        <v>Tangible Net Worth</v>
      </c>
      <c r="B51" s="210">
        <f>B45</f>
        <v>164.66974729999998</v>
      </c>
      <c r="C51" s="210">
        <f t="shared" ref="C51:M51" si="13">C45</f>
        <v>145.55546720000007</v>
      </c>
      <c r="D51" s="210" t="e">
        <f t="shared" si="13"/>
        <v>#REF!</v>
      </c>
      <c r="E51" s="210" t="e">
        <f t="shared" si="13"/>
        <v>#REF!</v>
      </c>
      <c r="F51" s="210" t="e">
        <f t="shared" si="13"/>
        <v>#REF!</v>
      </c>
      <c r="G51" s="210" t="e">
        <f t="shared" si="13"/>
        <v>#REF!</v>
      </c>
      <c r="H51" s="210" t="e">
        <f t="shared" si="13"/>
        <v>#REF!</v>
      </c>
      <c r="I51" s="210" t="e">
        <f t="shared" si="13"/>
        <v>#REF!</v>
      </c>
      <c r="J51" s="210" t="e">
        <f t="shared" si="13"/>
        <v>#REF!</v>
      </c>
      <c r="K51" s="210" t="e">
        <f t="shared" si="13"/>
        <v>#REF!</v>
      </c>
      <c r="L51" s="210" t="e">
        <f t="shared" si="13"/>
        <v>#REF!</v>
      </c>
      <c r="M51" s="210" t="e">
        <f t="shared" si="13"/>
        <v>#REF!</v>
      </c>
      <c r="N51" s="210" t="e">
        <f>+N15</f>
        <v>#REF!</v>
      </c>
      <c r="O51" s="210" t="e">
        <f>+O15</f>
        <v>#REF!</v>
      </c>
    </row>
    <row r="52" spans="1:15">
      <c r="A52" s="211" t="s">
        <v>574</v>
      </c>
      <c r="B52" s="210">
        <f t="shared" ref="B52:O52" si="14">+B50-B51</f>
        <v>1012.3583215000001</v>
      </c>
      <c r="C52" s="210">
        <f t="shared" si="14"/>
        <v>995.79915660000006</v>
      </c>
      <c r="D52" s="210" t="e">
        <f t="shared" si="14"/>
        <v>#REF!</v>
      </c>
      <c r="E52" s="210" t="e">
        <f t="shared" si="14"/>
        <v>#REF!</v>
      </c>
      <c r="F52" s="210" t="e">
        <f t="shared" si="14"/>
        <v>#REF!</v>
      </c>
      <c r="G52" s="210" t="e">
        <f>+G50-G51</f>
        <v>#REF!</v>
      </c>
      <c r="H52" s="210" t="e">
        <f>+H50-H51</f>
        <v>#REF!</v>
      </c>
      <c r="I52" s="210" t="e">
        <f t="shared" si="14"/>
        <v>#REF!</v>
      </c>
      <c r="J52" s="210" t="e">
        <f t="shared" si="14"/>
        <v>#REF!</v>
      </c>
      <c r="K52" s="210" t="e">
        <f t="shared" si="14"/>
        <v>#REF!</v>
      </c>
      <c r="L52" s="210" t="e">
        <f t="shared" si="14"/>
        <v>#REF!</v>
      </c>
      <c r="M52" s="210" t="e">
        <f t="shared" si="14"/>
        <v>#REF!</v>
      </c>
      <c r="N52" s="210" t="e">
        <f t="shared" si="14"/>
        <v>#REF!</v>
      </c>
      <c r="O52" s="210" t="e">
        <f t="shared" si="14"/>
        <v>#REF!</v>
      </c>
    </row>
    <row r="53" spans="1:15">
      <c r="A53" s="211" t="str">
        <f>+A17</f>
        <v>Net Owned Funds/ Adjusted TNW</v>
      </c>
      <c r="B53" s="210">
        <f>B51</f>
        <v>164.66974729999998</v>
      </c>
      <c r="C53" s="210">
        <f t="shared" ref="C53:M53" si="15">C51</f>
        <v>145.55546720000007</v>
      </c>
      <c r="D53" s="210" t="e">
        <f t="shared" si="15"/>
        <v>#REF!</v>
      </c>
      <c r="E53" s="210" t="e">
        <f t="shared" si="15"/>
        <v>#REF!</v>
      </c>
      <c r="F53" s="210" t="e">
        <f t="shared" si="15"/>
        <v>#REF!</v>
      </c>
      <c r="G53" s="210" t="e">
        <f t="shared" si="15"/>
        <v>#REF!</v>
      </c>
      <c r="H53" s="210" t="e">
        <f t="shared" si="15"/>
        <v>#REF!</v>
      </c>
      <c r="I53" s="210" t="e">
        <f t="shared" si="15"/>
        <v>#REF!</v>
      </c>
      <c r="J53" s="210" t="e">
        <f t="shared" si="15"/>
        <v>#REF!</v>
      </c>
      <c r="K53" s="210" t="e">
        <f t="shared" si="15"/>
        <v>#REF!</v>
      </c>
      <c r="L53" s="210" t="e">
        <f t="shared" si="15"/>
        <v>#REF!</v>
      </c>
      <c r="M53" s="210" t="e">
        <f t="shared" si="15"/>
        <v>#REF!</v>
      </c>
      <c r="N53" s="210" t="e">
        <f>+N17</f>
        <v>#REF!</v>
      </c>
      <c r="O53" s="210" t="e">
        <f>+O17</f>
        <v>#REF!</v>
      </c>
    </row>
    <row r="54" spans="1:15">
      <c r="A54" s="211" t="s">
        <v>573</v>
      </c>
      <c r="B54" s="210">
        <f t="shared" ref="B54:O54" si="16">+B52/B53</f>
        <v>6.1478100142806271</v>
      </c>
      <c r="C54" s="210">
        <f t="shared" si="16"/>
        <v>6.8413724043201007</v>
      </c>
      <c r="D54" s="210" t="e">
        <f t="shared" si="16"/>
        <v>#REF!</v>
      </c>
      <c r="E54" s="210" t="e">
        <f t="shared" si="16"/>
        <v>#REF!</v>
      </c>
      <c r="F54" s="210" t="e">
        <f t="shared" si="16"/>
        <v>#REF!</v>
      </c>
      <c r="G54" s="210" t="e">
        <f>+G52/G53</f>
        <v>#REF!</v>
      </c>
      <c r="H54" s="210" t="e">
        <f>+H52/H53</f>
        <v>#REF!</v>
      </c>
      <c r="I54" s="210" t="e">
        <f t="shared" si="16"/>
        <v>#REF!</v>
      </c>
      <c r="J54" s="210" t="e">
        <f t="shared" si="16"/>
        <v>#REF!</v>
      </c>
      <c r="K54" s="210" t="e">
        <f t="shared" si="16"/>
        <v>#REF!</v>
      </c>
      <c r="L54" s="210" t="e">
        <f t="shared" si="16"/>
        <v>#REF!</v>
      </c>
      <c r="M54" s="210" t="e">
        <f t="shared" si="16"/>
        <v>#REF!</v>
      </c>
      <c r="N54" s="210" t="e">
        <f t="shared" si="16"/>
        <v>#REF!</v>
      </c>
      <c r="O54" s="210" t="e">
        <f t="shared" si="16"/>
        <v>#REF!</v>
      </c>
    </row>
    <row r="63" spans="1:15">
      <c r="B63" s="210"/>
      <c r="C63" s="210"/>
      <c r="D63" s="210"/>
      <c r="E63" s="210"/>
    </row>
    <row r="64" spans="1:15">
      <c r="B64" s="210"/>
      <c r="C64" s="210"/>
      <c r="D64" s="210"/>
      <c r="E64" s="210"/>
    </row>
    <row r="65" spans="2:10">
      <c r="B65" s="210"/>
      <c r="C65" s="210"/>
      <c r="D65" s="210"/>
      <c r="E65" s="210"/>
    </row>
    <row r="67" spans="2:10">
      <c r="B67" s="210"/>
      <c r="C67" s="210"/>
      <c r="D67" s="210"/>
      <c r="E67" s="210"/>
      <c r="F67" s="210"/>
      <c r="G67" s="210"/>
      <c r="H67" s="210"/>
      <c r="I67" s="210"/>
      <c r="J67" s="210"/>
    </row>
    <row r="73" spans="2:10">
      <c r="I73" s="209"/>
      <c r="J73" s="209"/>
    </row>
    <row r="76" spans="2:10">
      <c r="I76" s="209"/>
      <c r="J76" s="209"/>
    </row>
  </sheetData>
  <mergeCells count="1">
    <mergeCell ref="A2:D2"/>
  </mergeCells>
  <printOptions gridLines="1"/>
  <pageMargins left="0.7" right="0.7" top="0.75" bottom="0.75" header="0.3" footer="0.3"/>
  <pageSetup paperSize="9" scale="83"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14"/>
  <sheetViews>
    <sheetView workbookViewId="0">
      <selection activeCell="F28" sqref="F28"/>
    </sheetView>
  </sheetViews>
  <sheetFormatPr defaultRowHeight="12.75"/>
  <cols>
    <col min="2" max="2" width="80.85546875" customWidth="1"/>
    <col min="6" max="6" width="10" bestFit="1" customWidth="1"/>
  </cols>
  <sheetData>
    <row r="1" spans="1:2" ht="15">
      <c r="A1" s="305" t="s">
        <v>76</v>
      </c>
      <c r="B1" s="305" t="s">
        <v>742</v>
      </c>
    </row>
    <row r="2" spans="1:2">
      <c r="A2" s="94">
        <v>1</v>
      </c>
      <c r="B2" s="303"/>
    </row>
    <row r="3" spans="1:2">
      <c r="A3" s="94">
        <v>2</v>
      </c>
      <c r="B3" s="303"/>
    </row>
    <row r="4" spans="1:2">
      <c r="A4" s="94">
        <f t="shared" ref="A4:A14" si="0">A3+1</f>
        <v>3</v>
      </c>
      <c r="B4" s="303"/>
    </row>
    <row r="5" spans="1:2">
      <c r="A5" s="94">
        <f t="shared" si="0"/>
        <v>4</v>
      </c>
      <c r="B5" s="303"/>
    </row>
    <row r="6" spans="1:2">
      <c r="A6" s="94">
        <f t="shared" si="0"/>
        <v>5</v>
      </c>
      <c r="B6" s="303"/>
    </row>
    <row r="7" spans="1:2">
      <c r="A7" s="94">
        <f t="shared" si="0"/>
        <v>6</v>
      </c>
      <c r="B7" s="303"/>
    </row>
    <row r="8" spans="1:2">
      <c r="A8" s="94">
        <f t="shared" si="0"/>
        <v>7</v>
      </c>
      <c r="B8" s="303"/>
    </row>
    <row r="9" spans="1:2">
      <c r="A9" s="94">
        <f t="shared" si="0"/>
        <v>8</v>
      </c>
      <c r="B9" s="303"/>
    </row>
    <row r="10" spans="1:2">
      <c r="A10" s="94">
        <f t="shared" si="0"/>
        <v>9</v>
      </c>
      <c r="B10" s="303"/>
    </row>
    <row r="11" spans="1:2">
      <c r="A11" s="94">
        <f t="shared" si="0"/>
        <v>10</v>
      </c>
      <c r="B11" s="303"/>
    </row>
    <row r="12" spans="1:2">
      <c r="A12" s="94">
        <f t="shared" si="0"/>
        <v>11</v>
      </c>
      <c r="B12" s="303"/>
    </row>
    <row r="13" spans="1:2">
      <c r="A13" s="94">
        <f t="shared" si="0"/>
        <v>12</v>
      </c>
      <c r="B13" s="303"/>
    </row>
    <row r="14" spans="1:2">
      <c r="A14" s="94">
        <f t="shared" si="0"/>
        <v>13</v>
      </c>
      <c r="B14" s="30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2:H15"/>
  <sheetViews>
    <sheetView workbookViewId="0">
      <selection activeCell="H16" sqref="H16"/>
    </sheetView>
  </sheetViews>
  <sheetFormatPr defaultRowHeight="12.75"/>
  <cols>
    <col min="2" max="2" width="7.140625" bestFit="1" customWidth="1"/>
    <col min="3" max="3" width="18.28515625" bestFit="1" customWidth="1"/>
    <col min="4" max="4" width="15.85546875" bestFit="1" customWidth="1"/>
    <col min="6" max="6" width="7.140625" bestFit="1" customWidth="1"/>
    <col min="7" max="7" width="22.5703125" bestFit="1" customWidth="1"/>
    <col min="8" max="8" width="15.85546875" bestFit="1" customWidth="1"/>
  </cols>
  <sheetData>
    <row r="2" spans="2:8">
      <c r="B2" s="1081" t="s">
        <v>744</v>
      </c>
      <c r="C2" s="1081"/>
      <c r="D2" s="1081"/>
      <c r="F2" s="1081" t="s">
        <v>752</v>
      </c>
      <c r="G2" s="1081"/>
      <c r="H2" s="1081"/>
    </row>
    <row r="3" spans="2:8">
      <c r="B3" s="27" t="s">
        <v>9</v>
      </c>
      <c r="C3" s="27" t="s">
        <v>750</v>
      </c>
      <c r="D3" s="27" t="s">
        <v>751</v>
      </c>
      <c r="F3" s="27" t="s">
        <v>9</v>
      </c>
      <c r="G3" s="27" t="s">
        <v>750</v>
      </c>
      <c r="H3" s="27" t="s">
        <v>751</v>
      </c>
    </row>
    <row r="4" spans="2:8">
      <c r="B4" s="24">
        <v>1</v>
      </c>
      <c r="C4" s="24"/>
      <c r="D4" s="24" t="s">
        <v>743</v>
      </c>
      <c r="F4" s="24">
        <v>1</v>
      </c>
      <c r="G4" s="24"/>
      <c r="H4" s="24" t="s">
        <v>743</v>
      </c>
    </row>
    <row r="5" spans="2:8">
      <c r="B5" s="24">
        <v>2</v>
      </c>
      <c r="C5" s="24"/>
      <c r="D5" s="24" t="s">
        <v>745</v>
      </c>
      <c r="F5" s="24">
        <v>2</v>
      </c>
      <c r="G5" s="24"/>
      <c r="H5" s="24" t="s">
        <v>745</v>
      </c>
    </row>
    <row r="6" spans="2:8">
      <c r="B6" s="24">
        <v>3</v>
      </c>
      <c r="C6" s="24"/>
      <c r="D6" s="24" t="s">
        <v>746</v>
      </c>
      <c r="F6" s="24">
        <v>3</v>
      </c>
      <c r="G6" s="24"/>
      <c r="H6" s="24" t="s">
        <v>753</v>
      </c>
    </row>
    <row r="7" spans="2:8">
      <c r="B7" s="24">
        <v>4</v>
      </c>
      <c r="C7" s="24"/>
      <c r="D7" s="24" t="s">
        <v>747</v>
      </c>
      <c r="F7" s="24">
        <v>4</v>
      </c>
      <c r="G7" s="24"/>
      <c r="H7" s="24" t="s">
        <v>747</v>
      </c>
    </row>
    <row r="8" spans="2:8">
      <c r="B8" s="24">
        <v>5</v>
      </c>
      <c r="C8" s="24"/>
      <c r="D8" s="24" t="s">
        <v>748</v>
      </c>
      <c r="F8" s="24">
        <v>5</v>
      </c>
      <c r="G8" s="24"/>
      <c r="H8" s="24" t="s">
        <v>754</v>
      </c>
    </row>
    <row r="9" spans="2:8">
      <c r="B9" s="24">
        <v>6</v>
      </c>
      <c r="C9" s="24"/>
      <c r="D9" s="24" t="s">
        <v>749</v>
      </c>
      <c r="F9" s="24">
        <v>6</v>
      </c>
      <c r="G9" s="24"/>
      <c r="H9" s="24" t="s">
        <v>749</v>
      </c>
    </row>
    <row r="10" spans="2:8">
      <c r="B10" s="24">
        <v>7</v>
      </c>
      <c r="C10" s="24"/>
      <c r="D10" s="24" t="s">
        <v>749</v>
      </c>
      <c r="F10" s="24">
        <v>7</v>
      </c>
      <c r="G10" s="24"/>
      <c r="H10" s="24" t="s">
        <v>749</v>
      </c>
    </row>
    <row r="11" spans="2:8">
      <c r="B11" s="24">
        <v>8</v>
      </c>
      <c r="C11" s="24"/>
      <c r="D11" s="24" t="s">
        <v>749</v>
      </c>
    </row>
    <row r="12" spans="2:8">
      <c r="B12" s="24">
        <v>9</v>
      </c>
      <c r="C12" s="24"/>
      <c r="D12" s="24" t="s">
        <v>749</v>
      </c>
    </row>
    <row r="13" spans="2:8">
      <c r="B13" s="24">
        <v>10</v>
      </c>
      <c r="C13" s="24"/>
      <c r="D13" s="24" t="s">
        <v>749</v>
      </c>
    </row>
    <row r="14" spans="2:8">
      <c r="B14" s="24">
        <v>11</v>
      </c>
      <c r="C14" s="24"/>
      <c r="D14" s="24" t="s">
        <v>749</v>
      </c>
    </row>
    <row r="15" spans="2:8">
      <c r="B15" s="24">
        <v>12</v>
      </c>
      <c r="C15" s="24"/>
      <c r="D15" s="24" t="s">
        <v>749</v>
      </c>
    </row>
  </sheetData>
  <mergeCells count="2">
    <mergeCell ref="B2:D2"/>
    <mergeCell ref="F2:H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6"/>
  <sheetViews>
    <sheetView workbookViewId="0">
      <selection activeCell="B5" sqref="B5"/>
    </sheetView>
  </sheetViews>
  <sheetFormatPr defaultRowHeight="12.75"/>
  <cols>
    <col min="2" max="2" width="23.42578125" bestFit="1" customWidth="1"/>
    <col min="3" max="3" width="21.5703125" bestFit="1" customWidth="1"/>
    <col min="4" max="4" width="23.42578125" bestFit="1" customWidth="1"/>
    <col min="5" max="5" width="21.5703125" bestFit="1" customWidth="1"/>
    <col min="6" max="6" width="23.42578125" bestFit="1" customWidth="1"/>
    <col min="7" max="7" width="21.5703125" bestFit="1" customWidth="1"/>
  </cols>
  <sheetData>
    <row r="1" spans="1:7">
      <c r="A1" t="s">
        <v>755</v>
      </c>
    </row>
    <row r="2" spans="1:7">
      <c r="B2" s="306" t="s">
        <v>175</v>
      </c>
      <c r="C2" s="306"/>
      <c r="D2" s="1082" t="s">
        <v>74</v>
      </c>
      <c r="E2" s="1082"/>
      <c r="F2" s="1082" t="s">
        <v>73</v>
      </c>
      <c r="G2" s="1082"/>
    </row>
    <row r="3" spans="1:7">
      <c r="A3" t="s">
        <v>157</v>
      </c>
      <c r="B3" t="s">
        <v>756</v>
      </c>
      <c r="C3" t="s">
        <v>757</v>
      </c>
      <c r="D3" t="s">
        <v>756</v>
      </c>
      <c r="E3" t="s">
        <v>757</v>
      </c>
      <c r="F3" t="s">
        <v>756</v>
      </c>
      <c r="G3" t="s">
        <v>757</v>
      </c>
    </row>
    <row r="4" spans="1:7">
      <c r="A4" t="s">
        <v>151</v>
      </c>
    </row>
    <row r="5" spans="1:7">
      <c r="A5" t="s">
        <v>150</v>
      </c>
    </row>
    <row r="6" spans="1:7">
      <c r="A6" t="s">
        <v>155</v>
      </c>
    </row>
  </sheetData>
  <mergeCells count="2">
    <mergeCell ref="D2:E2"/>
    <mergeCell ref="F2:G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33"/>
  <sheetViews>
    <sheetView topLeftCell="A52" workbookViewId="0">
      <selection activeCell="A2" sqref="A2"/>
    </sheetView>
  </sheetViews>
  <sheetFormatPr defaultRowHeight="12.75"/>
  <sheetData>
    <row r="1" spans="1:1">
      <c r="A1" t="s">
        <v>758</v>
      </c>
    </row>
    <row r="32" spans="1:1">
      <c r="A32" t="s">
        <v>759</v>
      </c>
    </row>
    <row r="33" spans="1:1">
      <c r="A33" t="s">
        <v>760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
  <sheetViews>
    <sheetView workbookViewId="0"/>
  </sheetViews>
  <sheetFormatPr defaultRowHeight="12.75"/>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E2:E8"/>
  <sheetViews>
    <sheetView workbookViewId="0">
      <selection activeCell="B12" sqref="B12"/>
    </sheetView>
  </sheetViews>
  <sheetFormatPr defaultRowHeight="12.75"/>
  <sheetData>
    <row r="2" spans="5:5">
      <c r="E2">
        <v>3012000</v>
      </c>
    </row>
    <row r="3" spans="5:5">
      <c r="E3">
        <v>305350</v>
      </c>
    </row>
    <row r="4" spans="5:5">
      <c r="E4">
        <v>608150</v>
      </c>
    </row>
    <row r="6" spans="5:5">
      <c r="E6">
        <f>E2+E3+E4</f>
        <v>3925500</v>
      </c>
    </row>
    <row r="8" spans="5:5">
      <c r="E8">
        <f>E6*12</f>
        <v>47106000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P49"/>
  <sheetViews>
    <sheetView view="pageBreakPreview" zoomScaleSheetLayoutView="100" workbookViewId="0">
      <selection activeCell="F7" sqref="F7"/>
    </sheetView>
  </sheetViews>
  <sheetFormatPr defaultRowHeight="12.75"/>
  <cols>
    <col min="1" max="1" width="28" style="207" bestFit="1" customWidth="1"/>
    <col min="2" max="3" width="10.85546875" style="207" bestFit="1" customWidth="1"/>
    <col min="4" max="4" width="11.28515625" style="207" bestFit="1" customWidth="1"/>
    <col min="5" max="5" width="10.140625" style="207" customWidth="1"/>
    <col min="6" max="6" width="11.28515625" style="207" customWidth="1"/>
    <col min="7" max="7" width="9.140625" style="207" customWidth="1"/>
    <col min="8" max="8" width="11.28515625" style="207" customWidth="1"/>
    <col min="9" max="9" width="11.7109375" style="207" bestFit="1" customWidth="1"/>
    <col min="10" max="10" width="11.140625" style="207" bestFit="1" customWidth="1"/>
    <col min="11" max="13" width="11.28515625" style="207" customWidth="1"/>
    <col min="14" max="14" width="11.140625" style="207" hidden="1" customWidth="1"/>
    <col min="15" max="15" width="9.140625" style="207" hidden="1" customWidth="1"/>
    <col min="16" max="16384" width="9.140625" style="207"/>
  </cols>
  <sheetData>
    <row r="2" spans="1:16">
      <c r="A2" s="893" t="str">
        <f>+'BANK CMA'!A2:E2</f>
        <v>M/s SANSKAR BHARTI FOUNDATION</v>
      </c>
      <c r="B2" s="893"/>
      <c r="C2" s="893"/>
      <c r="D2" s="893"/>
      <c r="E2" s="223"/>
    </row>
    <row r="4" spans="1:16">
      <c r="F4" s="207" t="s">
        <v>591</v>
      </c>
    </row>
    <row r="5" spans="1:16" ht="15">
      <c r="A5" s="236" t="s">
        <v>606</v>
      </c>
      <c r="B5" s="213" t="str">
        <f>+'BANK CMA'!B6</f>
        <v>31.03.12</v>
      </c>
      <c r="C5" s="213" t="str">
        <f>+'BANK CMA'!C6</f>
        <v>31.03.13</v>
      </c>
      <c r="D5" s="213" t="str">
        <f>+'BANK CMA'!D6</f>
        <v>31.03.14</v>
      </c>
      <c r="E5" s="213" t="str">
        <f>+'BANK CMA'!E6</f>
        <v>31.03.15</v>
      </c>
      <c r="F5" s="213" t="str">
        <f>+'BANK CMA'!F6</f>
        <v>31.03.16</v>
      </c>
      <c r="G5" s="213" t="str">
        <f>+'BANK CMA'!G6</f>
        <v>31.03.17</v>
      </c>
      <c r="H5" s="213" t="str">
        <f>+'BANK CMA'!H6</f>
        <v>31.03.18</v>
      </c>
      <c r="I5" s="213" t="str">
        <f>+'BANK CMA'!I6</f>
        <v>31.03.19</v>
      </c>
      <c r="J5" s="213" t="str">
        <f>+'BANK CMA'!J6</f>
        <v>31.03.20</v>
      </c>
      <c r="K5" s="213" t="str">
        <f>+'BANK CMA'!K6</f>
        <v>31.03.21</v>
      </c>
      <c r="L5" s="213" t="str">
        <f>+'BANK CMA'!L6</f>
        <v>31.03.22</v>
      </c>
      <c r="M5" s="213" t="str">
        <f>+'BANK CMA'!M6</f>
        <v>31.03.23</v>
      </c>
      <c r="N5" s="213" t="str">
        <f>+'BANK CMA'!N6</f>
        <v>31.03.20</v>
      </c>
      <c r="O5" s="213" t="str">
        <f>+'BANK CMA'!O6</f>
        <v>31.03.21</v>
      </c>
      <c r="P5" s="213"/>
    </row>
    <row r="6" spans="1:16">
      <c r="A6" s="232"/>
      <c r="B6" s="213" t="str">
        <f>+'BANK CMA'!B7</f>
        <v>AUDITED</v>
      </c>
      <c r="C6" s="213" t="str">
        <f>+'BANK CMA'!C7</f>
        <v>AUDITED</v>
      </c>
      <c r="D6" s="213" t="str">
        <f>+'BANK CMA'!D7</f>
        <v>Prov.</v>
      </c>
      <c r="E6" s="213" t="str">
        <f>+'BANK CMA'!E7</f>
        <v>Proj.</v>
      </c>
      <c r="F6" s="213" t="str">
        <f>+'BANK CMA'!F7</f>
        <v>Proj.</v>
      </c>
      <c r="G6" s="213" t="str">
        <f>+'BANK CMA'!G7</f>
        <v>Proj.</v>
      </c>
      <c r="H6" s="213" t="str">
        <f>+'BANK CMA'!H7</f>
        <v>Proj.</v>
      </c>
      <c r="I6" s="213" t="str">
        <f>+'BANK CMA'!I7</f>
        <v>Proj.</v>
      </c>
      <c r="J6" s="213" t="str">
        <f>+'BANK CMA'!J7</f>
        <v>Proj.</v>
      </c>
      <c r="K6" s="213" t="str">
        <f>+'BANK CMA'!K7</f>
        <v>Proj.</v>
      </c>
      <c r="L6" s="213" t="str">
        <f>+'BANK CMA'!L7</f>
        <v>Proj.</v>
      </c>
      <c r="M6" s="213" t="str">
        <f>+'BANK CMA'!M7</f>
        <v>Proj.</v>
      </c>
      <c r="N6" s="213" t="str">
        <f>+'BANK CMA'!N7</f>
        <v>Proj.</v>
      </c>
      <c r="O6" s="213" t="str">
        <f>+'BANK CMA'!O7</f>
        <v>Proj.</v>
      </c>
      <c r="P6" s="213"/>
    </row>
    <row r="7" spans="1:16">
      <c r="A7" s="230" t="s">
        <v>238</v>
      </c>
      <c r="B7" s="215">
        <f>+'BANK CMA'!B278</f>
        <v>1210.5957843000001</v>
      </c>
      <c r="C7" s="215">
        <f>+'BANK CMA'!C278</f>
        <v>1199.3136</v>
      </c>
      <c r="D7" s="215">
        <f>+'BANK CMA'!D278</f>
        <v>1129.38159</v>
      </c>
      <c r="E7" s="215">
        <f>+'BANK CMA'!E278</f>
        <v>2553.5080400000002</v>
      </c>
      <c r="F7" s="215">
        <f>+'BANK CMA'!F278</f>
        <v>2499.5135043999999</v>
      </c>
      <c r="G7" s="215">
        <f>+'BANK CMA'!G278</f>
        <v>2275.3514728500004</v>
      </c>
      <c r="H7" s="215">
        <f>+'BANK CMA'!H278</f>
        <v>2225.4613683715006</v>
      </c>
      <c r="I7" s="215">
        <f>+'BANK CMA'!I278</f>
        <v>2077.462639669875</v>
      </c>
      <c r="J7" s="215">
        <f>+'BANK CMA'!J278</f>
        <v>2069.0307943680837</v>
      </c>
      <c r="K7" s="215">
        <f>+'BANK CMA'!K278</f>
        <v>2717.8440925466925</v>
      </c>
      <c r="L7" s="215">
        <f>+'BANK CMA'!L278</f>
        <v>3397.4677260151279</v>
      </c>
      <c r="M7" s="215">
        <f>+'BANK CMA'!M278</f>
        <v>4051.2169114782532</v>
      </c>
      <c r="N7" s="215">
        <f>+'BANK CMA'!N278</f>
        <v>4051.2169114782532</v>
      </c>
      <c r="O7" s="215">
        <f>+'BANK CMA'!O278</f>
        <v>4051.2169114782532</v>
      </c>
      <c r="P7" s="215"/>
    </row>
    <row r="8" spans="1:16">
      <c r="A8" s="230" t="s">
        <v>4</v>
      </c>
      <c r="B8" s="215">
        <f>+'BANK CMA'!B281</f>
        <v>69.940354299999996</v>
      </c>
      <c r="C8" s="215">
        <f>+'BANK CMA'!C281</f>
        <v>69.962010000000006</v>
      </c>
      <c r="D8" s="215">
        <f>+'BANK CMA'!D281</f>
        <v>63.873550000000002</v>
      </c>
      <c r="E8" s="215">
        <f>+'BANK CMA'!E281</f>
        <v>61.994535600000006</v>
      </c>
      <c r="F8" s="215">
        <f>+'BANK CMA'!F281</f>
        <v>274.16203154999999</v>
      </c>
      <c r="G8" s="215">
        <f>+'BANK CMA'!G281</f>
        <v>249.89010447850004</v>
      </c>
      <c r="H8" s="215">
        <f>+'BANK CMA'!H281</f>
        <v>227.99872870162505</v>
      </c>
      <c r="I8" s="215">
        <f>+'BANK CMA'!I281</f>
        <v>213.43184530179127</v>
      </c>
      <c r="J8" s="215">
        <f>+'BANK CMA'!J281</f>
        <v>201.18670182139155</v>
      </c>
      <c r="K8" s="215">
        <f>+'BANK CMA'!K281</f>
        <v>220.37636653156497</v>
      </c>
      <c r="L8" s="215">
        <f>+'BANK CMA'!L281</f>
        <v>236.25081453687406</v>
      </c>
      <c r="M8" s="215">
        <f>+'BANK CMA'!M281</f>
        <v>342.97600504288255</v>
      </c>
      <c r="N8" s="215" t="e">
        <f>+'BANK CMA'!N281</f>
        <v>#REF!</v>
      </c>
      <c r="O8" s="215" t="e">
        <f>+'BANK CMA'!O281</f>
        <v>#REF!</v>
      </c>
      <c r="P8" s="215"/>
    </row>
    <row r="9" spans="1:16">
      <c r="A9" s="230" t="s">
        <v>605</v>
      </c>
      <c r="B9" s="215"/>
      <c r="C9" s="215"/>
      <c r="D9" s="215"/>
      <c r="E9" s="215"/>
      <c r="F9" s="215"/>
      <c r="G9" s="215"/>
      <c r="H9" s="215"/>
      <c r="I9" s="215"/>
      <c r="J9" s="215"/>
      <c r="K9" s="215"/>
      <c r="L9" s="215"/>
      <c r="M9" s="215"/>
      <c r="N9" s="215"/>
      <c r="O9" s="215"/>
      <c r="P9" s="215"/>
    </row>
    <row r="10" spans="1:16">
      <c r="A10" s="231" t="s">
        <v>237</v>
      </c>
      <c r="B10" s="213">
        <f t="shared" ref="B10:O10" si="0">+B7-B8+B9</f>
        <v>1140.65543</v>
      </c>
      <c r="C10" s="213">
        <f t="shared" si="0"/>
        <v>1129.35159</v>
      </c>
      <c r="D10" s="213">
        <f t="shared" si="0"/>
        <v>1065.5080399999999</v>
      </c>
      <c r="E10" s="213">
        <f t="shared" si="0"/>
        <v>2491.5135044000003</v>
      </c>
      <c r="F10" s="213">
        <f t="shared" si="0"/>
        <v>2225.3514728499999</v>
      </c>
      <c r="G10" s="213">
        <f>+G7-G8+G9</f>
        <v>2025.4613683715004</v>
      </c>
      <c r="H10" s="213">
        <f>+H7-H8+H9</f>
        <v>1997.4626396698754</v>
      </c>
      <c r="I10" s="213">
        <f t="shared" si="0"/>
        <v>1864.0307943680837</v>
      </c>
      <c r="J10" s="213">
        <f t="shared" si="0"/>
        <v>1867.8440925466921</v>
      </c>
      <c r="K10" s="213">
        <f t="shared" si="0"/>
        <v>2497.4677260151275</v>
      </c>
      <c r="L10" s="213">
        <f t="shared" si="0"/>
        <v>3161.2169114782537</v>
      </c>
      <c r="M10" s="213">
        <f t="shared" si="0"/>
        <v>3708.2409064353706</v>
      </c>
      <c r="N10" s="213" t="e">
        <f t="shared" si="0"/>
        <v>#REF!</v>
      </c>
      <c r="O10" s="213" t="e">
        <f t="shared" si="0"/>
        <v>#REF!</v>
      </c>
      <c r="P10" s="213"/>
    </row>
    <row r="11" spans="1:16">
      <c r="A11" s="232"/>
      <c r="B11" s="215"/>
      <c r="C11" s="215"/>
      <c r="D11" s="215"/>
      <c r="E11" s="215"/>
      <c r="F11" s="215"/>
      <c r="G11" s="215"/>
      <c r="H11" s="215"/>
      <c r="I11" s="215"/>
      <c r="J11" s="215"/>
      <c r="K11" s="215"/>
      <c r="L11" s="215"/>
      <c r="M11" s="215"/>
      <c r="N11" s="215"/>
      <c r="O11" s="215"/>
      <c r="P11" s="215"/>
    </row>
    <row r="12" spans="1:16">
      <c r="A12" s="231" t="s">
        <v>604</v>
      </c>
      <c r="B12" s="213"/>
      <c r="C12" s="213"/>
      <c r="D12" s="213"/>
      <c r="E12" s="213"/>
      <c r="F12" s="213"/>
      <c r="G12" s="213"/>
      <c r="H12" s="213"/>
      <c r="I12" s="213"/>
      <c r="J12" s="213"/>
      <c r="K12" s="213"/>
      <c r="L12" s="213"/>
      <c r="M12" s="213"/>
      <c r="N12" s="213"/>
      <c r="O12" s="213"/>
      <c r="P12" s="213"/>
    </row>
    <row r="13" spans="1:16">
      <c r="A13" s="230" t="s">
        <v>603</v>
      </c>
      <c r="B13" s="215">
        <f>+'BANK CMA'!B291</f>
        <v>3.43425</v>
      </c>
      <c r="C13" s="215">
        <f>+'BANK CMA'!C291</f>
        <v>1.43425</v>
      </c>
      <c r="D13" s="215">
        <f>+'BANK CMA'!D291</f>
        <v>1.5</v>
      </c>
      <c r="E13" s="215">
        <f>+'BANK CMA'!E291</f>
        <v>2.5</v>
      </c>
      <c r="F13" s="215">
        <f>+'BANK CMA'!F291</f>
        <v>5</v>
      </c>
      <c r="G13" s="215">
        <f>+'BANK CMA'!G291</f>
        <v>15.5</v>
      </c>
      <c r="H13" s="215">
        <f>+'BANK CMA'!H291</f>
        <v>20.5</v>
      </c>
      <c r="I13" s="215">
        <f>+'BANK CMA'!I291</f>
        <v>25.5</v>
      </c>
      <c r="J13" s="215">
        <f>+'BANK CMA'!J291</f>
        <v>30.5</v>
      </c>
      <c r="K13" s="215">
        <f>+'BANK CMA'!K291</f>
        <v>35.5</v>
      </c>
      <c r="L13" s="215">
        <f>+'BANK CMA'!L291</f>
        <v>40.5</v>
      </c>
      <c r="M13" s="215">
        <f>+'BANK CMA'!M291</f>
        <v>45.5</v>
      </c>
      <c r="N13" s="215">
        <f>+'BANK CMA'!N291</f>
        <v>9</v>
      </c>
      <c r="O13" s="215">
        <f>+'BANK CMA'!O291</f>
        <v>9</v>
      </c>
      <c r="P13" s="215"/>
    </row>
    <row r="14" spans="1:16">
      <c r="A14" s="230" t="s">
        <v>602</v>
      </c>
      <c r="B14" s="215">
        <f>+'BANK CMA'!B287+'BANK CMA'!B288</f>
        <v>0</v>
      </c>
      <c r="C14" s="215">
        <f>+'BANK CMA'!C287+'BANK CMA'!C288</f>
        <v>0</v>
      </c>
      <c r="D14" s="215">
        <f>+'BANK CMA'!D287+'BANK CMA'!D288</f>
        <v>0</v>
      </c>
      <c r="E14" s="215">
        <f>+'BANK CMA'!E287+'BANK CMA'!E288</f>
        <v>0</v>
      </c>
      <c r="F14" s="215">
        <f>+'BANK CMA'!F287+'BANK CMA'!F288</f>
        <v>0</v>
      </c>
      <c r="G14" s="215">
        <f>+'BANK CMA'!G287+'BANK CMA'!G288</f>
        <v>0</v>
      </c>
      <c r="H14" s="215">
        <f>+'BANK CMA'!H287+'BANK CMA'!H288</f>
        <v>0</v>
      </c>
      <c r="I14" s="215">
        <f>+'BANK CMA'!I287+'BANK CMA'!I288</f>
        <v>0</v>
      </c>
      <c r="J14" s="215">
        <f>+'BANK CMA'!J287+'BANK CMA'!J288</f>
        <v>0</v>
      </c>
      <c r="K14" s="215">
        <f>+'BANK CMA'!K287+'BANK CMA'!K288</f>
        <v>0</v>
      </c>
      <c r="L14" s="215">
        <f>+'BANK CMA'!L287+'BANK CMA'!L288</f>
        <v>0</v>
      </c>
      <c r="M14" s="215">
        <f>+'BANK CMA'!M287+'BANK CMA'!M288</f>
        <v>0</v>
      </c>
      <c r="N14" s="215">
        <f>+'BANK CMA'!N287+'BANK CMA'!N288</f>
        <v>1343.7051812372792</v>
      </c>
      <c r="O14" s="215">
        <f>+'BANK CMA'!O287+'BANK CMA'!O288</f>
        <v>1822.791311598532</v>
      </c>
      <c r="P14" s="215"/>
    </row>
    <row r="15" spans="1:16">
      <c r="A15" s="230" t="s">
        <v>601</v>
      </c>
      <c r="B15" s="215"/>
      <c r="C15" s="215"/>
      <c r="D15" s="215"/>
      <c r="E15" s="215"/>
      <c r="F15" s="215"/>
      <c r="G15" s="215"/>
      <c r="H15" s="215"/>
      <c r="I15" s="215"/>
      <c r="J15" s="215"/>
      <c r="K15" s="215"/>
      <c r="L15" s="215"/>
      <c r="M15" s="215"/>
      <c r="N15" s="215"/>
      <c r="O15" s="215"/>
      <c r="P15" s="215"/>
    </row>
    <row r="16" spans="1:16">
      <c r="A16" s="230" t="s">
        <v>600</v>
      </c>
      <c r="B16" s="215">
        <f>+'BANK CMA'!B292</f>
        <v>0</v>
      </c>
      <c r="C16" s="215">
        <f>+'BANK CMA'!C292</f>
        <v>0</v>
      </c>
      <c r="D16" s="215">
        <f>+'BANK CMA'!D292</f>
        <v>0</v>
      </c>
      <c r="E16" s="215">
        <f>+'BANK CMA'!E292</f>
        <v>0</v>
      </c>
      <c r="F16" s="215">
        <f>+'BANK CMA'!F292</f>
        <v>0</v>
      </c>
      <c r="G16" s="215">
        <f>+'BANK CMA'!G292</f>
        <v>0</v>
      </c>
      <c r="H16" s="215">
        <f>+'BANK CMA'!H292</f>
        <v>0</v>
      </c>
      <c r="I16" s="215">
        <f>+'BANK CMA'!I292</f>
        <v>0</v>
      </c>
      <c r="J16" s="215">
        <f>+'BANK CMA'!J292</f>
        <v>0</v>
      </c>
      <c r="K16" s="215">
        <f>+'BANK CMA'!K292</f>
        <v>0</v>
      </c>
      <c r="L16" s="215">
        <f>+'BANK CMA'!L292</f>
        <v>0</v>
      </c>
      <c r="M16" s="215">
        <f>+'BANK CMA'!M292</f>
        <v>0</v>
      </c>
      <c r="N16" s="215">
        <f>+'BANK CMA'!N292</f>
        <v>0</v>
      </c>
      <c r="O16" s="215">
        <f>+'BANK CMA'!O292</f>
        <v>0</v>
      </c>
      <c r="P16" s="215"/>
    </row>
    <row r="17" spans="1:16">
      <c r="A17" s="231" t="s">
        <v>599</v>
      </c>
      <c r="B17" s="213">
        <f t="shared" ref="B17:O17" si="1">SUM(B13:B16)</f>
        <v>3.43425</v>
      </c>
      <c r="C17" s="213">
        <f t="shared" si="1"/>
        <v>1.43425</v>
      </c>
      <c r="D17" s="213">
        <f t="shared" si="1"/>
        <v>1.5</v>
      </c>
      <c r="E17" s="213">
        <f t="shared" si="1"/>
        <v>2.5</v>
      </c>
      <c r="F17" s="213">
        <f t="shared" si="1"/>
        <v>5</v>
      </c>
      <c r="G17" s="213">
        <f>SUM(G13:G16)</f>
        <v>15.5</v>
      </c>
      <c r="H17" s="213">
        <f>SUM(H13:H16)</f>
        <v>20.5</v>
      </c>
      <c r="I17" s="213">
        <f t="shared" si="1"/>
        <v>25.5</v>
      </c>
      <c r="J17" s="213">
        <f t="shared" si="1"/>
        <v>30.5</v>
      </c>
      <c r="K17" s="213">
        <f t="shared" si="1"/>
        <v>35.5</v>
      </c>
      <c r="L17" s="213">
        <f t="shared" si="1"/>
        <v>40.5</v>
      </c>
      <c r="M17" s="213">
        <f t="shared" si="1"/>
        <v>45.5</v>
      </c>
      <c r="N17" s="213">
        <f t="shared" si="1"/>
        <v>1352.7051812372792</v>
      </c>
      <c r="O17" s="213">
        <f t="shared" si="1"/>
        <v>1831.791311598532</v>
      </c>
      <c r="P17" s="213"/>
    </row>
    <row r="18" spans="1:16">
      <c r="A18" s="232"/>
      <c r="B18" s="215"/>
      <c r="C18" s="215"/>
      <c r="D18" s="215"/>
      <c r="E18" s="215"/>
      <c r="F18" s="215"/>
      <c r="G18" s="215"/>
      <c r="H18" s="215"/>
      <c r="I18" s="215"/>
      <c r="J18" s="215"/>
      <c r="K18" s="215"/>
      <c r="L18" s="215"/>
      <c r="M18" s="215"/>
      <c r="N18" s="215"/>
      <c r="O18" s="215"/>
      <c r="P18" s="215"/>
    </row>
    <row r="19" spans="1:16">
      <c r="A19" s="231" t="s">
        <v>598</v>
      </c>
      <c r="B19" s="213">
        <f t="shared" ref="B19:O19" si="2">+B10+B17</f>
        <v>1144.08968</v>
      </c>
      <c r="C19" s="213">
        <f t="shared" si="2"/>
        <v>1130.78584</v>
      </c>
      <c r="D19" s="213">
        <f t="shared" si="2"/>
        <v>1067.0080399999999</v>
      </c>
      <c r="E19" s="213">
        <f t="shared" si="2"/>
        <v>2494.0135044000003</v>
      </c>
      <c r="F19" s="213">
        <f>+F10+F17</f>
        <v>2230.3514728499999</v>
      </c>
      <c r="G19" s="213">
        <f>+G10+G17</f>
        <v>2040.9613683715004</v>
      </c>
      <c r="H19" s="213">
        <f>+H10+H17</f>
        <v>2017.9626396698754</v>
      </c>
      <c r="I19" s="213">
        <f t="shared" si="2"/>
        <v>1889.5307943680837</v>
      </c>
      <c r="J19" s="213">
        <f t="shared" si="2"/>
        <v>1898.3440925466921</v>
      </c>
      <c r="K19" s="213">
        <f t="shared" si="2"/>
        <v>2532.9677260151275</v>
      </c>
      <c r="L19" s="213">
        <f t="shared" si="2"/>
        <v>3201.7169114782537</v>
      </c>
      <c r="M19" s="213">
        <f t="shared" si="2"/>
        <v>3753.7409064353706</v>
      </c>
      <c r="N19" s="213" t="e">
        <f t="shared" si="2"/>
        <v>#REF!</v>
      </c>
      <c r="O19" s="213" t="e">
        <f t="shared" si="2"/>
        <v>#REF!</v>
      </c>
      <c r="P19" s="213"/>
    </row>
    <row r="20" spans="1:16">
      <c r="A20" s="232"/>
      <c r="B20" s="215"/>
      <c r="C20" s="215"/>
      <c r="D20" s="215"/>
      <c r="E20" s="215"/>
      <c r="F20" s="215"/>
      <c r="G20" s="215"/>
      <c r="H20" s="215"/>
      <c r="I20" s="215"/>
      <c r="J20" s="215"/>
      <c r="K20" s="215"/>
      <c r="L20" s="215"/>
      <c r="M20" s="215"/>
      <c r="N20" s="215"/>
      <c r="O20" s="215"/>
      <c r="P20" s="215"/>
    </row>
    <row r="21" spans="1:16">
      <c r="A21" s="231" t="s">
        <v>41</v>
      </c>
      <c r="B21" s="215"/>
      <c r="C21" s="215"/>
      <c r="D21" s="215"/>
      <c r="E21" s="215"/>
      <c r="F21" s="215"/>
      <c r="G21" s="215"/>
      <c r="H21" s="215"/>
      <c r="I21" s="215"/>
      <c r="J21" s="215"/>
      <c r="K21" s="215"/>
      <c r="L21" s="215"/>
      <c r="M21" s="215"/>
      <c r="N21" s="215"/>
      <c r="O21" s="215"/>
      <c r="P21" s="215"/>
    </row>
    <row r="22" spans="1:16">
      <c r="A22" s="230" t="s">
        <v>437</v>
      </c>
      <c r="B22" s="235">
        <f>+'BANK CMA'!B247</f>
        <v>0</v>
      </c>
      <c r="C22" s="235">
        <f>+'BANK CMA'!C247</f>
        <v>0</v>
      </c>
      <c r="D22" s="235">
        <f>+'BANK CMA'!D247</f>
        <v>0</v>
      </c>
      <c r="E22" s="235">
        <f>+'BANK CMA'!E247</f>
        <v>0</v>
      </c>
      <c r="F22" s="235">
        <f>+'BANK CMA'!F247</f>
        <v>0</v>
      </c>
      <c r="G22" s="235">
        <f>+'BANK CMA'!G247</f>
        <v>0</v>
      </c>
      <c r="H22" s="235">
        <f>+'BANK CMA'!H247</f>
        <v>0</v>
      </c>
      <c r="I22" s="235">
        <f>+'BANK CMA'!I247</f>
        <v>0</v>
      </c>
      <c r="J22" s="235">
        <f>+'BANK CMA'!J247</f>
        <v>0</v>
      </c>
      <c r="K22" s="235">
        <f>+'BANK CMA'!K247</f>
        <v>0</v>
      </c>
      <c r="L22" s="235">
        <f>+'BANK CMA'!L247</f>
        <v>0</v>
      </c>
      <c r="M22" s="235">
        <f>+'BANK CMA'!M247</f>
        <v>0</v>
      </c>
      <c r="N22" s="235" t="e">
        <f>+'BANK CMA'!N247</f>
        <v>#REF!</v>
      </c>
      <c r="O22" s="235" t="e">
        <f>+'BANK CMA'!O247</f>
        <v>#REF!</v>
      </c>
      <c r="P22" s="235"/>
    </row>
    <row r="23" spans="1:16">
      <c r="A23" s="230" t="s">
        <v>597</v>
      </c>
      <c r="B23" s="215">
        <f t="shared" ref="B23:O23" si="3">+B24+B25</f>
        <v>0</v>
      </c>
      <c r="C23" s="215">
        <f t="shared" si="3"/>
        <v>0</v>
      </c>
      <c r="D23" s="215">
        <f t="shared" si="3"/>
        <v>0</v>
      </c>
      <c r="E23" s="215">
        <f t="shared" si="3"/>
        <v>0</v>
      </c>
      <c r="F23" s="215">
        <f t="shared" si="3"/>
        <v>0</v>
      </c>
      <c r="G23" s="215">
        <f>+G24+G25</f>
        <v>0</v>
      </c>
      <c r="H23" s="215">
        <f>+H24+H25</f>
        <v>0</v>
      </c>
      <c r="I23" s="215">
        <f t="shared" si="3"/>
        <v>0</v>
      </c>
      <c r="J23" s="215">
        <f t="shared" si="3"/>
        <v>0</v>
      </c>
      <c r="K23" s="215">
        <f t="shared" si="3"/>
        <v>0</v>
      </c>
      <c r="L23" s="215">
        <f t="shared" si="3"/>
        <v>0</v>
      </c>
      <c r="M23" s="215">
        <f t="shared" si="3"/>
        <v>0</v>
      </c>
      <c r="N23" s="215">
        <f t="shared" si="3"/>
        <v>2225.77</v>
      </c>
      <c r="O23" s="215">
        <f t="shared" si="3"/>
        <v>2225.77</v>
      </c>
      <c r="P23" s="215"/>
    </row>
    <row r="24" spans="1:16" s="228" customFormat="1">
      <c r="A24" s="234" t="s">
        <v>596</v>
      </c>
      <c r="B24" s="233">
        <f>+'BANK CMA'!B239</f>
        <v>0</v>
      </c>
      <c r="C24" s="233">
        <f>+'BANK CMA'!C239</f>
        <v>0</v>
      </c>
      <c r="D24" s="233">
        <f>+'BANK CMA'!D239</f>
        <v>0</v>
      </c>
      <c r="E24" s="233">
        <f>+'BANK CMA'!E239</f>
        <v>0</v>
      </c>
      <c r="F24" s="233">
        <f>+'BANK CMA'!F239</f>
        <v>0</v>
      </c>
      <c r="G24" s="233">
        <f>+'BANK CMA'!G239</f>
        <v>0</v>
      </c>
      <c r="H24" s="233">
        <f>+'BANK CMA'!H239</f>
        <v>0</v>
      </c>
      <c r="I24" s="233">
        <f>+'BANK CMA'!I239</f>
        <v>0</v>
      </c>
      <c r="J24" s="233">
        <f>+'BANK CMA'!J239</f>
        <v>0</v>
      </c>
      <c r="K24" s="233">
        <f>+'BANK CMA'!K239</f>
        <v>0</v>
      </c>
      <c r="L24" s="233">
        <f>+'BANK CMA'!L239</f>
        <v>0</v>
      </c>
      <c r="M24" s="233">
        <f>+'BANK CMA'!M239</f>
        <v>0</v>
      </c>
      <c r="N24" s="233">
        <f>+'BANK CMA'!N239</f>
        <v>2225.77</v>
      </c>
      <c r="O24" s="233">
        <f>+'BANK CMA'!O239</f>
        <v>2225.77</v>
      </c>
      <c r="P24" s="233"/>
    </row>
    <row r="25" spans="1:16">
      <c r="A25" s="230" t="s">
        <v>595</v>
      </c>
      <c r="B25" s="215">
        <v>0</v>
      </c>
      <c r="C25" s="215">
        <v>0</v>
      </c>
      <c r="D25" s="215">
        <v>0</v>
      </c>
      <c r="E25" s="215">
        <v>0</v>
      </c>
      <c r="F25" s="215">
        <v>0</v>
      </c>
      <c r="G25" s="215">
        <v>0</v>
      </c>
      <c r="H25" s="215">
        <v>0</v>
      </c>
      <c r="I25" s="215">
        <v>0</v>
      </c>
      <c r="J25" s="215">
        <v>0</v>
      </c>
      <c r="K25" s="215">
        <v>0</v>
      </c>
      <c r="L25" s="215">
        <v>0</v>
      </c>
      <c r="M25" s="215">
        <v>0</v>
      </c>
      <c r="N25" s="215">
        <v>0</v>
      </c>
      <c r="O25" s="215">
        <v>0</v>
      </c>
      <c r="P25" s="215"/>
    </row>
    <row r="26" spans="1:16">
      <c r="A26" s="230" t="s">
        <v>235</v>
      </c>
      <c r="B26" s="215">
        <f>+'BANK CMA'!B232+'BANK CMA'!B234</f>
        <v>28.317378799999968</v>
      </c>
      <c r="C26" s="215">
        <f>+'BANK CMA'!C232+'BANK CMA'!C234</f>
        <v>5.0320638000002242</v>
      </c>
      <c r="D26" s="215">
        <f>+'BANK CMA'!D232+'BANK CMA'!D234</f>
        <v>24.352518174999886</v>
      </c>
      <c r="E26" s="215">
        <f>+'BANK CMA'!E232+'BANK CMA'!E234</f>
        <v>66.034710609249942</v>
      </c>
      <c r="F26" s="215">
        <f>+'BANK CMA'!F232+'BANK CMA'!F234</f>
        <v>87.931179527812674</v>
      </c>
      <c r="G26" s="215">
        <f>+'BANK CMA'!G232+'BANK CMA'!G234</f>
        <v>99.276815659886779</v>
      </c>
      <c r="H26" s="215">
        <f>+'BANK CMA'!H232+'BANK CMA'!H234</f>
        <v>100.22972887993228</v>
      </c>
      <c r="I26" s="215">
        <f>+'BANK CMA'!I232+'BANK CMA'!I234</f>
        <v>363.19130723512808</v>
      </c>
      <c r="J26" s="215">
        <f>+'BANK CMA'!J232+'BANK CMA'!J234</f>
        <v>633.52989877979689</v>
      </c>
      <c r="K26" s="215">
        <f>+'BANK CMA'!K232</f>
        <v>126.67302591656426</v>
      </c>
      <c r="L26" s="215">
        <f>+'BANK CMA'!L232</f>
        <v>193.75046071335146</v>
      </c>
      <c r="M26" s="215">
        <f>+'BANK CMA'!M232</f>
        <v>283.74531562670109</v>
      </c>
      <c r="N26" s="215">
        <f>+'BANK CMA'!N232</f>
        <v>20</v>
      </c>
      <c r="O26" s="215">
        <f>+'BANK CMA'!O232</f>
        <v>20</v>
      </c>
      <c r="P26" s="215"/>
    </row>
    <row r="27" spans="1:16">
      <c r="A27" s="230" t="s">
        <v>260</v>
      </c>
      <c r="B27" s="215">
        <f>+'BANK CMA'!B261</f>
        <v>0.66749999999999998</v>
      </c>
      <c r="C27" s="215">
        <f>+'BANK CMA'!C261</f>
        <v>0</v>
      </c>
      <c r="D27" s="215">
        <f>+'BANK CMA'!D261</f>
        <v>0</v>
      </c>
      <c r="E27" s="215">
        <f>+'BANK CMA'!E261</f>
        <v>0</v>
      </c>
      <c r="F27" s="215">
        <f>+'BANK CMA'!F261</f>
        <v>0</v>
      </c>
      <c r="G27" s="215">
        <f>+'BANK CMA'!G261</f>
        <v>0</v>
      </c>
      <c r="H27" s="215">
        <f>+'BANK CMA'!H261</f>
        <v>0</v>
      </c>
      <c r="I27" s="215">
        <f>+'BANK CMA'!I261</f>
        <v>0</v>
      </c>
      <c r="J27" s="215">
        <f>+'BANK CMA'!J261</f>
        <v>0</v>
      </c>
      <c r="K27" s="215">
        <f>+'BANK CMA'!K261</f>
        <v>0</v>
      </c>
      <c r="L27" s="215">
        <f>+'BANK CMA'!L261</f>
        <v>0</v>
      </c>
      <c r="M27" s="215">
        <f>+'BANK CMA'!M261</f>
        <v>0</v>
      </c>
      <c r="N27" s="215">
        <f>+'BANK CMA'!N261</f>
        <v>0</v>
      </c>
      <c r="O27" s="215">
        <f>+'BANK CMA'!O261</f>
        <v>0</v>
      </c>
      <c r="P27" s="215"/>
    </row>
    <row r="28" spans="1:16">
      <c r="A28" s="230" t="s">
        <v>594</v>
      </c>
      <c r="B28" s="215">
        <v>0</v>
      </c>
      <c r="C28" s="215">
        <v>0</v>
      </c>
      <c r="D28" s="215">
        <v>0</v>
      </c>
      <c r="E28" s="215">
        <v>0</v>
      </c>
      <c r="F28" s="215">
        <v>0</v>
      </c>
      <c r="G28" s="215">
        <v>0</v>
      </c>
      <c r="H28" s="215">
        <v>0</v>
      </c>
      <c r="I28" s="215">
        <v>0</v>
      </c>
      <c r="J28" s="215">
        <v>0</v>
      </c>
      <c r="K28" s="215">
        <v>0</v>
      </c>
      <c r="L28" s="215">
        <v>0</v>
      </c>
      <c r="M28" s="215">
        <v>0</v>
      </c>
      <c r="N28" s="215">
        <v>0</v>
      </c>
      <c r="O28" s="215">
        <v>0</v>
      </c>
      <c r="P28" s="215"/>
    </row>
    <row r="29" spans="1:16">
      <c r="A29" s="230" t="s">
        <v>257</v>
      </c>
      <c r="B29" s="215">
        <f>+'BANK CMA'!B264</f>
        <v>0</v>
      </c>
      <c r="C29" s="215">
        <f>+'BANK CMA'!C264</f>
        <v>0</v>
      </c>
      <c r="D29" s="215">
        <f>+'BANK CMA'!D264</f>
        <v>0</v>
      </c>
      <c r="E29" s="215">
        <f>+'BANK CMA'!E264</f>
        <v>0</v>
      </c>
      <c r="F29" s="215">
        <f>+'BANK CMA'!F264</f>
        <v>0</v>
      </c>
      <c r="G29" s="215">
        <f>+'BANK CMA'!G264</f>
        <v>0</v>
      </c>
      <c r="H29" s="215">
        <f>+'BANK CMA'!H264</f>
        <v>0</v>
      </c>
      <c r="I29" s="215">
        <f>+'BANK CMA'!I264</f>
        <v>0</v>
      </c>
      <c r="J29" s="215">
        <f>+'BANK CMA'!J264</f>
        <v>0</v>
      </c>
      <c r="K29" s="215">
        <f>+'BANK CMA'!K264</f>
        <v>0</v>
      </c>
      <c r="L29" s="215">
        <f>+'BANK CMA'!L264</f>
        <v>0</v>
      </c>
      <c r="M29" s="215">
        <f>+'BANK CMA'!M264</f>
        <v>0</v>
      </c>
      <c r="N29" s="215">
        <f>+'BANK CMA'!N264</f>
        <v>0</v>
      </c>
      <c r="O29" s="215">
        <f>+'BANK CMA'!O264</f>
        <v>0</v>
      </c>
      <c r="P29" s="215"/>
    </row>
    <row r="30" spans="1:16">
      <c r="A30" s="230" t="s">
        <v>593</v>
      </c>
      <c r="B30" s="215">
        <v>0</v>
      </c>
      <c r="C30" s="215">
        <v>0</v>
      </c>
      <c r="D30" s="215">
        <v>0</v>
      </c>
      <c r="E30" s="215">
        <v>0</v>
      </c>
      <c r="F30" s="215">
        <v>0</v>
      </c>
      <c r="G30" s="215">
        <v>0</v>
      </c>
      <c r="H30" s="215">
        <v>0</v>
      </c>
      <c r="I30" s="215">
        <v>0</v>
      </c>
      <c r="J30" s="215">
        <v>0</v>
      </c>
      <c r="K30" s="215">
        <v>0</v>
      </c>
      <c r="L30" s="215">
        <v>0</v>
      </c>
      <c r="M30" s="215">
        <v>0</v>
      </c>
      <c r="N30" s="215">
        <v>0</v>
      </c>
      <c r="O30" s="215">
        <v>0</v>
      </c>
      <c r="P30" s="215"/>
    </row>
    <row r="31" spans="1:16">
      <c r="A31" s="230" t="s">
        <v>256</v>
      </c>
      <c r="B31" s="215">
        <f>+'BANK CMA'!B266</f>
        <v>3.9535100000000001</v>
      </c>
      <c r="C31" s="215">
        <f>+'BANK CMA'!C266</f>
        <v>5.5367199999999999</v>
      </c>
      <c r="D31" s="215">
        <f>+'BANK CMA'!D266</f>
        <v>6</v>
      </c>
      <c r="E31" s="215">
        <f>+'BANK CMA'!E266</f>
        <v>10</v>
      </c>
      <c r="F31" s="215">
        <f>+'BANK CMA'!F266</f>
        <v>14</v>
      </c>
      <c r="G31" s="215">
        <f>+'BANK CMA'!G266</f>
        <v>65</v>
      </c>
      <c r="H31" s="215">
        <f>+'BANK CMA'!H266</f>
        <v>100</v>
      </c>
      <c r="I31" s="215">
        <f>+'BANK CMA'!I266</f>
        <v>125</v>
      </c>
      <c r="J31" s="215">
        <f>+'BANK CMA'!J266</f>
        <v>175</v>
      </c>
      <c r="K31" s="215">
        <f>+'BANK CMA'!K266</f>
        <v>225</v>
      </c>
      <c r="L31" s="215">
        <f>+'BANK CMA'!L266</f>
        <v>275</v>
      </c>
      <c r="M31" s="215">
        <f>+'BANK CMA'!M266</f>
        <v>325</v>
      </c>
      <c r="N31" s="215">
        <f>+'BANK CMA'!N266</f>
        <v>50</v>
      </c>
      <c r="O31" s="215">
        <f>+'BANK CMA'!O266</f>
        <v>50</v>
      </c>
      <c r="P31" s="215"/>
    </row>
    <row r="32" spans="1:16">
      <c r="A32" s="231" t="s">
        <v>234</v>
      </c>
      <c r="B32" s="213">
        <f t="shared" ref="B32:O32" si="4">SUM(B22:B31)-B24-B25</f>
        <v>32.93838879999997</v>
      </c>
      <c r="C32" s="213">
        <f t="shared" si="4"/>
        <v>10.568783800000224</v>
      </c>
      <c r="D32" s="213">
        <f t="shared" si="4"/>
        <v>30.352518174999886</v>
      </c>
      <c r="E32" s="213">
        <f t="shared" si="4"/>
        <v>76.034710609249942</v>
      </c>
      <c r="F32" s="213">
        <f t="shared" si="4"/>
        <v>101.93117952781267</v>
      </c>
      <c r="G32" s="213">
        <f>SUM(G22:G31)-G24-G25</f>
        <v>164.27681565988678</v>
      </c>
      <c r="H32" s="213">
        <f>SUM(H22:H31)-H24-H25</f>
        <v>200.22972887993228</v>
      </c>
      <c r="I32" s="213">
        <f t="shared" si="4"/>
        <v>488.19130723512808</v>
      </c>
      <c r="J32" s="213">
        <f t="shared" si="4"/>
        <v>808.52989877979689</v>
      </c>
      <c r="K32" s="213">
        <f t="shared" si="4"/>
        <v>351.67302591656426</v>
      </c>
      <c r="L32" s="213">
        <f t="shared" si="4"/>
        <v>468.75046071335146</v>
      </c>
      <c r="M32" s="213">
        <f t="shared" si="4"/>
        <v>608.74531562670109</v>
      </c>
      <c r="N32" s="213" t="e">
        <f t="shared" si="4"/>
        <v>#REF!</v>
      </c>
      <c r="O32" s="213" t="e">
        <f t="shared" si="4"/>
        <v>#REF!</v>
      </c>
      <c r="P32" s="213"/>
    </row>
    <row r="33" spans="1:16">
      <c r="A33" s="232"/>
      <c r="B33" s="215"/>
      <c r="C33" s="215"/>
      <c r="D33" s="215"/>
      <c r="E33" s="215"/>
      <c r="F33" s="215"/>
      <c r="G33" s="215"/>
      <c r="H33" s="215"/>
      <c r="I33" s="215"/>
      <c r="J33" s="215"/>
      <c r="K33" s="215"/>
      <c r="L33" s="215"/>
      <c r="M33" s="215"/>
      <c r="N33" s="215"/>
      <c r="O33" s="215"/>
      <c r="P33" s="215"/>
    </row>
    <row r="34" spans="1:16">
      <c r="A34" s="232"/>
      <c r="B34" s="215"/>
      <c r="C34" s="215"/>
      <c r="D34" s="215"/>
      <c r="E34" s="215"/>
      <c r="F34" s="215"/>
      <c r="G34" s="215"/>
      <c r="H34" s="215"/>
      <c r="I34" s="215"/>
      <c r="J34" s="215"/>
      <c r="K34" s="215"/>
      <c r="L34" s="215"/>
      <c r="M34" s="215"/>
      <c r="N34" s="215"/>
      <c r="O34" s="215"/>
      <c r="P34" s="215"/>
    </row>
    <row r="35" spans="1:16">
      <c r="A35" s="231" t="s">
        <v>233</v>
      </c>
      <c r="B35" s="213">
        <f t="shared" ref="B35:O35" si="5">+B19+B32</f>
        <v>1177.0280688</v>
      </c>
      <c r="C35" s="213">
        <f t="shared" si="5"/>
        <v>1141.3546238000001</v>
      </c>
      <c r="D35" s="213">
        <f t="shared" si="5"/>
        <v>1097.3605581749998</v>
      </c>
      <c r="E35" s="213">
        <f t="shared" si="5"/>
        <v>2570.0482150092503</v>
      </c>
      <c r="F35" s="213">
        <f t="shared" si="5"/>
        <v>2332.2826523778126</v>
      </c>
      <c r="G35" s="213">
        <f>+G19+G32</f>
        <v>2205.2381840313874</v>
      </c>
      <c r="H35" s="213">
        <f>+H19+H32</f>
        <v>2218.1923685498077</v>
      </c>
      <c r="I35" s="213">
        <f t="shared" si="5"/>
        <v>2377.7221016032117</v>
      </c>
      <c r="J35" s="213">
        <f t="shared" si="5"/>
        <v>2706.873991326489</v>
      </c>
      <c r="K35" s="213">
        <f t="shared" si="5"/>
        <v>2884.6407519316917</v>
      </c>
      <c r="L35" s="213">
        <f t="shared" si="5"/>
        <v>3670.4673721916051</v>
      </c>
      <c r="M35" s="213">
        <f t="shared" si="5"/>
        <v>4362.4862220620716</v>
      </c>
      <c r="N35" s="213" t="e">
        <f t="shared" si="5"/>
        <v>#REF!</v>
      </c>
      <c r="O35" s="213" t="e">
        <f t="shared" si="5"/>
        <v>#REF!</v>
      </c>
      <c r="P35" s="213"/>
    </row>
    <row r="36" spans="1:16">
      <c r="A36" s="231"/>
      <c r="B36" s="213">
        <f>+'BANK CMA'!B304</f>
        <v>1179.0797987999999</v>
      </c>
      <c r="C36" s="213">
        <f>+'BANK CMA'!C304</f>
        <v>1142.8934239</v>
      </c>
      <c r="D36" s="213">
        <f>+'BANK CMA'!D304</f>
        <v>1098.1299582249999</v>
      </c>
      <c r="E36" s="213">
        <f>+'BANK CMA'!E304</f>
        <v>2570.0482150092503</v>
      </c>
      <c r="F36" s="213">
        <f>+'BANK CMA'!F304</f>
        <v>2332.2826523778126</v>
      </c>
      <c r="G36" s="213">
        <f>+'BANK CMA'!G304</f>
        <v>2205.2381840313874</v>
      </c>
      <c r="H36" s="213">
        <f>+'BANK CMA'!H304</f>
        <v>2218.1923685498077</v>
      </c>
      <c r="I36" s="213">
        <f>+'BANK CMA'!I304</f>
        <v>2377.7221016032117</v>
      </c>
      <c r="J36" s="213">
        <f>+'BANK CMA'!J304</f>
        <v>2706.873991326489</v>
      </c>
      <c r="K36" s="213">
        <f>+'BANK CMA'!K304</f>
        <v>3634.6407519316917</v>
      </c>
      <c r="L36" s="213">
        <f>+'BANK CMA'!L304</f>
        <v>4820.4673721916051</v>
      </c>
      <c r="M36" s="213">
        <f>+'BANK CMA'!M304</f>
        <v>6112.4862220620716</v>
      </c>
      <c r="N36" s="213" t="e">
        <f>+'BANK CMA'!N304</f>
        <v>#REF!</v>
      </c>
      <c r="O36" s="213" t="e">
        <f>+'BANK CMA'!O304</f>
        <v>#REF!</v>
      </c>
      <c r="P36" s="213"/>
    </row>
    <row r="37" spans="1:16">
      <c r="A37" s="232" t="s">
        <v>719</v>
      </c>
      <c r="B37" s="215">
        <f t="shared" ref="B37:O37" si="6">+B35-B36</f>
        <v>-2.0517299999999068</v>
      </c>
      <c r="C37" s="215">
        <f t="shared" si="6"/>
        <v>-1.5388000999998894</v>
      </c>
      <c r="D37" s="215">
        <f t="shared" si="6"/>
        <v>-0.7694000500000584</v>
      </c>
      <c r="E37" s="215">
        <f t="shared" si="6"/>
        <v>0</v>
      </c>
      <c r="F37" s="215">
        <f t="shared" si="6"/>
        <v>0</v>
      </c>
      <c r="G37" s="215">
        <f>+G35-G36</f>
        <v>0</v>
      </c>
      <c r="H37" s="215">
        <f>+H35-H36</f>
        <v>0</v>
      </c>
      <c r="I37" s="215">
        <f t="shared" si="6"/>
        <v>0</v>
      </c>
      <c r="J37" s="215">
        <f t="shared" si="6"/>
        <v>0</v>
      </c>
      <c r="K37" s="215">
        <f t="shared" si="6"/>
        <v>-750</v>
      </c>
      <c r="L37" s="215">
        <f t="shared" si="6"/>
        <v>-1150</v>
      </c>
      <c r="M37" s="215">
        <f t="shared" si="6"/>
        <v>-1750</v>
      </c>
      <c r="N37" s="215" t="e">
        <f t="shared" si="6"/>
        <v>#REF!</v>
      </c>
      <c r="O37" s="215" t="e">
        <f t="shared" si="6"/>
        <v>#REF!</v>
      </c>
      <c r="P37" s="215"/>
    </row>
    <row r="38" spans="1:16">
      <c r="A38" s="231" t="s">
        <v>17</v>
      </c>
      <c r="B38" s="213">
        <f>+B35-Liabilities!B37</f>
        <v>0</v>
      </c>
      <c r="C38" s="213">
        <f>+C35-Liabilities!C37</f>
        <v>0</v>
      </c>
      <c r="D38" s="213" t="e">
        <f>+D35-Liabilities!D37</f>
        <v>#REF!</v>
      </c>
      <c r="E38" s="213" t="e">
        <f>+E35-Liabilities!E37</f>
        <v>#REF!</v>
      </c>
      <c r="F38" s="213" t="e">
        <f>+F35-Liabilities!F37</f>
        <v>#REF!</v>
      </c>
      <c r="G38" s="213" t="e">
        <f>+G35-Liabilities!G37</f>
        <v>#REF!</v>
      </c>
      <c r="H38" s="213" t="e">
        <f>+H35-Liabilities!H37</f>
        <v>#REF!</v>
      </c>
      <c r="I38" s="213" t="e">
        <f>+I35-Liabilities!I37</f>
        <v>#REF!</v>
      </c>
      <c r="J38" s="213" t="e">
        <f>+J35-Liabilities!J37</f>
        <v>#REF!</v>
      </c>
      <c r="K38" s="213" t="e">
        <f>+K35-Liabilities!K37</f>
        <v>#REF!</v>
      </c>
      <c r="L38" s="213" t="e">
        <f>+L35-Liabilities!L37</f>
        <v>#REF!</v>
      </c>
      <c r="M38" s="213" t="e">
        <f>+M35-Liabilities!M37</f>
        <v>#REF!</v>
      </c>
      <c r="N38" s="213" t="e">
        <f>+N35-Liabilities!N37</f>
        <v>#REF!</v>
      </c>
      <c r="O38" s="213" t="e">
        <f>+O35-Liabilities!O37</f>
        <v>#REF!</v>
      </c>
      <c r="P38" s="213"/>
    </row>
    <row r="39" spans="1:16">
      <c r="B39" s="209"/>
      <c r="C39" s="209"/>
      <c r="D39" s="209"/>
      <c r="E39" s="209"/>
      <c r="F39" s="209"/>
      <c r="G39" s="209"/>
      <c r="H39" s="209"/>
      <c r="I39" s="209"/>
      <c r="J39" s="209"/>
      <c r="K39" s="209"/>
      <c r="L39" s="209"/>
      <c r="M39" s="209"/>
      <c r="N39" s="209"/>
      <c r="O39" s="209"/>
      <c r="P39" s="209"/>
    </row>
    <row r="40" spans="1:16">
      <c r="B40" s="209"/>
      <c r="C40" s="209"/>
      <c r="D40" s="209"/>
      <c r="E40" s="209"/>
      <c r="F40" s="209"/>
      <c r="G40" s="209"/>
      <c r="H40" s="209"/>
      <c r="I40" s="209"/>
      <c r="J40" s="209"/>
      <c r="K40" s="209"/>
      <c r="L40" s="209"/>
      <c r="M40" s="209"/>
      <c r="N40" s="209"/>
      <c r="O40" s="209"/>
      <c r="P40" s="209"/>
    </row>
    <row r="41" spans="1:16">
      <c r="B41" s="209"/>
      <c r="C41" s="209"/>
      <c r="D41" s="209"/>
      <c r="E41" s="209"/>
      <c r="F41" s="209"/>
      <c r="G41" s="209"/>
      <c r="H41" s="209"/>
      <c r="I41" s="209"/>
      <c r="J41" s="209"/>
      <c r="K41" s="209"/>
      <c r="L41" s="209"/>
      <c r="M41" s="209"/>
      <c r="N41" s="209"/>
      <c r="O41" s="209"/>
      <c r="P41" s="209"/>
    </row>
    <row r="42" spans="1:16">
      <c r="A42" s="230" t="s">
        <v>7</v>
      </c>
      <c r="B42" s="209">
        <f>+B32-Liabilities!B35</f>
        <v>-84.108228500000024</v>
      </c>
      <c r="C42" s="209">
        <f>+C32-Liabilities!C35</f>
        <v>-162.31475279999978</v>
      </c>
      <c r="D42" s="209" t="e">
        <f>+D32-Liabilities!D35</f>
        <v>#REF!</v>
      </c>
      <c r="E42" s="209" t="e">
        <f>+E32-Liabilities!E35</f>
        <v>#REF!</v>
      </c>
      <c r="F42" s="209" t="e">
        <f>+F32-Liabilities!F35</f>
        <v>#REF!</v>
      </c>
      <c r="G42" s="209" t="e">
        <f>+G32-Liabilities!G35</f>
        <v>#REF!</v>
      </c>
      <c r="H42" s="209" t="e">
        <f>+H32-Liabilities!H35</f>
        <v>#REF!</v>
      </c>
      <c r="I42" s="209" t="e">
        <f>+I32-Liabilities!I35</f>
        <v>#REF!</v>
      </c>
      <c r="J42" s="209" t="e">
        <f>+J32-Liabilities!J35</f>
        <v>#REF!</v>
      </c>
      <c r="K42" s="209" t="e">
        <f>+K32-Liabilities!K35</f>
        <v>#REF!</v>
      </c>
      <c r="L42" s="209" t="e">
        <f>+L32-Liabilities!L35</f>
        <v>#REF!</v>
      </c>
      <c r="M42" s="209" t="e">
        <f>+M32-Liabilities!M35</f>
        <v>#REF!</v>
      </c>
      <c r="N42" s="209" t="e">
        <f>+N32-Liabilities!N35</f>
        <v>#REF!</v>
      </c>
      <c r="O42" s="209" t="e">
        <f>+O32-Liabilities!O35</f>
        <v>#REF!</v>
      </c>
      <c r="P42" s="209"/>
    </row>
    <row r="43" spans="1:16">
      <c r="A43" s="230" t="s">
        <v>10</v>
      </c>
      <c r="B43" s="209">
        <f>+B32/Liabilities!B35</f>
        <v>0.28141256500883066</v>
      </c>
      <c r="C43" s="209">
        <f>+C32/Liabilities!C35</f>
        <v>6.113239009248856E-2</v>
      </c>
      <c r="D43" s="209" t="e">
        <f>+D32/Liabilities!D35</f>
        <v>#REF!</v>
      </c>
      <c r="E43" s="209" t="e">
        <f>+E32/Liabilities!E35</f>
        <v>#REF!</v>
      </c>
      <c r="F43" s="209" t="e">
        <f>+F32/Liabilities!F35</f>
        <v>#REF!</v>
      </c>
      <c r="G43" s="209" t="e">
        <f>+G32/Liabilities!G35</f>
        <v>#REF!</v>
      </c>
      <c r="H43" s="209" t="e">
        <f>+H32/Liabilities!H35</f>
        <v>#REF!</v>
      </c>
      <c r="I43" s="209" t="e">
        <f>+I32/Liabilities!I35</f>
        <v>#REF!</v>
      </c>
      <c r="J43" s="209" t="e">
        <f>+J32/Liabilities!J35</f>
        <v>#REF!</v>
      </c>
      <c r="K43" s="209" t="e">
        <f>+K32/Liabilities!K35</f>
        <v>#REF!</v>
      </c>
      <c r="L43" s="209" t="e">
        <f>+L32/Liabilities!L35</f>
        <v>#REF!</v>
      </c>
      <c r="M43" s="209" t="e">
        <f>+M32/Liabilities!M35</f>
        <v>#REF!</v>
      </c>
      <c r="N43" s="209" t="e">
        <f>+N32/Liabilities!N35</f>
        <v>#REF!</v>
      </c>
      <c r="O43" s="209" t="e">
        <f>+O32/Liabilities!O35</f>
        <v>#REF!</v>
      </c>
      <c r="P43" s="209"/>
    </row>
    <row r="44" spans="1:16" s="228" customFormat="1">
      <c r="A44" s="228" t="s">
        <v>261</v>
      </c>
      <c r="B44" s="229"/>
      <c r="C44" s="229"/>
      <c r="D44" s="229"/>
      <c r="E44" s="229"/>
      <c r="F44" s="229"/>
      <c r="G44" s="229"/>
      <c r="H44" s="229"/>
      <c r="I44" s="229"/>
      <c r="J44" s="229"/>
      <c r="K44" s="229"/>
      <c r="L44" s="229"/>
      <c r="M44" s="229"/>
      <c r="N44" s="229"/>
      <c r="O44" s="229"/>
      <c r="P44" s="229"/>
    </row>
    <row r="45" spans="1:16" ht="25.5">
      <c r="A45" s="227" t="s">
        <v>592</v>
      </c>
      <c r="B45" s="226">
        <f>+(B32-B44)/(+Liabilities!B35-Assets!B44)</f>
        <v>0.28141256500883066</v>
      </c>
      <c r="C45" s="226">
        <f>+(C32-C44)/(+Liabilities!C35-Assets!C44)</f>
        <v>6.113239009248856E-2</v>
      </c>
      <c r="D45" s="226" t="e">
        <f>+(D32-D44)/(+Liabilities!D35-Assets!D44)</f>
        <v>#REF!</v>
      </c>
      <c r="E45" s="226" t="e">
        <f>+(E32-E44)/(+Liabilities!E35-Assets!E44)</f>
        <v>#REF!</v>
      </c>
      <c r="F45" s="226" t="e">
        <f>+(F32-F44)/(+Liabilities!F35-Assets!F44)</f>
        <v>#REF!</v>
      </c>
      <c r="G45" s="226" t="e">
        <f>+(G32-G44)/(+Liabilities!G35-Assets!G44)</f>
        <v>#REF!</v>
      </c>
      <c r="H45" s="226" t="e">
        <f>+(H32-H44)/(+Liabilities!H35-Assets!H44)</f>
        <v>#REF!</v>
      </c>
      <c r="I45" s="226" t="e">
        <f>+(I32-I44)/(+Liabilities!I35-Assets!I44)</f>
        <v>#REF!</v>
      </c>
      <c r="J45" s="226" t="e">
        <f>+(J32-J44)/(+Liabilities!J35-Assets!J44)</f>
        <v>#REF!</v>
      </c>
      <c r="K45" s="226" t="e">
        <f>+(K32-K44)/(+Liabilities!K35-Assets!K44)</f>
        <v>#REF!</v>
      </c>
      <c r="L45" s="226" t="e">
        <f>+(L32-L44)/(+Liabilities!L35-Assets!L44)</f>
        <v>#REF!</v>
      </c>
      <c r="M45" s="226" t="e">
        <f>+(M32-M44)/(+Liabilities!M35-Assets!M44)</f>
        <v>#REF!</v>
      </c>
      <c r="N45" s="226" t="e">
        <f>+(N32-N44)/(+Liabilities!N35-Assets!N44)</f>
        <v>#REF!</v>
      </c>
      <c r="O45" s="226" t="e">
        <f>+(O32-O44)/(+Liabilities!O35-Assets!O44)</f>
        <v>#REF!</v>
      </c>
      <c r="P45" s="226"/>
    </row>
    <row r="46" spans="1:16">
      <c r="A46" s="227"/>
      <c r="B46" s="226"/>
      <c r="C46" s="226"/>
      <c r="D46" s="226"/>
      <c r="E46" s="226"/>
      <c r="F46" s="226"/>
      <c r="G46" s="226"/>
      <c r="H46" s="226"/>
      <c r="I46" s="226"/>
      <c r="J46" s="226"/>
      <c r="K46" s="226"/>
      <c r="L46" s="226"/>
      <c r="M46" s="226"/>
      <c r="N46" s="226"/>
      <c r="O46" s="226"/>
      <c r="P46" s="226"/>
    </row>
    <row r="47" spans="1:16">
      <c r="C47" s="209"/>
    </row>
    <row r="48" spans="1:16">
      <c r="C48" s="209"/>
    </row>
    <row r="49" spans="3:3">
      <c r="C49" s="209"/>
    </row>
  </sheetData>
  <mergeCells count="1">
    <mergeCell ref="A2:D2"/>
  </mergeCells>
  <printOptions gridLines="1"/>
  <pageMargins left="0.7" right="0.7" top="0.75" bottom="0.75" header="0.3" footer="0.3"/>
  <pageSetup scale="78"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O91"/>
  <sheetViews>
    <sheetView view="pageBreakPreview" topLeftCell="A13" zoomScaleSheetLayoutView="100" workbookViewId="0">
      <selection activeCell="F15" sqref="F15"/>
    </sheetView>
  </sheetViews>
  <sheetFormatPr defaultRowHeight="12.75"/>
  <cols>
    <col min="1" max="1" width="40" style="237" bestFit="1" customWidth="1"/>
    <col min="2" max="3" width="10.28515625" style="237" bestFit="1" customWidth="1"/>
    <col min="4" max="4" width="10.85546875" style="237" bestFit="1" customWidth="1"/>
    <col min="5" max="5" width="10.85546875" style="237" customWidth="1"/>
    <col min="6" max="6" width="10.140625" style="237" customWidth="1"/>
    <col min="7" max="7" width="9.140625" style="237" customWidth="1"/>
    <col min="8" max="8" width="10.140625" style="237" customWidth="1"/>
    <col min="9" max="9" width="8.85546875" style="237" customWidth="1"/>
    <col min="10" max="10" width="9.140625" style="237"/>
    <col min="11" max="11" width="8.140625" style="237" bestFit="1" customWidth="1"/>
    <col min="12" max="13" width="9.140625" style="237" customWidth="1"/>
    <col min="14" max="15" width="9.140625" style="237" hidden="1" customWidth="1"/>
    <col min="16" max="16384" width="9.140625" style="237"/>
  </cols>
  <sheetData>
    <row r="2" spans="1:15">
      <c r="A2" s="894" t="str">
        <f>+'BANK CMA'!A2:J2</f>
        <v>M/s SANSKAR BHARTI FOUNDATION</v>
      </c>
      <c r="B2" s="894"/>
      <c r="C2" s="894"/>
      <c r="D2" s="894"/>
      <c r="E2" s="245"/>
      <c r="F2" s="244"/>
      <c r="G2" s="244"/>
      <c r="H2" s="244"/>
      <c r="I2" s="244"/>
    </row>
    <row r="4" spans="1:15">
      <c r="F4" s="237" t="s">
        <v>591</v>
      </c>
    </row>
    <row r="6" spans="1:15">
      <c r="A6" s="231" t="s">
        <v>636</v>
      </c>
      <c r="B6" s="243"/>
      <c r="C6" s="243"/>
    </row>
    <row r="7" spans="1:15">
      <c r="A7" s="230"/>
      <c r="B7" s="213" t="str">
        <f>+Assets!B5</f>
        <v>31.03.12</v>
      </c>
      <c r="C7" s="213" t="str">
        <f>+Assets!C5</f>
        <v>31.03.13</v>
      </c>
      <c r="D7" s="213" t="str">
        <f>+Assets!D5</f>
        <v>31.03.14</v>
      </c>
      <c r="E7" s="213" t="str">
        <f>+Assets!E5</f>
        <v>31.03.15</v>
      </c>
      <c r="F7" s="213" t="str">
        <f>+Assets!F5</f>
        <v>31.03.16</v>
      </c>
      <c r="G7" s="213" t="str">
        <f>+Assets!G5</f>
        <v>31.03.17</v>
      </c>
      <c r="H7" s="213" t="s">
        <v>564</v>
      </c>
      <c r="I7" s="213" t="str">
        <f>+Assets!I5</f>
        <v>31.03.19</v>
      </c>
      <c r="J7" s="213" t="str">
        <f>+Assets!J5</f>
        <v>31.03.20</v>
      </c>
      <c r="K7" s="213" t="str">
        <f>+Assets!K5</f>
        <v>31.03.21</v>
      </c>
      <c r="L7" s="213" t="str">
        <f>+Assets!L5</f>
        <v>31.03.22</v>
      </c>
      <c r="M7" s="213" t="str">
        <f>+Assets!M5</f>
        <v>31.03.23</v>
      </c>
      <c r="N7" s="213" t="str">
        <f>+Assets!N5</f>
        <v>31.03.20</v>
      </c>
      <c r="O7" s="213" t="str">
        <f>+Assets!O5</f>
        <v>31.03.21</v>
      </c>
    </row>
    <row r="8" spans="1:15">
      <c r="A8" s="230"/>
      <c r="B8" s="213" t="str">
        <f>+Assets!B6</f>
        <v>AUDITED</v>
      </c>
      <c r="C8" s="213" t="str">
        <f>+Assets!C6</f>
        <v>AUDITED</v>
      </c>
      <c r="D8" s="213" t="str">
        <f>+Assets!D6</f>
        <v>Prov.</v>
      </c>
      <c r="E8" s="213" t="str">
        <f>+Assets!E6</f>
        <v>Proj.</v>
      </c>
      <c r="F8" s="213" t="str">
        <f>+Assets!F6</f>
        <v>Proj.</v>
      </c>
      <c r="G8" s="213" t="str">
        <f>+Assets!G6</f>
        <v>Proj.</v>
      </c>
      <c r="H8" s="213" t="s">
        <v>277</v>
      </c>
      <c r="I8" s="213" t="str">
        <f>+Assets!I6</f>
        <v>Proj.</v>
      </c>
      <c r="J8" s="213" t="str">
        <f>+Assets!J6</f>
        <v>Proj.</v>
      </c>
      <c r="K8" s="213" t="str">
        <f>+Assets!K6</f>
        <v>Proj.</v>
      </c>
      <c r="L8" s="213" t="str">
        <f>+Assets!L6</f>
        <v>Proj.</v>
      </c>
      <c r="M8" s="213" t="str">
        <f>+Assets!M6</f>
        <v>Proj.</v>
      </c>
      <c r="N8" s="213" t="str">
        <f>+Assets!N6</f>
        <v>Proj.</v>
      </c>
      <c r="O8" s="213" t="str">
        <f>+Assets!O6</f>
        <v>Proj.</v>
      </c>
    </row>
    <row r="9" spans="1:15">
      <c r="A9" s="230" t="s">
        <v>635</v>
      </c>
      <c r="B9" s="235">
        <f t="shared" ref="B9:O9" si="0">+B12+B13</f>
        <v>303.89458000000002</v>
      </c>
      <c r="C9" s="235">
        <f t="shared" si="0"/>
        <v>324.85088000000002</v>
      </c>
      <c r="D9" s="235" t="e">
        <f t="shared" si="0"/>
        <v>#REF!</v>
      </c>
      <c r="E9" s="235" t="e">
        <f t="shared" si="0"/>
        <v>#REF!</v>
      </c>
      <c r="F9" s="235" t="e">
        <f>+F12+F13</f>
        <v>#REF!</v>
      </c>
      <c r="G9" s="235" t="e">
        <f>+G12+G13</f>
        <v>#REF!</v>
      </c>
      <c r="H9" s="235" t="e">
        <f>+H12+H13</f>
        <v>#REF!</v>
      </c>
      <c r="I9" s="235" t="e">
        <f>+I12+I13</f>
        <v>#REF!</v>
      </c>
      <c r="J9" s="235" t="e">
        <f>+J12+J13</f>
        <v>#REF!</v>
      </c>
      <c r="K9" s="235" t="e">
        <f t="shared" si="0"/>
        <v>#REF!</v>
      </c>
      <c r="L9" s="235" t="e">
        <f t="shared" si="0"/>
        <v>#REF!</v>
      </c>
      <c r="M9" s="235" t="e">
        <f t="shared" si="0"/>
        <v>#REF!</v>
      </c>
      <c r="N9" s="235">
        <f t="shared" si="0"/>
        <v>0</v>
      </c>
      <c r="O9" s="235">
        <f t="shared" si="0"/>
        <v>0</v>
      </c>
    </row>
    <row r="10" spans="1:15">
      <c r="A10" s="242" t="s">
        <v>634</v>
      </c>
      <c r="B10" s="235">
        <f>+'BANK CMA'!B12</f>
        <v>240.41159999999999</v>
      </c>
      <c r="C10" s="235">
        <f>+'BANK CMA'!C12</f>
        <v>312.98557</v>
      </c>
      <c r="D10" s="235" t="e">
        <f>+'BANK CMA'!D12</f>
        <v>#REF!</v>
      </c>
      <c r="E10" s="235" t="e">
        <f>+'BANK CMA'!E12</f>
        <v>#REF!</v>
      </c>
      <c r="F10" s="235" t="e">
        <f>+'BANK CMA'!F12</f>
        <v>#REF!</v>
      </c>
      <c r="G10" s="235" t="e">
        <f>+'BANK CMA'!G12</f>
        <v>#REF!</v>
      </c>
      <c r="H10" s="235" t="e">
        <f>+'BANK CMA'!H12</f>
        <v>#REF!</v>
      </c>
      <c r="I10" s="235" t="e">
        <f>+'BANK CMA'!I12</f>
        <v>#REF!</v>
      </c>
      <c r="J10" s="235" t="e">
        <f>+'BANK CMA'!J12</f>
        <v>#REF!</v>
      </c>
      <c r="K10" s="235" t="e">
        <f>+'BANK CMA'!K12</f>
        <v>#REF!</v>
      </c>
      <c r="L10" s="235" t="e">
        <f>+'BANK CMA'!L12</f>
        <v>#REF!</v>
      </c>
      <c r="M10" s="235" t="e">
        <f>+'BANK CMA'!M12</f>
        <v>#REF!</v>
      </c>
      <c r="N10" s="235">
        <f>+'BANK CMA'!N12</f>
        <v>0</v>
      </c>
      <c r="O10" s="235">
        <f>+'BANK CMA'!O12</f>
        <v>0</v>
      </c>
    </row>
    <row r="11" spans="1:15">
      <c r="A11" s="242" t="s">
        <v>633</v>
      </c>
      <c r="B11" s="235">
        <f>+'BANK CMA'!B15</f>
        <v>0</v>
      </c>
      <c r="C11" s="235">
        <f>+'BANK CMA'!C15</f>
        <v>0</v>
      </c>
      <c r="D11" s="235">
        <f>+'BANK CMA'!D15</f>
        <v>0</v>
      </c>
      <c r="E11" s="235">
        <f>+'BANK CMA'!E15</f>
        <v>0</v>
      </c>
      <c r="F11" s="235">
        <f>+'BANK CMA'!F15</f>
        <v>0</v>
      </c>
      <c r="G11" s="235">
        <f>+'BANK CMA'!G15</f>
        <v>0</v>
      </c>
      <c r="H11" s="235">
        <f>+'BANK CMA'!H15</f>
        <v>0</v>
      </c>
      <c r="I11" s="235">
        <f>+'BANK CMA'!I15</f>
        <v>0</v>
      </c>
      <c r="J11" s="235">
        <f>+'BANK CMA'!J15</f>
        <v>0</v>
      </c>
      <c r="K11" s="235">
        <f>+'BANK CMA'!K15</f>
        <v>0</v>
      </c>
      <c r="L11" s="235">
        <f>+'BANK CMA'!L15</f>
        <v>0</v>
      </c>
      <c r="M11" s="235">
        <f>+'BANK CMA'!M15</f>
        <v>0</v>
      </c>
      <c r="N11" s="235">
        <f>+'BANK CMA'!N15</f>
        <v>0</v>
      </c>
      <c r="O11" s="235">
        <f>+'BANK CMA'!O15</f>
        <v>0</v>
      </c>
    </row>
    <row r="12" spans="1:15">
      <c r="A12" s="242" t="s">
        <v>632</v>
      </c>
      <c r="B12" s="235">
        <f t="shared" ref="B12:O12" si="1">+B10+B11</f>
        <v>240.41159999999999</v>
      </c>
      <c r="C12" s="235">
        <f t="shared" si="1"/>
        <v>312.98557</v>
      </c>
      <c r="D12" s="235" t="e">
        <f t="shared" si="1"/>
        <v>#REF!</v>
      </c>
      <c r="E12" s="235" t="e">
        <f t="shared" si="1"/>
        <v>#REF!</v>
      </c>
      <c r="F12" s="235" t="e">
        <f>+F10+F11</f>
        <v>#REF!</v>
      </c>
      <c r="G12" s="235" t="e">
        <f>+G10+G11</f>
        <v>#REF!</v>
      </c>
      <c r="H12" s="235" t="e">
        <f>+H10+H11</f>
        <v>#REF!</v>
      </c>
      <c r="I12" s="235" t="e">
        <f>+I10+I11</f>
        <v>#REF!</v>
      </c>
      <c r="J12" s="235" t="e">
        <f>+J10+J11</f>
        <v>#REF!</v>
      </c>
      <c r="K12" s="235" t="e">
        <f t="shared" si="1"/>
        <v>#REF!</v>
      </c>
      <c r="L12" s="235" t="e">
        <f t="shared" si="1"/>
        <v>#REF!</v>
      </c>
      <c r="M12" s="235" t="e">
        <f t="shared" si="1"/>
        <v>#REF!</v>
      </c>
      <c r="N12" s="235">
        <f t="shared" si="1"/>
        <v>0</v>
      </c>
      <c r="O12" s="235">
        <f t="shared" si="1"/>
        <v>0</v>
      </c>
    </row>
    <row r="13" spans="1:15">
      <c r="A13" s="269" t="s">
        <v>718</v>
      </c>
      <c r="B13" s="235">
        <f>+'BANK CMA'!B17</f>
        <v>63.482979999999998</v>
      </c>
      <c r="C13" s="235">
        <f>+'BANK CMA'!C17</f>
        <v>11.865309999999999</v>
      </c>
      <c r="D13" s="235" t="e">
        <f>+'BANK CMA'!D17</f>
        <v>#REF!</v>
      </c>
      <c r="E13" s="235" t="e">
        <f>+'BANK CMA'!E17</f>
        <v>#REF!</v>
      </c>
      <c r="F13" s="235" t="e">
        <f>+'BANK CMA'!F17</f>
        <v>#REF!</v>
      </c>
      <c r="G13" s="235" t="e">
        <f>+'BANK CMA'!G17</f>
        <v>#REF!</v>
      </c>
      <c r="H13" s="235" t="e">
        <f>+'BANK CMA'!H17</f>
        <v>#REF!</v>
      </c>
      <c r="I13" s="235" t="e">
        <f>+'BANK CMA'!I17</f>
        <v>#REF!</v>
      </c>
      <c r="J13" s="235" t="e">
        <f>+'BANK CMA'!J17</f>
        <v>#REF!</v>
      </c>
      <c r="K13" s="235" t="e">
        <f>+'BANK CMA'!K17</f>
        <v>#REF!</v>
      </c>
      <c r="L13" s="235" t="e">
        <f>+'BANK CMA'!L17</f>
        <v>#REF!</v>
      </c>
      <c r="M13" s="235" t="e">
        <f>+'BANK CMA'!M17</f>
        <v>#REF!</v>
      </c>
      <c r="N13" s="235">
        <f>+'BANK CMA'!N17</f>
        <v>0</v>
      </c>
      <c r="O13" s="235">
        <f>+'BANK CMA'!O17</f>
        <v>0</v>
      </c>
    </row>
    <row r="14" spans="1:15">
      <c r="A14" s="230" t="s">
        <v>631</v>
      </c>
      <c r="B14" s="235">
        <v>0</v>
      </c>
      <c r="C14" s="235">
        <f>+C9/B9*100-100</f>
        <v>6.8959110754788639</v>
      </c>
      <c r="D14" s="235" t="e">
        <f t="shared" ref="D14:J14" si="2">+D9/+C9*100-100</f>
        <v>#REF!</v>
      </c>
      <c r="E14" s="235" t="e">
        <f t="shared" si="2"/>
        <v>#REF!</v>
      </c>
      <c r="F14" s="235" t="e">
        <f t="shared" si="2"/>
        <v>#REF!</v>
      </c>
      <c r="G14" s="235" t="e">
        <f t="shared" si="2"/>
        <v>#REF!</v>
      </c>
      <c r="H14" s="235" t="e">
        <f t="shared" si="2"/>
        <v>#REF!</v>
      </c>
      <c r="I14" s="235" t="e">
        <f t="shared" si="2"/>
        <v>#REF!</v>
      </c>
      <c r="J14" s="235" t="e">
        <f t="shared" si="2"/>
        <v>#REF!</v>
      </c>
      <c r="K14" s="235" t="e">
        <f>+K9/+J9*100-100</f>
        <v>#REF!</v>
      </c>
      <c r="L14" s="235" t="e">
        <f>+L9/+K9*100-100</f>
        <v>#REF!</v>
      </c>
      <c r="M14" s="235" t="e">
        <f>+M9/+L9*100-100</f>
        <v>#REF!</v>
      </c>
      <c r="N14" s="235" t="e">
        <f>+N9/+M9*100-100</f>
        <v>#REF!</v>
      </c>
      <c r="O14" s="235" t="e">
        <f>+O9/+N9*100-100</f>
        <v>#DIV/0!</v>
      </c>
    </row>
    <row r="15" spans="1:15">
      <c r="A15" s="230" t="s">
        <v>203</v>
      </c>
      <c r="B15" s="235">
        <f>+'BANK CMA'!B101</f>
        <v>0</v>
      </c>
      <c r="C15" s="235">
        <f>+'BANK CMA'!C101</f>
        <v>0</v>
      </c>
      <c r="D15" s="235">
        <f>+'BANK CMA'!D101</f>
        <v>0</v>
      </c>
      <c r="E15" s="235">
        <f>+'BANK CMA'!E101</f>
        <v>0</v>
      </c>
      <c r="F15" s="235">
        <f>+'BANK CMA'!F101</f>
        <v>0</v>
      </c>
      <c r="G15" s="235">
        <f>+'BANK CMA'!G101</f>
        <v>0</v>
      </c>
      <c r="H15" s="235">
        <f>+'BANK CMA'!H101</f>
        <v>0</v>
      </c>
      <c r="I15" s="235">
        <f>+'BANK CMA'!I101</f>
        <v>0</v>
      </c>
      <c r="J15" s="235">
        <f>+'BANK CMA'!J101</f>
        <v>0</v>
      </c>
      <c r="K15" s="235">
        <f>+'BANK CMA'!K101</f>
        <v>0</v>
      </c>
      <c r="L15" s="235">
        <f>+'BANK CMA'!L101</f>
        <v>0</v>
      </c>
      <c r="M15" s="235">
        <f>+'BANK CMA'!M101</f>
        <v>0</v>
      </c>
      <c r="N15" s="235" t="e">
        <f>+'BANK CMA'!N101</f>
        <v>#REF!</v>
      </c>
      <c r="O15" s="235">
        <f>+'BANK CMA'!O101</f>
        <v>1</v>
      </c>
    </row>
    <row r="16" spans="1:15">
      <c r="A16" s="230" t="s">
        <v>630</v>
      </c>
      <c r="B16" s="235">
        <f>+'BANK CMA'!B84</f>
        <v>-70.19552429999996</v>
      </c>
      <c r="C16" s="235">
        <f>+'BANK CMA'!C84</f>
        <v>-64.390869999999978</v>
      </c>
      <c r="D16" s="235" t="e">
        <f>+'BANK CMA'!D84</f>
        <v>#REF!</v>
      </c>
      <c r="E16" s="235" t="e">
        <f>+'BANK CMA'!E84</f>
        <v>#REF!</v>
      </c>
      <c r="F16" s="235" t="e">
        <f>+'BANK CMA'!F84</f>
        <v>#REF!</v>
      </c>
      <c r="G16" s="235" t="e">
        <f>+'BANK CMA'!G84</f>
        <v>#REF!</v>
      </c>
      <c r="H16" s="235" t="e">
        <f>+'BANK CMA'!H84</f>
        <v>#REF!</v>
      </c>
      <c r="I16" s="235" t="e">
        <f>+'BANK CMA'!I84</f>
        <v>#REF!</v>
      </c>
      <c r="J16" s="235" t="e">
        <f>+'BANK CMA'!J84</f>
        <v>#REF!</v>
      </c>
      <c r="K16" s="235" t="e">
        <f>+'BANK CMA'!K84</f>
        <v>#REF!</v>
      </c>
      <c r="L16" s="235" t="e">
        <f>+'BANK CMA'!L84</f>
        <v>#REF!</v>
      </c>
      <c r="M16" s="235" t="e">
        <f>+'BANK CMA'!M84</f>
        <v>#REF!</v>
      </c>
      <c r="N16" s="235" t="e">
        <f>+'BANK CMA'!N84</f>
        <v>#REF!</v>
      </c>
      <c r="O16" s="235" t="e">
        <f>+'BANK CMA'!O84</f>
        <v>#REF!</v>
      </c>
    </row>
    <row r="17" spans="1:15">
      <c r="A17" s="230" t="s">
        <v>629</v>
      </c>
      <c r="B17" s="235">
        <f t="shared" ref="B17:O17" si="3">+B15+B16</f>
        <v>-70.19552429999996</v>
      </c>
      <c r="C17" s="235">
        <f t="shared" si="3"/>
        <v>-64.390869999999978</v>
      </c>
      <c r="D17" s="235" t="e">
        <f t="shared" si="3"/>
        <v>#REF!</v>
      </c>
      <c r="E17" s="235" t="e">
        <f t="shared" si="3"/>
        <v>#REF!</v>
      </c>
      <c r="F17" s="235" t="e">
        <f>+F15+F16</f>
        <v>#REF!</v>
      </c>
      <c r="G17" s="235" t="e">
        <f>+G15+G16</f>
        <v>#REF!</v>
      </c>
      <c r="H17" s="235" t="e">
        <f>+H15+H16</f>
        <v>#REF!</v>
      </c>
      <c r="I17" s="235" t="e">
        <f>+I15+I16</f>
        <v>#REF!</v>
      </c>
      <c r="J17" s="235" t="e">
        <f>+J15+J16</f>
        <v>#REF!</v>
      </c>
      <c r="K17" s="235" t="e">
        <f t="shared" si="3"/>
        <v>#REF!</v>
      </c>
      <c r="L17" s="235" t="e">
        <f t="shared" si="3"/>
        <v>#REF!</v>
      </c>
      <c r="M17" s="235" t="e">
        <f t="shared" si="3"/>
        <v>#REF!</v>
      </c>
      <c r="N17" s="235" t="e">
        <f t="shared" si="3"/>
        <v>#REF!</v>
      </c>
      <c r="O17" s="235" t="e">
        <f t="shared" si="3"/>
        <v>#REF!</v>
      </c>
    </row>
    <row r="18" spans="1:15">
      <c r="A18" s="230" t="s">
        <v>230</v>
      </c>
      <c r="B18" s="235">
        <f>+'BANK CMA'!B105</f>
        <v>0</v>
      </c>
      <c r="C18" s="235">
        <f>+'BANK CMA'!C105</f>
        <v>0</v>
      </c>
      <c r="D18" s="235">
        <f>+'BANK CMA'!D105</f>
        <v>0</v>
      </c>
      <c r="E18" s="235">
        <f>+'BANK CMA'!E105</f>
        <v>0</v>
      </c>
      <c r="F18" s="235">
        <f>+'BANK CMA'!F105</f>
        <v>0</v>
      </c>
      <c r="G18" s="235">
        <f>+'BANK CMA'!G105</f>
        <v>0</v>
      </c>
      <c r="H18" s="235">
        <f>+'BANK CMA'!H105</f>
        <v>0</v>
      </c>
      <c r="I18" s="235">
        <f>+'BANK CMA'!I105</f>
        <v>0</v>
      </c>
      <c r="J18" s="235">
        <f>+'BANK CMA'!J105</f>
        <v>0</v>
      </c>
      <c r="K18" s="235">
        <f>+'BANK CMA'!K105</f>
        <v>0</v>
      </c>
      <c r="L18" s="235">
        <f>+'BANK CMA'!L105</f>
        <v>0</v>
      </c>
      <c r="M18" s="235">
        <f>+'BANK CMA'!M105</f>
        <v>0</v>
      </c>
      <c r="N18" s="235" t="e">
        <f>+'BANK CMA'!N105</f>
        <v>#REF!</v>
      </c>
      <c r="O18" s="235">
        <f>+'BANK CMA'!O105</f>
        <v>143.11000000000001</v>
      </c>
    </row>
    <row r="19" spans="1:15">
      <c r="A19" s="230" t="s">
        <v>628</v>
      </c>
      <c r="B19" s="235">
        <f t="shared" ref="B19:O19" si="4">+B17-B18</f>
        <v>-70.19552429999996</v>
      </c>
      <c r="C19" s="235">
        <f t="shared" si="4"/>
        <v>-64.390869999999978</v>
      </c>
      <c r="D19" s="235" t="e">
        <f t="shared" si="4"/>
        <v>#REF!</v>
      </c>
      <c r="E19" s="235" t="e">
        <f t="shared" si="4"/>
        <v>#REF!</v>
      </c>
      <c r="F19" s="235" t="e">
        <f>+F17-F18</f>
        <v>#REF!</v>
      </c>
      <c r="G19" s="235" t="e">
        <f>+G17-G18</f>
        <v>#REF!</v>
      </c>
      <c r="H19" s="235" t="e">
        <f>+H17-H18</f>
        <v>#REF!</v>
      </c>
      <c r="I19" s="235" t="e">
        <f>+I17-I18</f>
        <v>#REF!</v>
      </c>
      <c r="J19" s="235" t="e">
        <f>+J17-J18</f>
        <v>#REF!</v>
      </c>
      <c r="K19" s="235" t="e">
        <f t="shared" si="4"/>
        <v>#REF!</v>
      </c>
      <c r="L19" s="235" t="e">
        <f t="shared" si="4"/>
        <v>#REF!</v>
      </c>
      <c r="M19" s="235" t="e">
        <f t="shared" si="4"/>
        <v>#REF!</v>
      </c>
      <c r="N19" s="235" t="e">
        <f t="shared" si="4"/>
        <v>#REF!</v>
      </c>
      <c r="O19" s="235" t="e">
        <f t="shared" si="4"/>
        <v>#REF!</v>
      </c>
    </row>
    <row r="20" spans="1:15">
      <c r="A20" s="230" t="s">
        <v>4</v>
      </c>
      <c r="B20" s="235">
        <f>+'BANK CMA'!B50</f>
        <v>69.940354299999996</v>
      </c>
      <c r="C20" s="235">
        <f>+'BANK CMA'!C50</f>
        <v>69.962010000000006</v>
      </c>
      <c r="D20" s="235">
        <f>+'BANK CMA'!D50</f>
        <v>63.873550000000002</v>
      </c>
      <c r="E20" s="235">
        <f>+'BANK CMA'!E50</f>
        <v>61.994535600000006</v>
      </c>
      <c r="F20" s="235">
        <f>+'BANK CMA'!F50</f>
        <v>274.16203154999999</v>
      </c>
      <c r="G20" s="235">
        <f>+'BANK CMA'!G50</f>
        <v>249.89010447850004</v>
      </c>
      <c r="H20" s="235">
        <f>+'BANK CMA'!H50</f>
        <v>227.99872870162505</v>
      </c>
      <c r="I20" s="235">
        <f>+'BANK CMA'!I50</f>
        <v>213.43184530179127</v>
      </c>
      <c r="J20" s="235">
        <f>+'BANK CMA'!J50</f>
        <v>201.18670182139155</v>
      </c>
      <c r="K20" s="235">
        <f>+'BANK CMA'!K50</f>
        <v>220.37636653156497</v>
      </c>
      <c r="L20" s="235">
        <f>+'BANK CMA'!L50</f>
        <v>236.25081453687406</v>
      </c>
      <c r="M20" s="235">
        <f>+'BANK CMA'!M50</f>
        <v>342.97600504288255</v>
      </c>
      <c r="N20" s="235" t="e">
        <f>+'BANK CMA'!N50</f>
        <v>#REF!</v>
      </c>
      <c r="O20" s="235">
        <f>+'BANK CMA'!O50</f>
        <v>238.9</v>
      </c>
    </row>
    <row r="21" spans="1:15">
      <c r="A21" s="230" t="s">
        <v>627</v>
      </c>
      <c r="B21" s="235">
        <f>+'BANK CMA'!B99</f>
        <v>0</v>
      </c>
      <c r="C21" s="235">
        <f>+'BANK CMA'!C99</f>
        <v>0</v>
      </c>
      <c r="D21" s="235">
        <f>+'BANK CMA'!D99</f>
        <v>0</v>
      </c>
      <c r="E21" s="235">
        <f>+'BANK CMA'!E99</f>
        <v>0</v>
      </c>
      <c r="F21" s="235">
        <f>+'BANK CMA'!F99</f>
        <v>0</v>
      </c>
      <c r="G21" s="235">
        <f>+'BANK CMA'!G99</f>
        <v>0</v>
      </c>
      <c r="H21" s="235">
        <f>+'BANK CMA'!H99</f>
        <v>0</v>
      </c>
      <c r="I21" s="235">
        <f>+'BANK CMA'!I99</f>
        <v>0</v>
      </c>
      <c r="J21" s="235">
        <f>+'BANK CMA'!J99</f>
        <v>0</v>
      </c>
      <c r="K21" s="235">
        <f>+'BANK CMA'!K99</f>
        <v>0</v>
      </c>
      <c r="L21" s="235">
        <f>+'BANK CMA'!L99</f>
        <v>0</v>
      </c>
      <c r="M21" s="235">
        <f>+'BANK CMA'!M99</f>
        <v>0</v>
      </c>
      <c r="N21" s="235">
        <f>+'BANK CMA'!N99</f>
        <v>0</v>
      </c>
      <c r="O21" s="235">
        <f>+'BANK CMA'!O99</f>
        <v>0</v>
      </c>
    </row>
    <row r="22" spans="1:15">
      <c r="A22" s="230" t="s">
        <v>626</v>
      </c>
      <c r="B22" s="235">
        <f t="shared" ref="B22:O22" si="5">+B19+B20+B21</f>
        <v>-0.25516999999996415</v>
      </c>
      <c r="C22" s="235">
        <f t="shared" si="5"/>
        <v>5.5711400000000282</v>
      </c>
      <c r="D22" s="235" t="e">
        <f t="shared" si="5"/>
        <v>#REF!</v>
      </c>
      <c r="E22" s="235" t="e">
        <f t="shared" si="5"/>
        <v>#REF!</v>
      </c>
      <c r="F22" s="235" t="e">
        <f>+F19+F20+F21</f>
        <v>#REF!</v>
      </c>
      <c r="G22" s="235" t="e">
        <f>+G19+G20+G21</f>
        <v>#REF!</v>
      </c>
      <c r="H22" s="235" t="e">
        <f>+H19+H20+H21</f>
        <v>#REF!</v>
      </c>
      <c r="I22" s="235" t="e">
        <f>+I19+I20+I21</f>
        <v>#REF!</v>
      </c>
      <c r="J22" s="235" t="e">
        <f>+J19+J20+J21</f>
        <v>#REF!</v>
      </c>
      <c r="K22" s="235" t="e">
        <f t="shared" si="5"/>
        <v>#REF!</v>
      </c>
      <c r="L22" s="235" t="e">
        <f t="shared" si="5"/>
        <v>#REF!</v>
      </c>
      <c r="M22" s="235" t="e">
        <f t="shared" si="5"/>
        <v>#REF!</v>
      </c>
      <c r="N22" s="235" t="e">
        <f t="shared" si="5"/>
        <v>#REF!</v>
      </c>
      <c r="O22" s="235" t="e">
        <f t="shared" si="5"/>
        <v>#REF!</v>
      </c>
    </row>
    <row r="23" spans="1:15">
      <c r="A23" s="230" t="s">
        <v>625</v>
      </c>
      <c r="B23" s="235">
        <f>+'BANK CMA'!B82</f>
        <v>173.76510999999999</v>
      </c>
      <c r="C23" s="235">
        <f>+'BANK CMA'!C82</f>
        <v>169.99654000000001</v>
      </c>
      <c r="D23" s="235">
        <f>+'BANK CMA'!D82</f>
        <v>138.17970000000003</v>
      </c>
      <c r="E23" s="235">
        <f>+'BANK CMA'!E82</f>
        <v>251.00576000000001</v>
      </c>
      <c r="F23" s="235">
        <f>+'BANK CMA'!F82</f>
        <v>272.07233000000002</v>
      </c>
      <c r="G23" s="235">
        <f>+'BANK CMA'!G82</f>
        <v>252.41799333333336</v>
      </c>
      <c r="H23" s="235">
        <f>+'BANK CMA'!H82</f>
        <v>226.07</v>
      </c>
      <c r="I23" s="235">
        <f>+'BANK CMA'!I82</f>
        <v>193.14666666666665</v>
      </c>
      <c r="J23" s="235">
        <f>+'BANK CMA'!J82</f>
        <v>146.56791666666669</v>
      </c>
      <c r="K23" s="235">
        <f>+'BANK CMA'!K82</f>
        <v>112.285</v>
      </c>
      <c r="L23" s="235">
        <f>+'BANK CMA'!L82</f>
        <v>76.545000000000002</v>
      </c>
      <c r="M23" s="235">
        <f>+'BANK CMA'!M82</f>
        <v>49.7425</v>
      </c>
      <c r="N23" s="235" t="e">
        <f>+'BANK CMA'!N82</f>
        <v>#REF!</v>
      </c>
      <c r="O23" s="235" t="e">
        <f>+'BANK CMA'!O82</f>
        <v>#REF!</v>
      </c>
    </row>
    <row r="24" spans="1:15">
      <c r="A24" s="230" t="s">
        <v>624</v>
      </c>
      <c r="B24" s="235">
        <f t="shared" ref="B24:O24" si="6">+B17+B20+B21+B23</f>
        <v>173.50994000000003</v>
      </c>
      <c r="C24" s="235">
        <f t="shared" si="6"/>
        <v>175.56768000000005</v>
      </c>
      <c r="D24" s="235" t="e">
        <f t="shared" si="6"/>
        <v>#REF!</v>
      </c>
      <c r="E24" s="235" t="e">
        <f t="shared" si="6"/>
        <v>#REF!</v>
      </c>
      <c r="F24" s="235" t="e">
        <f>+F17+F20+F21+F23</f>
        <v>#REF!</v>
      </c>
      <c r="G24" s="235" t="e">
        <f>+G17+G20+G21+G23</f>
        <v>#REF!</v>
      </c>
      <c r="H24" s="235" t="e">
        <f>+H17+H20+H21+H23</f>
        <v>#REF!</v>
      </c>
      <c r="I24" s="235" t="e">
        <f>+I17+I20+I21+I23</f>
        <v>#REF!</v>
      </c>
      <c r="J24" s="235" t="e">
        <f>+J17+J20+J21+J23</f>
        <v>#REF!</v>
      </c>
      <c r="K24" s="235" t="e">
        <f t="shared" si="6"/>
        <v>#REF!</v>
      </c>
      <c r="L24" s="235" t="e">
        <f t="shared" si="6"/>
        <v>#REF!</v>
      </c>
      <c r="M24" s="235" t="e">
        <f t="shared" si="6"/>
        <v>#REF!</v>
      </c>
      <c r="N24" s="235" t="e">
        <f t="shared" si="6"/>
        <v>#REF!</v>
      </c>
      <c r="O24" s="235" t="e">
        <f t="shared" si="6"/>
        <v>#REF!</v>
      </c>
    </row>
    <row r="25" spans="1:15">
      <c r="A25" s="230" t="s">
        <v>590</v>
      </c>
      <c r="B25" s="235">
        <f>+Liabilities!B9</f>
        <v>161.12524730000001</v>
      </c>
      <c r="C25" s="235">
        <f>+Liabilities!C9</f>
        <v>161.12524730000001</v>
      </c>
      <c r="D25" s="235">
        <f>+Liabilities!D9</f>
        <v>161.12524730000001</v>
      </c>
      <c r="E25" s="235">
        <f>+Liabilities!E9</f>
        <v>161.12524730000001</v>
      </c>
      <c r="F25" s="235">
        <f>+Liabilities!F9</f>
        <v>161.12524730000001</v>
      </c>
      <c r="G25" s="235">
        <f>+Liabilities!G9</f>
        <v>161.12524730000001</v>
      </c>
      <c r="H25" s="235">
        <f>+Liabilities!H9</f>
        <v>161.12524730000001</v>
      </c>
      <c r="I25" s="235">
        <f>+Liabilities!I9</f>
        <v>161.12524730000001</v>
      </c>
      <c r="J25" s="235">
        <f>+Liabilities!J9</f>
        <v>161.12524730000001</v>
      </c>
      <c r="K25" s="235">
        <f>+Liabilities!K9</f>
        <v>161.12524730000001</v>
      </c>
      <c r="L25" s="235">
        <f>+Liabilities!L9</f>
        <v>161.12524730000001</v>
      </c>
      <c r="M25" s="235">
        <f>+Liabilities!M9</f>
        <v>161.12524730000001</v>
      </c>
      <c r="N25" s="235">
        <f>+Liabilities!N9</f>
        <v>161.12524730000001</v>
      </c>
      <c r="O25" s="235">
        <f>+Liabilities!O9</f>
        <v>161.12524730000001</v>
      </c>
    </row>
    <row r="26" spans="1:15">
      <c r="A26" s="230" t="s">
        <v>581</v>
      </c>
      <c r="B26" s="235">
        <f>+Liabilities!B10</f>
        <v>0</v>
      </c>
      <c r="C26" s="235">
        <f>+Liabilities!C10</f>
        <v>0</v>
      </c>
      <c r="D26" s="235">
        <f>+Liabilities!D10</f>
        <v>0</v>
      </c>
      <c r="E26" s="235">
        <f>+Liabilities!E10</f>
        <v>0</v>
      </c>
      <c r="F26" s="235">
        <f>+Liabilities!F10</f>
        <v>0</v>
      </c>
      <c r="G26" s="235">
        <f>+Liabilities!G10</f>
        <v>0</v>
      </c>
      <c r="H26" s="235">
        <f>+Liabilities!H10</f>
        <v>0</v>
      </c>
      <c r="I26" s="235">
        <f>+Liabilities!I10</f>
        <v>0</v>
      </c>
      <c r="J26" s="235">
        <f>+Liabilities!J10</f>
        <v>0</v>
      </c>
      <c r="K26" s="235">
        <f>+Liabilities!K10</f>
        <v>0</v>
      </c>
      <c r="L26" s="235">
        <f>+Liabilities!L10</f>
        <v>0</v>
      </c>
      <c r="M26" s="235">
        <f>+Liabilities!M10</f>
        <v>0</v>
      </c>
      <c r="N26" s="235">
        <f>+Liabilities!N10</f>
        <v>0</v>
      </c>
      <c r="O26" s="235">
        <f>+Liabilities!O10</f>
        <v>0</v>
      </c>
    </row>
    <row r="27" spans="1:15">
      <c r="A27" s="230" t="s">
        <v>623</v>
      </c>
      <c r="B27" s="235">
        <f>+Liabilities!B11</f>
        <v>-277.66532999999998</v>
      </c>
      <c r="C27" s="235">
        <f>+Liabilities!C11</f>
        <v>-342.08619999999996</v>
      </c>
      <c r="D27" s="235" t="e">
        <f>+Liabilities!D11</f>
        <v>#REF!</v>
      </c>
      <c r="E27" s="235" t="e">
        <f>+Liabilities!E11</f>
        <v>#REF!</v>
      </c>
      <c r="F27" s="235" t="e">
        <f>+Liabilities!F11</f>
        <v>#REF!</v>
      </c>
      <c r="G27" s="235" t="e">
        <f>+Liabilities!G11</f>
        <v>#REF!</v>
      </c>
      <c r="H27" s="235" t="e">
        <f>+Liabilities!H11</f>
        <v>#REF!</v>
      </c>
      <c r="I27" s="235" t="e">
        <f>+Liabilities!I11</f>
        <v>#REF!</v>
      </c>
      <c r="J27" s="235" t="e">
        <f>+Liabilities!J11</f>
        <v>#REF!</v>
      </c>
      <c r="K27" s="235" t="e">
        <f>+Liabilities!K11</f>
        <v>#REF!</v>
      </c>
      <c r="L27" s="235" t="e">
        <f>+Liabilities!L11</f>
        <v>#REF!</v>
      </c>
      <c r="M27" s="235" t="e">
        <f>+Liabilities!M11</f>
        <v>#REF!</v>
      </c>
      <c r="N27" s="235" t="e">
        <f>+Liabilities!N11</f>
        <v>#REF!</v>
      </c>
      <c r="O27" s="235" t="e">
        <f>+Liabilities!O11</f>
        <v>#REF!</v>
      </c>
    </row>
    <row r="28" spans="1:15">
      <c r="A28" s="230" t="s">
        <v>622</v>
      </c>
      <c r="B28" s="235">
        <f>+Liabilities!B12</f>
        <v>2.0517300000000001</v>
      </c>
      <c r="C28" s="235">
        <f>+Liabilities!C12</f>
        <v>1.5388001</v>
      </c>
      <c r="D28" s="235">
        <f>+Liabilities!D12</f>
        <v>0.76940005</v>
      </c>
      <c r="E28" s="235">
        <f>+Liabilities!E12</f>
        <v>0</v>
      </c>
      <c r="F28" s="235">
        <f>+Liabilities!F12</f>
        <v>0</v>
      </c>
      <c r="G28" s="235">
        <f>+Liabilities!G12</f>
        <v>0</v>
      </c>
      <c r="H28" s="235">
        <f>+Liabilities!H12</f>
        <v>0</v>
      </c>
      <c r="I28" s="235">
        <f>+Liabilities!I12</f>
        <v>0</v>
      </c>
      <c r="J28" s="235">
        <f>+Liabilities!J12</f>
        <v>0</v>
      </c>
      <c r="K28" s="235">
        <f>+Liabilities!K12</f>
        <v>0</v>
      </c>
      <c r="L28" s="235">
        <f>+Liabilities!L12</f>
        <v>0</v>
      </c>
      <c r="M28" s="235">
        <f>+Liabilities!M12</f>
        <v>0</v>
      </c>
      <c r="N28" s="235">
        <f>+Liabilities!N12</f>
        <v>0</v>
      </c>
      <c r="O28" s="235">
        <f>+Liabilities!O12</f>
        <v>0</v>
      </c>
    </row>
    <row r="29" spans="1:15">
      <c r="A29" s="230" t="s">
        <v>621</v>
      </c>
      <c r="B29" s="235">
        <f>+Liabilities!B13</f>
        <v>0</v>
      </c>
      <c r="C29" s="235">
        <f>+Liabilities!C13</f>
        <v>0</v>
      </c>
      <c r="D29" s="235">
        <f>+Liabilities!D13</f>
        <v>0</v>
      </c>
      <c r="E29" s="235">
        <f>+Liabilities!E13</f>
        <v>0</v>
      </c>
      <c r="F29" s="235">
        <f>+Liabilities!F13</f>
        <v>0</v>
      </c>
      <c r="G29" s="235">
        <f>+Liabilities!G13</f>
        <v>0</v>
      </c>
      <c r="H29" s="235">
        <f>+Liabilities!H13</f>
        <v>0</v>
      </c>
      <c r="I29" s="235">
        <f>+Liabilities!I13</f>
        <v>0</v>
      </c>
      <c r="J29" s="235">
        <f>+Liabilities!J13</f>
        <v>0</v>
      </c>
      <c r="K29" s="235">
        <f>+Liabilities!K13</f>
        <v>0</v>
      </c>
      <c r="L29" s="235">
        <f>+Liabilities!L13</f>
        <v>0</v>
      </c>
      <c r="M29" s="235">
        <f>+Liabilities!M13</f>
        <v>0</v>
      </c>
      <c r="N29" s="235">
        <f>+Liabilities!N13</f>
        <v>0</v>
      </c>
      <c r="O29" s="235">
        <f>+Liabilities!O13</f>
        <v>0</v>
      </c>
    </row>
    <row r="30" spans="1:15">
      <c r="A30" s="230" t="s">
        <v>586</v>
      </c>
      <c r="B30" s="241">
        <f>+Liabilities!B14</f>
        <v>0</v>
      </c>
      <c r="C30" s="241">
        <f>+Liabilities!C14</f>
        <v>0</v>
      </c>
      <c r="D30" s="241">
        <f>+Liabilities!D14</f>
        <v>0</v>
      </c>
      <c r="E30" s="241">
        <f>+Liabilities!E14</f>
        <v>0</v>
      </c>
      <c r="F30" s="241">
        <f>+Liabilities!F14</f>
        <v>0</v>
      </c>
      <c r="G30" s="241">
        <f>+Liabilities!G14</f>
        <v>0</v>
      </c>
      <c r="H30" s="241">
        <f>+Liabilities!H14</f>
        <v>0</v>
      </c>
      <c r="I30" s="241">
        <f>+Liabilities!I14</f>
        <v>0</v>
      </c>
      <c r="J30" s="241">
        <f>+Liabilities!J14</f>
        <v>0</v>
      </c>
      <c r="K30" s="241">
        <f>+Liabilities!K14</f>
        <v>0</v>
      </c>
      <c r="L30" s="241">
        <f>+Liabilities!L14</f>
        <v>0</v>
      </c>
      <c r="M30" s="241">
        <f>+Liabilities!M14</f>
        <v>0</v>
      </c>
      <c r="N30" s="241">
        <f>+Liabilities!N14</f>
        <v>220.52</v>
      </c>
      <c r="O30" s="241">
        <f>+Liabilities!O14</f>
        <v>220.52</v>
      </c>
    </row>
    <row r="31" spans="1:15">
      <c r="A31" s="230" t="s">
        <v>620</v>
      </c>
      <c r="B31" s="235">
        <f t="shared" ref="B31:O31" si="7">+B25+B26+B27-B28-B29+B30</f>
        <v>-118.59181269999998</v>
      </c>
      <c r="C31" s="235">
        <f t="shared" si="7"/>
        <v>-182.49975279999995</v>
      </c>
      <c r="D31" s="235" t="e">
        <f t="shared" si="7"/>
        <v>#REF!</v>
      </c>
      <c r="E31" s="235" t="e">
        <f t="shared" si="7"/>
        <v>#REF!</v>
      </c>
      <c r="F31" s="235" t="e">
        <f>+F25+F26+F27-F28-F29+F30</f>
        <v>#REF!</v>
      </c>
      <c r="G31" s="235" t="e">
        <f>+G25+G26+G27-G28-G29+G30</f>
        <v>#REF!</v>
      </c>
      <c r="H31" s="235" t="e">
        <f>+H25+H26+H27-H28-H29+H30</f>
        <v>#REF!</v>
      </c>
      <c r="I31" s="235" t="e">
        <f>+I25+I26+I27-I28-I29+I30</f>
        <v>#REF!</v>
      </c>
      <c r="J31" s="235" t="e">
        <f>+J25+J26+J27-J28-J29+J30</f>
        <v>#REF!</v>
      </c>
      <c r="K31" s="235" t="e">
        <f t="shared" si="7"/>
        <v>#REF!</v>
      </c>
      <c r="L31" s="235" t="e">
        <f t="shared" si="7"/>
        <v>#REF!</v>
      </c>
      <c r="M31" s="235" t="e">
        <f t="shared" si="7"/>
        <v>#REF!</v>
      </c>
      <c r="N31" s="235" t="e">
        <f t="shared" si="7"/>
        <v>#REF!</v>
      </c>
      <c r="O31" s="235" t="e">
        <f t="shared" si="7"/>
        <v>#REF!</v>
      </c>
    </row>
    <row r="32" spans="1:15" ht="25.5">
      <c r="A32" s="219" t="s">
        <v>585</v>
      </c>
      <c r="B32" s="235">
        <f>+Liabilities!B16</f>
        <v>0</v>
      </c>
      <c r="C32" s="235">
        <f>+Liabilities!C16</f>
        <v>0</v>
      </c>
      <c r="D32" s="235">
        <f>+Liabilities!D16</f>
        <v>0</v>
      </c>
      <c r="E32" s="235">
        <f>+Liabilities!E16</f>
        <v>0</v>
      </c>
      <c r="F32" s="235">
        <f>+Liabilities!F16</f>
        <v>0</v>
      </c>
      <c r="G32" s="235">
        <f>+Liabilities!G16</f>
        <v>0</v>
      </c>
      <c r="H32" s="235">
        <f>+Liabilities!H16</f>
        <v>0</v>
      </c>
      <c r="I32" s="235">
        <f>+Liabilities!I16</f>
        <v>0</v>
      </c>
      <c r="J32" s="235">
        <f>+Liabilities!J16</f>
        <v>0</v>
      </c>
      <c r="K32" s="235">
        <f>+Liabilities!K16</f>
        <v>0</v>
      </c>
      <c r="L32" s="235">
        <f>+Liabilities!L16</f>
        <v>0</v>
      </c>
      <c r="M32" s="235">
        <f>+Liabilities!M16</f>
        <v>0</v>
      </c>
      <c r="N32" s="235">
        <f>+Liabilities!N16</f>
        <v>0</v>
      </c>
      <c r="O32" s="235">
        <f>+Liabilities!O16</f>
        <v>0</v>
      </c>
    </row>
    <row r="33" spans="1:15">
      <c r="A33" s="240" t="s">
        <v>584</v>
      </c>
      <c r="B33" s="235">
        <f t="shared" ref="B33:O33" si="8">+B31-B32</f>
        <v>-118.59181269999998</v>
      </c>
      <c r="C33" s="235">
        <f t="shared" si="8"/>
        <v>-182.49975279999995</v>
      </c>
      <c r="D33" s="235" t="e">
        <f t="shared" si="8"/>
        <v>#REF!</v>
      </c>
      <c r="E33" s="235" t="e">
        <f t="shared" ref="E33:J33" si="9">+E31-E32</f>
        <v>#REF!</v>
      </c>
      <c r="F33" s="235" t="e">
        <f t="shared" si="9"/>
        <v>#REF!</v>
      </c>
      <c r="G33" s="235" t="e">
        <f t="shared" si="9"/>
        <v>#REF!</v>
      </c>
      <c r="H33" s="235" t="e">
        <f t="shared" si="9"/>
        <v>#REF!</v>
      </c>
      <c r="I33" s="235" t="e">
        <f t="shared" si="9"/>
        <v>#REF!</v>
      </c>
      <c r="J33" s="235" t="e">
        <f t="shared" si="9"/>
        <v>#REF!</v>
      </c>
      <c r="K33" s="235" t="e">
        <f t="shared" si="8"/>
        <v>#REF!</v>
      </c>
      <c r="L33" s="235" t="e">
        <f t="shared" si="8"/>
        <v>#REF!</v>
      </c>
      <c r="M33" s="235" t="e">
        <f t="shared" si="8"/>
        <v>#REF!</v>
      </c>
      <c r="N33" s="235" t="e">
        <f t="shared" si="8"/>
        <v>#REF!</v>
      </c>
      <c r="O33" s="235" t="e">
        <f t="shared" si="8"/>
        <v>#REF!</v>
      </c>
    </row>
    <row r="34" spans="1:15">
      <c r="A34" s="230" t="s">
        <v>581</v>
      </c>
      <c r="B34" s="235"/>
      <c r="C34" s="235"/>
      <c r="D34" s="235"/>
      <c r="E34" s="235"/>
      <c r="F34" s="235"/>
      <c r="G34" s="235"/>
      <c r="H34" s="235"/>
      <c r="I34" s="235"/>
      <c r="J34" s="235"/>
      <c r="K34" s="235"/>
      <c r="L34" s="235"/>
      <c r="M34" s="235"/>
      <c r="N34" s="235"/>
      <c r="O34" s="235"/>
    </row>
    <row r="35" spans="1:15">
      <c r="A35" s="217" t="s">
        <v>619</v>
      </c>
      <c r="B35" s="235">
        <f t="shared" ref="B35:O35" si="10">+B36+B37</f>
        <v>1178.5732642</v>
      </c>
      <c r="C35" s="235">
        <f t="shared" si="10"/>
        <v>1150.97084</v>
      </c>
      <c r="D35" s="235">
        <f t="shared" si="10"/>
        <v>1016.23524</v>
      </c>
      <c r="E35" s="235">
        <f t="shared" ref="E35:J35" si="11">+E36+E37</f>
        <v>2428.73603</v>
      </c>
      <c r="F35" s="235">
        <f t="shared" si="11"/>
        <v>2255.5</v>
      </c>
      <c r="G35" s="235">
        <f t="shared" si="11"/>
        <v>2030.5</v>
      </c>
      <c r="H35" s="235">
        <f t="shared" si="11"/>
        <v>1740.5</v>
      </c>
      <c r="I35" s="235">
        <f t="shared" si="11"/>
        <v>1350</v>
      </c>
      <c r="J35" s="235">
        <f t="shared" si="11"/>
        <v>1125</v>
      </c>
      <c r="K35" s="235">
        <f t="shared" si="10"/>
        <v>825</v>
      </c>
      <c r="L35" s="235">
        <f t="shared" si="10"/>
        <v>750</v>
      </c>
      <c r="M35" s="235">
        <f t="shared" si="10"/>
        <v>750</v>
      </c>
      <c r="N35" s="235" t="e">
        <f t="shared" si="10"/>
        <v>#REF!</v>
      </c>
      <c r="O35" s="235" t="e">
        <f t="shared" si="10"/>
        <v>#REF!</v>
      </c>
    </row>
    <row r="36" spans="1:15">
      <c r="A36" s="217" t="s">
        <v>618</v>
      </c>
      <c r="B36" s="235">
        <f>+Liabilities!B18+Liabilities!B27</f>
        <v>895.31170420000001</v>
      </c>
      <c r="C36" s="235">
        <f>+Liabilities!C18+Liabilities!C27</f>
        <v>822.91561999999999</v>
      </c>
      <c r="D36" s="235">
        <f>+Liabilities!D18+Liabilities!D27</f>
        <v>706.23523999999998</v>
      </c>
      <c r="E36" s="235">
        <f>+Liabilities!E18+Liabilities!E27</f>
        <v>1678.73603</v>
      </c>
      <c r="F36" s="235">
        <f>+Liabilities!F18+Liabilities!F27</f>
        <v>1505.5</v>
      </c>
      <c r="G36" s="235">
        <f>+Liabilities!G18+Liabilities!G27</f>
        <v>1280.5</v>
      </c>
      <c r="H36" s="235">
        <f>+Liabilities!H18+Liabilities!H27</f>
        <v>990.5</v>
      </c>
      <c r="I36" s="235">
        <f>+Liabilities!I18+Liabilities!I27</f>
        <v>600</v>
      </c>
      <c r="J36" s="235">
        <f>+Liabilities!J18+Liabilities!J27</f>
        <v>375</v>
      </c>
      <c r="K36" s="235">
        <f>+Liabilities!K18+Liabilities!K27</f>
        <v>75</v>
      </c>
      <c r="L36" s="235">
        <f>+Liabilities!L18+Liabilities!L27</f>
        <v>0</v>
      </c>
      <c r="M36" s="235">
        <f>+Liabilities!M18+Liabilities!M27</f>
        <v>0</v>
      </c>
      <c r="N36" s="235" t="e">
        <f>+Liabilities!N18+Liabilities!N27</f>
        <v>#REF!</v>
      </c>
      <c r="O36" s="235" t="e">
        <f>+Liabilities!O18+Liabilities!O27</f>
        <v>#REF!</v>
      </c>
    </row>
    <row r="37" spans="1:15">
      <c r="A37" s="217" t="s">
        <v>617</v>
      </c>
      <c r="B37" s="235">
        <f>+Liabilities!B19</f>
        <v>283.26155999999997</v>
      </c>
      <c r="C37" s="235">
        <f>+Liabilities!C19</f>
        <v>328.05522000000002</v>
      </c>
      <c r="D37" s="235">
        <f>+Liabilities!D19</f>
        <v>310</v>
      </c>
      <c r="E37" s="235">
        <f>+Liabilities!E19</f>
        <v>750</v>
      </c>
      <c r="F37" s="235">
        <f>+Liabilities!F19</f>
        <v>750</v>
      </c>
      <c r="G37" s="235">
        <f>+Liabilities!G19</f>
        <v>750</v>
      </c>
      <c r="H37" s="235">
        <f>+Liabilities!H19</f>
        <v>750</v>
      </c>
      <c r="I37" s="235">
        <f>+Liabilities!I19</f>
        <v>750</v>
      </c>
      <c r="J37" s="235">
        <f>+Liabilities!J19</f>
        <v>750</v>
      </c>
      <c r="K37" s="235">
        <f>+Liabilities!K19</f>
        <v>750</v>
      </c>
      <c r="L37" s="235">
        <f>+Liabilities!L19</f>
        <v>750</v>
      </c>
      <c r="M37" s="235">
        <f>+Liabilities!M19</f>
        <v>750</v>
      </c>
      <c r="N37" s="235">
        <f>+Liabilities!N19</f>
        <v>717.78</v>
      </c>
      <c r="O37" s="235">
        <f>+Liabilities!O19</f>
        <v>703.02</v>
      </c>
    </row>
    <row r="38" spans="1:15">
      <c r="A38" s="217" t="s">
        <v>602</v>
      </c>
      <c r="B38" s="235">
        <f>+Assets!B14</f>
        <v>0</v>
      </c>
      <c r="C38" s="235">
        <f>+Assets!C14</f>
        <v>0</v>
      </c>
      <c r="D38" s="235">
        <f>+Assets!D14</f>
        <v>0</v>
      </c>
      <c r="E38" s="235">
        <f>+Assets!E14</f>
        <v>0</v>
      </c>
      <c r="F38" s="235">
        <f>+Assets!F14</f>
        <v>0</v>
      </c>
      <c r="G38" s="235">
        <f>+Assets!G14</f>
        <v>0</v>
      </c>
      <c r="H38" s="235">
        <f>+Assets!H14</f>
        <v>0</v>
      </c>
      <c r="I38" s="235">
        <f>+Assets!I14</f>
        <v>0</v>
      </c>
      <c r="J38" s="235">
        <f>+Assets!J14</f>
        <v>0</v>
      </c>
      <c r="K38" s="235">
        <f>+Assets!K14</f>
        <v>0</v>
      </c>
      <c r="L38" s="235">
        <f>+Assets!L14</f>
        <v>0</v>
      </c>
      <c r="M38" s="235">
        <f>+Assets!M14</f>
        <v>0</v>
      </c>
      <c r="N38" s="235">
        <f>+Assets!N14</f>
        <v>1343.7051812372792</v>
      </c>
      <c r="O38" s="235">
        <f>+Assets!O14</f>
        <v>1822.791311598532</v>
      </c>
    </row>
    <row r="39" spans="1:15">
      <c r="A39" s="230" t="s">
        <v>616</v>
      </c>
      <c r="B39" s="235">
        <f>+Assets!B35</f>
        <v>1177.0280688</v>
      </c>
      <c r="C39" s="235">
        <f>+Assets!C35</f>
        <v>1141.3546238000001</v>
      </c>
      <c r="D39" s="235">
        <f>+Assets!D35</f>
        <v>1097.3605581749998</v>
      </c>
      <c r="E39" s="235">
        <f>+Assets!E35</f>
        <v>2570.0482150092503</v>
      </c>
      <c r="F39" s="235">
        <f>+Assets!F35</f>
        <v>2332.2826523778126</v>
      </c>
      <c r="G39" s="235">
        <f>+Assets!G35</f>
        <v>2205.2381840313874</v>
      </c>
      <c r="H39" s="235">
        <f>+Assets!H35</f>
        <v>2218.1923685498077</v>
      </c>
      <c r="I39" s="235">
        <f>+Assets!I35</f>
        <v>2377.7221016032117</v>
      </c>
      <c r="J39" s="235">
        <f>+Assets!J35</f>
        <v>2706.873991326489</v>
      </c>
      <c r="K39" s="235">
        <f>+Assets!K35</f>
        <v>2884.6407519316917</v>
      </c>
      <c r="L39" s="235">
        <f>+Assets!L35</f>
        <v>3670.4673721916051</v>
      </c>
      <c r="M39" s="235">
        <f>+Assets!M35</f>
        <v>4362.4862220620716</v>
      </c>
      <c r="N39" s="235" t="e">
        <f>+Assets!N35</f>
        <v>#REF!</v>
      </c>
      <c r="O39" s="235" t="e">
        <f>+Assets!O35</f>
        <v>#REF!</v>
      </c>
    </row>
    <row r="40" spans="1:15">
      <c r="A40" s="230" t="s">
        <v>41</v>
      </c>
      <c r="B40" s="235">
        <f>+Assets!B32</f>
        <v>32.93838879999997</v>
      </c>
      <c r="C40" s="235">
        <f>+Assets!C32</f>
        <v>10.568783800000224</v>
      </c>
      <c r="D40" s="235">
        <f>+Assets!D32</f>
        <v>30.352518174999886</v>
      </c>
      <c r="E40" s="235">
        <f>+Assets!E32</f>
        <v>76.034710609249942</v>
      </c>
      <c r="F40" s="235">
        <f>+Assets!F32</f>
        <v>101.93117952781267</v>
      </c>
      <c r="G40" s="235">
        <f>+Assets!G32</f>
        <v>164.27681565988678</v>
      </c>
      <c r="H40" s="235">
        <f>+Assets!H32</f>
        <v>200.22972887993228</v>
      </c>
      <c r="I40" s="235">
        <f>+Assets!I32</f>
        <v>488.19130723512808</v>
      </c>
      <c r="J40" s="235">
        <f>+Assets!J32</f>
        <v>808.52989877979689</v>
      </c>
      <c r="K40" s="235">
        <f>+Assets!K32</f>
        <v>351.67302591656426</v>
      </c>
      <c r="L40" s="235">
        <f>+Assets!L32</f>
        <v>468.75046071335146</v>
      </c>
      <c r="M40" s="235">
        <f>+Assets!M32</f>
        <v>608.74531562670109</v>
      </c>
      <c r="N40" s="235" t="e">
        <f>+Assets!N32</f>
        <v>#REF!</v>
      </c>
      <c r="O40" s="235" t="e">
        <f>+Assets!O32</f>
        <v>#REF!</v>
      </c>
    </row>
    <row r="41" spans="1:15">
      <c r="A41" s="230" t="s">
        <v>236</v>
      </c>
      <c r="B41" s="235">
        <f>+Assets!B19</f>
        <v>1144.08968</v>
      </c>
      <c r="C41" s="235">
        <f>+Assets!C19</f>
        <v>1130.78584</v>
      </c>
      <c r="D41" s="235">
        <f>+Assets!D19</f>
        <v>1067.0080399999999</v>
      </c>
      <c r="E41" s="235">
        <f>+Assets!E19</f>
        <v>2494.0135044000003</v>
      </c>
      <c r="F41" s="235">
        <f>+Assets!F19</f>
        <v>2230.3514728499999</v>
      </c>
      <c r="G41" s="235">
        <f>+Assets!G19</f>
        <v>2040.9613683715004</v>
      </c>
      <c r="H41" s="235">
        <f>+Assets!H19</f>
        <v>2017.9626396698754</v>
      </c>
      <c r="I41" s="235">
        <f>+Assets!I19</f>
        <v>1889.5307943680837</v>
      </c>
      <c r="J41" s="235">
        <f>+Assets!J19</f>
        <v>1898.3440925466921</v>
      </c>
      <c r="K41" s="235">
        <f>+Assets!K19</f>
        <v>2532.9677260151275</v>
      </c>
      <c r="L41" s="235">
        <f>+Assets!L19</f>
        <v>3201.7169114782537</v>
      </c>
      <c r="M41" s="235">
        <f>+Assets!M19</f>
        <v>3753.7409064353706</v>
      </c>
      <c r="N41" s="235" t="e">
        <f>+Assets!N19</f>
        <v>#REF!</v>
      </c>
      <c r="O41" s="235" t="e">
        <f>+Assets!O19</f>
        <v>#REF!</v>
      </c>
    </row>
    <row r="42" spans="1:15">
      <c r="A42" s="230" t="s">
        <v>615</v>
      </c>
      <c r="B42" s="235">
        <f>+Assets!B10</f>
        <v>1140.65543</v>
      </c>
      <c r="C42" s="235">
        <f>+Assets!C10</f>
        <v>1129.35159</v>
      </c>
      <c r="D42" s="235">
        <f>+Assets!D10</f>
        <v>1065.5080399999999</v>
      </c>
      <c r="E42" s="235">
        <f>+Assets!E10</f>
        <v>2491.5135044000003</v>
      </c>
      <c r="F42" s="235">
        <f>+Assets!F10</f>
        <v>2225.3514728499999</v>
      </c>
      <c r="G42" s="235">
        <f>+Assets!G10</f>
        <v>2025.4613683715004</v>
      </c>
      <c r="H42" s="235">
        <f>+Assets!H10</f>
        <v>1997.4626396698754</v>
      </c>
      <c r="I42" s="235">
        <f>+Assets!I10</f>
        <v>1864.0307943680837</v>
      </c>
      <c r="J42" s="235">
        <f>+Assets!J10</f>
        <v>1867.8440925466921</v>
      </c>
      <c r="K42" s="235">
        <f>+Assets!K10</f>
        <v>2497.4677260151275</v>
      </c>
      <c r="L42" s="235">
        <f>+Assets!L10</f>
        <v>3161.2169114782537</v>
      </c>
      <c r="M42" s="235">
        <f>+Assets!M10</f>
        <v>3708.2409064353706</v>
      </c>
      <c r="N42" s="235" t="e">
        <f>+Assets!N10</f>
        <v>#REF!</v>
      </c>
      <c r="O42" s="235" t="e">
        <f>+Assets!O10</f>
        <v>#REF!</v>
      </c>
    </row>
    <row r="43" spans="1:15">
      <c r="A43" s="230" t="s">
        <v>7</v>
      </c>
      <c r="B43" s="235">
        <f>+Assets!B32-Liabilities!B35</f>
        <v>-84.108228500000024</v>
      </c>
      <c r="C43" s="235">
        <f>+Assets!C32-Liabilities!C35</f>
        <v>-162.31475279999978</v>
      </c>
      <c r="D43" s="235" t="e">
        <f>+Assets!D32-Liabilities!D35</f>
        <v>#REF!</v>
      </c>
      <c r="E43" s="235" t="e">
        <f>+Assets!E32-Liabilities!E35</f>
        <v>#REF!</v>
      </c>
      <c r="F43" s="235" t="e">
        <f>+Assets!F32-Liabilities!F35</f>
        <v>#REF!</v>
      </c>
      <c r="G43" s="235" t="e">
        <f>+Assets!G32-Liabilities!G35</f>
        <v>#REF!</v>
      </c>
      <c r="H43" s="235" t="e">
        <f>+Assets!H32-Liabilities!H35</f>
        <v>#REF!</v>
      </c>
      <c r="I43" s="235" t="e">
        <f>+Assets!I32-Liabilities!I35</f>
        <v>#REF!</v>
      </c>
      <c r="J43" s="235" t="e">
        <f>+Assets!J32-Liabilities!J35</f>
        <v>#REF!</v>
      </c>
      <c r="K43" s="235" t="e">
        <f>+Assets!K32-Liabilities!K35</f>
        <v>#REF!</v>
      </c>
      <c r="L43" s="235" t="e">
        <f>+Assets!L32-Liabilities!L35</f>
        <v>#REF!</v>
      </c>
      <c r="M43" s="235" t="e">
        <f>+Assets!M32-Liabilities!M35</f>
        <v>#REF!</v>
      </c>
      <c r="N43" s="235" t="e">
        <f>+Assets!N32-Liabilities!N35</f>
        <v>#REF!</v>
      </c>
      <c r="O43" s="235" t="e">
        <f>+Assets!O32-Liabilities!O35</f>
        <v>#REF!</v>
      </c>
    </row>
    <row r="44" spans="1:15">
      <c r="A44" s="230" t="s">
        <v>10</v>
      </c>
      <c r="B44" s="235">
        <f>+Assets!B32/Liabilities!B35</f>
        <v>0.28141256500883066</v>
      </c>
      <c r="C44" s="235">
        <f>+Assets!C32/Liabilities!C35</f>
        <v>6.113239009248856E-2</v>
      </c>
      <c r="D44" s="235" t="e">
        <f>+Assets!D32/Liabilities!D35</f>
        <v>#REF!</v>
      </c>
      <c r="E44" s="235" t="e">
        <f>+Assets!E32/Liabilities!E35</f>
        <v>#REF!</v>
      </c>
      <c r="F44" s="235" t="e">
        <f>+Assets!F32/Liabilities!F35</f>
        <v>#REF!</v>
      </c>
      <c r="G44" s="235" t="e">
        <f>+Assets!G32/Liabilities!G35</f>
        <v>#REF!</v>
      </c>
      <c r="H44" s="235" t="e">
        <f>+Assets!H32/Liabilities!H35</f>
        <v>#REF!</v>
      </c>
      <c r="I44" s="235" t="e">
        <f>+Assets!I32/Liabilities!I35</f>
        <v>#REF!</v>
      </c>
      <c r="J44" s="235" t="e">
        <f>+Assets!J32/Liabilities!J35</f>
        <v>#REF!</v>
      </c>
      <c r="K44" s="235" t="e">
        <f>+Assets!K32/Liabilities!K35</f>
        <v>#REF!</v>
      </c>
      <c r="L44" s="235" t="e">
        <f>+Assets!L32/Liabilities!L35</f>
        <v>#REF!</v>
      </c>
      <c r="M44" s="235" t="e">
        <f>+Assets!M32/Liabilities!M35</f>
        <v>#REF!</v>
      </c>
      <c r="N44" s="235" t="e">
        <f>+Assets!N32/Liabilities!N35</f>
        <v>#REF!</v>
      </c>
      <c r="O44" s="235" t="e">
        <f>+Assets!O32/Liabilities!O35</f>
        <v>#REF!</v>
      </c>
    </row>
    <row r="45" spans="1:15">
      <c r="A45" s="230" t="s">
        <v>614</v>
      </c>
      <c r="B45" s="235">
        <f>+(Assets!B32-Assets!B44)/(Liabilities!B35-Assets!B44)</f>
        <v>0.28141256500883066</v>
      </c>
      <c r="C45" s="235">
        <f>+(Assets!C32-Assets!C44)/(Liabilities!C35-Assets!C44)</f>
        <v>6.113239009248856E-2</v>
      </c>
      <c r="D45" s="235" t="e">
        <f>+(Assets!D32-Assets!D44)/(Liabilities!D35-Assets!D44)</f>
        <v>#REF!</v>
      </c>
      <c r="E45" s="235" t="e">
        <f>+(Assets!E32-Assets!E44)/(Liabilities!E35-Assets!E44)</f>
        <v>#REF!</v>
      </c>
      <c r="F45" s="235" t="e">
        <f>+(Assets!F32-Assets!F44)/(Liabilities!F35-Assets!F44)</f>
        <v>#REF!</v>
      </c>
      <c r="G45" s="235" t="e">
        <f>+(Assets!G32-Assets!G44)/(Liabilities!G35-Assets!G44)</f>
        <v>#REF!</v>
      </c>
      <c r="H45" s="235" t="e">
        <f>+(Assets!H32-Assets!H44)/(Liabilities!H35-Assets!H44)</f>
        <v>#REF!</v>
      </c>
      <c r="I45" s="235" t="e">
        <f>+(Assets!I32-Assets!I44)/(Liabilities!I35-Assets!I44)</f>
        <v>#REF!</v>
      </c>
      <c r="J45" s="235" t="e">
        <f>+(Assets!J32-Assets!J44)/(Liabilities!J35-Assets!J44)</f>
        <v>#REF!</v>
      </c>
      <c r="K45" s="235" t="e">
        <f>+(Assets!K32-Assets!K44)/(Liabilities!K35-Assets!K44)</f>
        <v>#REF!</v>
      </c>
      <c r="L45" s="235" t="e">
        <f>+(Assets!L32-Assets!L44)/(Liabilities!L35-Assets!L44)</f>
        <v>#REF!</v>
      </c>
      <c r="M45" s="235" t="e">
        <f>+(Assets!M32-Assets!M44)/(Liabilities!M35-Assets!M44)</f>
        <v>#REF!</v>
      </c>
      <c r="N45" s="235" t="e">
        <f>+(Assets!N32-Assets!N44)/(Liabilities!N35-Assets!N44)</f>
        <v>#REF!</v>
      </c>
      <c r="O45" s="235" t="e">
        <f>+(Assets!O32-Assets!O44)/(Liabilities!O35-Assets!O44)</f>
        <v>#REF!</v>
      </c>
    </row>
    <row r="46" spans="1:15">
      <c r="A46" s="230" t="s">
        <v>613</v>
      </c>
      <c r="B46" s="235">
        <f>+Liabilities!B46</f>
        <v>7.1571936164621794</v>
      </c>
      <c r="C46" s="235">
        <f>+Liabilities!C46</f>
        <v>7.9074380519043768</v>
      </c>
      <c r="D46" s="235" t="e">
        <f>+Liabilities!D46</f>
        <v>#REF!</v>
      </c>
      <c r="E46" s="235" t="e">
        <f>+Liabilities!E46</f>
        <v>#REF!</v>
      </c>
      <c r="F46" s="235" t="e">
        <f>+Liabilities!F46</f>
        <v>#REF!</v>
      </c>
      <c r="G46" s="235" t="e">
        <f>+Liabilities!G46</f>
        <v>#REF!</v>
      </c>
      <c r="H46" s="235" t="e">
        <f>+Liabilities!H46</f>
        <v>#REF!</v>
      </c>
      <c r="I46" s="235" t="e">
        <f>+Liabilities!I46</f>
        <v>#REF!</v>
      </c>
      <c r="J46" s="235" t="e">
        <f>+Liabilities!J46</f>
        <v>#REF!</v>
      </c>
      <c r="K46" s="235" t="e">
        <f>+Liabilities!K46</f>
        <v>#REF!</v>
      </c>
      <c r="L46" s="235" t="e">
        <f>+Liabilities!L46</f>
        <v>#REF!</v>
      </c>
      <c r="M46" s="235" t="e">
        <f>+Liabilities!M46</f>
        <v>#REF!</v>
      </c>
      <c r="N46" s="235" t="e">
        <f>+Liabilities!N46</f>
        <v>#REF!</v>
      </c>
      <c r="O46" s="235" t="e">
        <f>+Liabilities!O46</f>
        <v>#REF!</v>
      </c>
    </row>
    <row r="47" spans="1:15">
      <c r="A47" s="230" t="s">
        <v>575</v>
      </c>
      <c r="B47" s="235">
        <f>+Liabilities!B48</f>
        <v>7.1571936164621794</v>
      </c>
      <c r="C47" s="235">
        <f>+Liabilities!C48</f>
        <v>7.9074380519043768</v>
      </c>
      <c r="D47" s="235" t="e">
        <f>+Liabilities!D48</f>
        <v>#REF!</v>
      </c>
      <c r="E47" s="235" t="e">
        <f>+Liabilities!E48</f>
        <v>#REF!</v>
      </c>
      <c r="F47" s="235" t="e">
        <f>+Liabilities!F48</f>
        <v>#REF!</v>
      </c>
      <c r="G47" s="235" t="e">
        <f>+Liabilities!G48</f>
        <v>#REF!</v>
      </c>
      <c r="H47" s="235" t="e">
        <f>+Liabilities!H48</f>
        <v>#REF!</v>
      </c>
      <c r="I47" s="235" t="e">
        <f>+Liabilities!I48</f>
        <v>#REF!</v>
      </c>
      <c r="J47" s="235" t="e">
        <f>+Liabilities!J48</f>
        <v>#REF!</v>
      </c>
      <c r="K47" s="235" t="e">
        <f>+Liabilities!K48</f>
        <v>#REF!</v>
      </c>
      <c r="L47" s="235" t="e">
        <f>+Liabilities!L48</f>
        <v>#REF!</v>
      </c>
      <c r="M47" s="235" t="e">
        <f>+Liabilities!M48</f>
        <v>#REF!</v>
      </c>
      <c r="N47" s="235" t="e">
        <f>+Liabilities!N48</f>
        <v>#REF!</v>
      </c>
      <c r="O47" s="235" t="e">
        <f>+Liabilities!O48</f>
        <v>#REF!</v>
      </c>
    </row>
    <row r="48" spans="1:15">
      <c r="A48" s="230" t="s">
        <v>612</v>
      </c>
      <c r="B48" s="235">
        <f>+Liabilities!B54</f>
        <v>6.1478100142806271</v>
      </c>
      <c r="C48" s="235">
        <f>+Liabilities!C54</f>
        <v>6.8413724043201007</v>
      </c>
      <c r="D48" s="235" t="e">
        <f>+Liabilities!D54</f>
        <v>#REF!</v>
      </c>
      <c r="E48" s="235" t="e">
        <f>+Liabilities!E54</f>
        <v>#REF!</v>
      </c>
      <c r="F48" s="235" t="e">
        <f>+Liabilities!F54</f>
        <v>#REF!</v>
      </c>
      <c r="G48" s="235" t="e">
        <f>+Liabilities!G54</f>
        <v>#REF!</v>
      </c>
      <c r="H48" s="235" t="e">
        <f>+Liabilities!H54</f>
        <v>#REF!</v>
      </c>
      <c r="I48" s="235" t="e">
        <f>+Liabilities!I54</f>
        <v>#REF!</v>
      </c>
      <c r="J48" s="235" t="e">
        <f>+Liabilities!J54</f>
        <v>#REF!</v>
      </c>
      <c r="K48" s="235" t="e">
        <f>+Liabilities!K54</f>
        <v>#REF!</v>
      </c>
      <c r="L48" s="235" t="e">
        <f>+Liabilities!L54</f>
        <v>#REF!</v>
      </c>
      <c r="M48" s="235" t="e">
        <f>+Liabilities!M54</f>
        <v>#REF!</v>
      </c>
      <c r="N48" s="235" t="e">
        <f>+Liabilities!N54</f>
        <v>#REF!</v>
      </c>
      <c r="O48" s="235" t="e">
        <f>+Liabilities!O54</f>
        <v>#REF!</v>
      </c>
    </row>
    <row r="49" spans="1:15">
      <c r="A49" s="230" t="s">
        <v>611</v>
      </c>
      <c r="B49" s="235">
        <f t="shared" ref="B49:O49" si="12">+B16/B9*100</f>
        <v>-23.098643055759652</v>
      </c>
      <c r="C49" s="235">
        <f t="shared" si="12"/>
        <v>-19.821670176790033</v>
      </c>
      <c r="D49" s="235" t="e">
        <f t="shared" si="12"/>
        <v>#REF!</v>
      </c>
      <c r="E49" s="235" t="e">
        <f t="shared" ref="E49:J49" si="13">+E16/E9*100</f>
        <v>#REF!</v>
      </c>
      <c r="F49" s="235" t="e">
        <f t="shared" si="13"/>
        <v>#REF!</v>
      </c>
      <c r="G49" s="235" t="e">
        <f t="shared" si="13"/>
        <v>#REF!</v>
      </c>
      <c r="H49" s="235" t="e">
        <f t="shared" si="13"/>
        <v>#REF!</v>
      </c>
      <c r="I49" s="235" t="e">
        <f t="shared" si="13"/>
        <v>#REF!</v>
      </c>
      <c r="J49" s="235" t="e">
        <f t="shared" si="13"/>
        <v>#REF!</v>
      </c>
      <c r="K49" s="235" t="e">
        <f t="shared" si="12"/>
        <v>#REF!</v>
      </c>
      <c r="L49" s="235" t="e">
        <f t="shared" si="12"/>
        <v>#REF!</v>
      </c>
      <c r="M49" s="235" t="e">
        <f t="shared" si="12"/>
        <v>#REF!</v>
      </c>
      <c r="N49" s="235" t="e">
        <f t="shared" si="12"/>
        <v>#REF!</v>
      </c>
      <c r="O49" s="235" t="e">
        <f t="shared" si="12"/>
        <v>#REF!</v>
      </c>
    </row>
    <row r="50" spans="1:15">
      <c r="A50" s="231" t="s">
        <v>610</v>
      </c>
      <c r="B50" s="235"/>
      <c r="C50" s="235"/>
      <c r="D50" s="235"/>
      <c r="E50" s="235"/>
      <c r="F50" s="235"/>
      <c r="G50" s="235"/>
      <c r="H50" s="235"/>
      <c r="I50" s="235"/>
      <c r="J50" s="235"/>
      <c r="K50" s="235"/>
      <c r="L50" s="235"/>
      <c r="M50" s="235"/>
      <c r="N50" s="235"/>
      <c r="O50" s="235"/>
    </row>
    <row r="51" spans="1:15">
      <c r="A51" s="230" t="s">
        <v>11</v>
      </c>
      <c r="B51" s="235">
        <f>+Liabilities!B24</f>
        <v>1059.9814515</v>
      </c>
      <c r="C51" s="235">
        <f>+Liabilities!C24</f>
        <v>968.47108720000006</v>
      </c>
      <c r="D51" s="235" t="e">
        <f>+Liabilities!D24</f>
        <v>#REF!</v>
      </c>
      <c r="E51" s="235" t="e">
        <f>+Liabilities!E24</f>
        <v>#REF!</v>
      </c>
      <c r="F51" s="235" t="e">
        <f>+Liabilities!F24</f>
        <v>#REF!</v>
      </c>
      <c r="G51" s="235" t="e">
        <f>+Liabilities!G24</f>
        <v>#REF!</v>
      </c>
      <c r="H51" s="235" t="e">
        <f>+Liabilities!H24</f>
        <v>#REF!</v>
      </c>
      <c r="I51" s="235" t="e">
        <f>+Liabilities!I24</f>
        <v>#REF!</v>
      </c>
      <c r="J51" s="235" t="e">
        <f>+Liabilities!J24</f>
        <v>#REF!</v>
      </c>
      <c r="K51" s="235" t="e">
        <f>+Liabilities!K24</f>
        <v>#REF!</v>
      </c>
      <c r="L51" s="235" t="e">
        <f>+Liabilities!L24</f>
        <v>#REF!</v>
      </c>
      <c r="M51" s="235" t="e">
        <f>+Liabilities!M24</f>
        <v>#REF!</v>
      </c>
      <c r="N51" s="235" t="e">
        <f>+Liabilities!N24</f>
        <v>#REF!</v>
      </c>
      <c r="O51" s="235" t="e">
        <f>+Liabilities!O24</f>
        <v>#REF!</v>
      </c>
    </row>
    <row r="52" spans="1:15">
      <c r="A52" s="230" t="s">
        <v>43</v>
      </c>
      <c r="B52" s="235">
        <f>+Assets!B19</f>
        <v>1144.08968</v>
      </c>
      <c r="C52" s="235">
        <f>+Assets!C19</f>
        <v>1130.78584</v>
      </c>
      <c r="D52" s="235">
        <f>+Assets!D19</f>
        <v>1067.0080399999999</v>
      </c>
      <c r="E52" s="235">
        <f>+Assets!E19</f>
        <v>2494.0135044000003</v>
      </c>
      <c r="F52" s="235">
        <f>+Assets!F19</f>
        <v>2230.3514728499999</v>
      </c>
      <c r="G52" s="235">
        <f>+Assets!G19</f>
        <v>2040.9613683715004</v>
      </c>
      <c r="H52" s="235">
        <f>+Assets!H19</f>
        <v>2017.9626396698754</v>
      </c>
      <c r="I52" s="235">
        <f>+Assets!I19</f>
        <v>1889.5307943680837</v>
      </c>
      <c r="J52" s="235">
        <f>+Assets!J19</f>
        <v>1898.3440925466921</v>
      </c>
      <c r="K52" s="235">
        <f>+Assets!K19</f>
        <v>2532.9677260151275</v>
      </c>
      <c r="L52" s="235">
        <f>+Assets!L19</f>
        <v>3201.7169114782537</v>
      </c>
      <c r="M52" s="235">
        <f>+Assets!M19</f>
        <v>3753.7409064353706</v>
      </c>
      <c r="N52" s="235" t="e">
        <f>+Assets!N19</f>
        <v>#REF!</v>
      </c>
      <c r="O52" s="235" t="e">
        <f>+Assets!O19</f>
        <v>#REF!</v>
      </c>
    </row>
    <row r="53" spans="1:15">
      <c r="A53" s="230" t="s">
        <v>607</v>
      </c>
      <c r="B53" s="235">
        <f t="shared" ref="B53:O53" si="14">+B51-B52</f>
        <v>-84.108228499999996</v>
      </c>
      <c r="C53" s="235">
        <f t="shared" si="14"/>
        <v>-162.31475279999995</v>
      </c>
      <c r="D53" s="235" t="e">
        <f t="shared" si="14"/>
        <v>#REF!</v>
      </c>
      <c r="E53" s="235" t="e">
        <f t="shared" ref="E53:J53" si="15">+E51-E52</f>
        <v>#REF!</v>
      </c>
      <c r="F53" s="235" t="e">
        <f t="shared" si="15"/>
        <v>#REF!</v>
      </c>
      <c r="G53" s="235" t="e">
        <f t="shared" si="15"/>
        <v>#REF!</v>
      </c>
      <c r="H53" s="235" t="e">
        <f t="shared" si="15"/>
        <v>#REF!</v>
      </c>
      <c r="I53" s="235" t="e">
        <f t="shared" si="15"/>
        <v>#REF!</v>
      </c>
      <c r="J53" s="235" t="e">
        <f t="shared" si="15"/>
        <v>#REF!</v>
      </c>
      <c r="K53" s="235" t="e">
        <f t="shared" si="14"/>
        <v>#REF!</v>
      </c>
      <c r="L53" s="235" t="e">
        <f t="shared" si="14"/>
        <v>#REF!</v>
      </c>
      <c r="M53" s="235" t="e">
        <f t="shared" si="14"/>
        <v>#REF!</v>
      </c>
      <c r="N53" s="235" t="e">
        <f t="shared" si="14"/>
        <v>#REF!</v>
      </c>
      <c r="O53" s="235" t="e">
        <f t="shared" si="14"/>
        <v>#REF!</v>
      </c>
    </row>
    <row r="54" spans="1:15">
      <c r="A54" s="230" t="s">
        <v>609</v>
      </c>
      <c r="B54" s="235">
        <f>+Liabilities!B35</f>
        <v>117.04661729999999</v>
      </c>
      <c r="C54" s="235">
        <f>+Liabilities!C35</f>
        <v>172.88353660000001</v>
      </c>
      <c r="D54" s="235" t="e">
        <f>+Liabilities!D35</f>
        <v>#REF!</v>
      </c>
      <c r="E54" s="235" t="e">
        <f>+Liabilities!E35</f>
        <v>#REF!</v>
      </c>
      <c r="F54" s="235" t="e">
        <f>+Liabilities!F35</f>
        <v>#REF!</v>
      </c>
      <c r="G54" s="235" t="e">
        <f>+Liabilities!G35</f>
        <v>#REF!</v>
      </c>
      <c r="H54" s="235" t="e">
        <f>+Liabilities!H35</f>
        <v>#REF!</v>
      </c>
      <c r="I54" s="235" t="e">
        <f>+Liabilities!I35</f>
        <v>#REF!</v>
      </c>
      <c r="J54" s="235" t="e">
        <f>+Liabilities!J35</f>
        <v>#REF!</v>
      </c>
      <c r="K54" s="235" t="e">
        <f>+Liabilities!K35</f>
        <v>#REF!</v>
      </c>
      <c r="L54" s="235" t="e">
        <f>+Liabilities!L35</f>
        <v>#REF!</v>
      </c>
      <c r="M54" s="235" t="e">
        <f>+Liabilities!M35</f>
        <v>#REF!</v>
      </c>
      <c r="N54" s="235" t="e">
        <f>+Liabilities!N35</f>
        <v>#REF!</v>
      </c>
      <c r="O54" s="235">
        <f>+Liabilities!O35</f>
        <v>2355</v>
      </c>
    </row>
    <row r="55" spans="1:15">
      <c r="A55" s="230" t="s">
        <v>608</v>
      </c>
      <c r="B55" s="235">
        <f>+Assets!B32</f>
        <v>32.93838879999997</v>
      </c>
      <c r="C55" s="235">
        <f>+Assets!C32</f>
        <v>10.568783800000224</v>
      </c>
      <c r="D55" s="235">
        <f>+Assets!D32</f>
        <v>30.352518174999886</v>
      </c>
      <c r="E55" s="235">
        <f>+Assets!E32</f>
        <v>76.034710609249942</v>
      </c>
      <c r="F55" s="235">
        <f>+Assets!F32</f>
        <v>101.93117952781267</v>
      </c>
      <c r="G55" s="235">
        <f>+Assets!G32</f>
        <v>164.27681565988678</v>
      </c>
      <c r="H55" s="235">
        <f>+Assets!H32</f>
        <v>200.22972887993228</v>
      </c>
      <c r="I55" s="235">
        <f>+Assets!I32</f>
        <v>488.19130723512808</v>
      </c>
      <c r="J55" s="235">
        <f>+Assets!J32</f>
        <v>808.52989877979689</v>
      </c>
      <c r="K55" s="235">
        <f>+Assets!K32</f>
        <v>351.67302591656426</v>
      </c>
      <c r="L55" s="235">
        <f>+Assets!L32</f>
        <v>468.75046071335146</v>
      </c>
      <c r="M55" s="235">
        <f>+Assets!M32</f>
        <v>608.74531562670109</v>
      </c>
      <c r="N55" s="235" t="e">
        <f>+Assets!N32</f>
        <v>#REF!</v>
      </c>
      <c r="O55" s="235" t="e">
        <f>+Assets!O32</f>
        <v>#REF!</v>
      </c>
    </row>
    <row r="56" spans="1:15">
      <c r="A56" s="230" t="s">
        <v>607</v>
      </c>
      <c r="B56" s="235">
        <f t="shared" ref="B56:O56" si="16">+B54-B55</f>
        <v>84.108228500000024</v>
      </c>
      <c r="C56" s="235">
        <f t="shared" si="16"/>
        <v>162.31475279999978</v>
      </c>
      <c r="D56" s="235" t="e">
        <f t="shared" si="16"/>
        <v>#REF!</v>
      </c>
      <c r="E56" s="235" t="e">
        <f t="shared" ref="E56:J56" si="17">+E54-E55</f>
        <v>#REF!</v>
      </c>
      <c r="F56" s="235" t="e">
        <f t="shared" si="17"/>
        <v>#REF!</v>
      </c>
      <c r="G56" s="235" t="e">
        <f t="shared" si="17"/>
        <v>#REF!</v>
      </c>
      <c r="H56" s="235" t="e">
        <f t="shared" si="17"/>
        <v>#REF!</v>
      </c>
      <c r="I56" s="235" t="e">
        <f t="shared" si="17"/>
        <v>#REF!</v>
      </c>
      <c r="J56" s="235" t="e">
        <f t="shared" si="17"/>
        <v>#REF!</v>
      </c>
      <c r="K56" s="235" t="e">
        <f t="shared" si="16"/>
        <v>#REF!</v>
      </c>
      <c r="L56" s="235" t="e">
        <f t="shared" si="16"/>
        <v>#REF!</v>
      </c>
      <c r="M56" s="235" t="e">
        <f t="shared" si="16"/>
        <v>#REF!</v>
      </c>
      <c r="N56" s="235" t="e">
        <f t="shared" si="16"/>
        <v>#REF!</v>
      </c>
      <c r="O56" s="235" t="e">
        <f t="shared" si="16"/>
        <v>#REF!</v>
      </c>
    </row>
    <row r="57" spans="1:15">
      <c r="A57" s="230"/>
      <c r="B57" s="235"/>
      <c r="C57" s="235"/>
      <c r="D57" s="235"/>
      <c r="E57" s="235"/>
      <c r="F57" s="235"/>
      <c r="G57" s="235"/>
      <c r="H57" s="235"/>
      <c r="I57" s="235"/>
      <c r="J57" s="235"/>
      <c r="K57" s="235"/>
      <c r="L57" s="235"/>
      <c r="M57" s="235"/>
      <c r="N57" s="235"/>
      <c r="O57" s="235"/>
    </row>
    <row r="58" spans="1:15">
      <c r="B58" s="238"/>
      <c r="C58" s="238"/>
      <c r="D58" s="238"/>
      <c r="E58" s="238"/>
      <c r="F58" s="238"/>
      <c r="G58" s="238"/>
      <c r="H58" s="238"/>
      <c r="I58" s="238"/>
      <c r="J58" s="238"/>
      <c r="K58" s="238"/>
      <c r="L58" s="238"/>
      <c r="M58" s="238"/>
      <c r="N58" s="238"/>
      <c r="O58" s="238"/>
    </row>
    <row r="59" spans="1:15">
      <c r="B59" s="238"/>
      <c r="C59" s="238"/>
      <c r="D59" s="238"/>
      <c r="E59" s="238"/>
      <c r="F59" s="238"/>
      <c r="H59" s="238"/>
      <c r="I59" s="238"/>
      <c r="J59" s="238"/>
      <c r="K59" s="238"/>
      <c r="L59" s="238"/>
      <c r="M59" s="238"/>
    </row>
    <row r="60" spans="1:15">
      <c r="B60" s="238"/>
      <c r="C60" s="238"/>
      <c r="D60" s="238"/>
      <c r="E60" s="238"/>
      <c r="F60" s="238"/>
      <c r="G60" s="238"/>
      <c r="H60" s="238"/>
      <c r="I60" s="238"/>
      <c r="J60" s="238"/>
      <c r="K60" s="238"/>
      <c r="L60" s="238"/>
      <c r="M60" s="238"/>
    </row>
    <row r="61" spans="1:15">
      <c r="B61" s="238"/>
      <c r="C61" s="238"/>
      <c r="D61" s="238"/>
      <c r="E61" s="238"/>
      <c r="F61" s="238"/>
      <c r="G61" s="238"/>
      <c r="H61" s="238"/>
      <c r="I61" s="238"/>
      <c r="J61" s="238"/>
      <c r="K61" s="238"/>
      <c r="L61" s="238"/>
      <c r="M61" s="238"/>
    </row>
    <row r="62" spans="1:15">
      <c r="B62" s="238"/>
      <c r="C62" s="238"/>
      <c r="D62" s="238"/>
      <c r="E62" s="238"/>
      <c r="F62" s="238"/>
      <c r="G62" s="238"/>
      <c r="H62" s="238"/>
      <c r="I62" s="238"/>
      <c r="J62" s="238"/>
      <c r="K62" s="238"/>
      <c r="L62" s="238"/>
      <c r="M62" s="238"/>
    </row>
    <row r="63" spans="1:15">
      <c r="B63" s="238"/>
      <c r="C63" s="238"/>
      <c r="D63" s="238"/>
      <c r="E63" s="238"/>
      <c r="F63" s="238"/>
      <c r="G63" s="238"/>
      <c r="H63" s="238"/>
      <c r="I63" s="238"/>
      <c r="J63" s="238"/>
      <c r="K63" s="238"/>
      <c r="L63" s="238"/>
      <c r="M63" s="238"/>
    </row>
    <row r="64" spans="1:15">
      <c r="B64" s="238"/>
      <c r="C64" s="238"/>
      <c r="D64" s="238"/>
      <c r="E64" s="238"/>
      <c r="F64" s="238"/>
      <c r="G64" s="238"/>
      <c r="H64" s="238"/>
      <c r="I64" s="238"/>
      <c r="J64" s="238"/>
      <c r="K64" s="238"/>
      <c r="L64" s="238"/>
      <c r="M64" s="238"/>
      <c r="N64" s="238"/>
      <c r="O64" s="238"/>
    </row>
    <row r="65" spans="2:15">
      <c r="B65" s="238"/>
      <c r="C65" s="238"/>
      <c r="D65" s="238"/>
      <c r="E65" s="238"/>
      <c r="F65" s="238"/>
      <c r="G65" s="238"/>
      <c r="H65" s="238"/>
      <c r="I65" s="238"/>
      <c r="J65" s="238"/>
      <c r="K65" s="238"/>
      <c r="L65" s="238"/>
      <c r="M65" s="238"/>
      <c r="N65" s="238"/>
      <c r="O65" s="238"/>
    </row>
    <row r="66" spans="2:15">
      <c r="B66" s="238"/>
      <c r="C66" s="238"/>
      <c r="D66" s="238"/>
      <c r="E66" s="238"/>
      <c r="F66" s="238"/>
      <c r="G66" s="238"/>
      <c r="H66" s="238"/>
      <c r="I66" s="238"/>
      <c r="J66" s="238"/>
      <c r="K66" s="238"/>
      <c r="L66" s="238"/>
      <c r="M66" s="238"/>
      <c r="N66" s="238"/>
      <c r="O66" s="238"/>
    </row>
    <row r="67" spans="2:15">
      <c r="B67" s="238"/>
      <c r="C67" s="238"/>
      <c r="D67" s="238"/>
      <c r="E67" s="238"/>
      <c r="F67" s="238"/>
      <c r="G67" s="238"/>
      <c r="H67" s="238"/>
      <c r="I67" s="238"/>
      <c r="J67" s="238"/>
      <c r="K67" s="238"/>
      <c r="L67" s="238"/>
      <c r="M67" s="238"/>
      <c r="N67" s="238"/>
      <c r="O67" s="238"/>
    </row>
    <row r="68" spans="2:15">
      <c r="B68" s="238"/>
      <c r="C68" s="238"/>
      <c r="D68" s="238"/>
      <c r="E68" s="238"/>
      <c r="F68" s="238"/>
      <c r="G68" s="238"/>
      <c r="H68" s="238"/>
      <c r="I68" s="238"/>
      <c r="J68" s="238"/>
      <c r="K68" s="238"/>
      <c r="L68" s="238"/>
      <c r="M68" s="238"/>
      <c r="N68" s="238"/>
      <c r="O68" s="238"/>
    </row>
    <row r="69" spans="2:15">
      <c r="B69" s="238"/>
      <c r="C69" s="238"/>
      <c r="D69" s="238"/>
      <c r="E69" s="238"/>
      <c r="F69" s="238"/>
      <c r="G69" s="238"/>
      <c r="H69" s="238"/>
      <c r="I69" s="238"/>
      <c r="J69" s="238"/>
      <c r="K69" s="238"/>
      <c r="L69" s="238"/>
      <c r="M69" s="238"/>
      <c r="N69" s="238"/>
      <c r="O69" s="238"/>
    </row>
    <row r="70" spans="2:15">
      <c r="B70" s="238"/>
      <c r="C70" s="238"/>
      <c r="D70" s="238"/>
      <c r="E70" s="238"/>
      <c r="F70" s="238"/>
      <c r="G70" s="238"/>
      <c r="H70" s="238"/>
      <c r="I70" s="238"/>
      <c r="J70" s="238"/>
      <c r="K70" s="238"/>
      <c r="L70" s="238"/>
      <c r="M70" s="238"/>
      <c r="N70" s="238"/>
      <c r="O70" s="238"/>
    </row>
    <row r="71" spans="2:15">
      <c r="B71" s="238"/>
      <c r="C71" s="238"/>
      <c r="D71" s="238"/>
      <c r="E71" s="238"/>
      <c r="F71" s="238"/>
      <c r="G71" s="238"/>
      <c r="H71" s="238"/>
      <c r="I71" s="238"/>
      <c r="J71" s="238"/>
      <c r="K71" s="238"/>
      <c r="L71" s="238"/>
      <c r="M71" s="238"/>
      <c r="N71" s="238"/>
      <c r="O71" s="238"/>
    </row>
    <row r="72" spans="2:15">
      <c r="B72" s="238"/>
      <c r="C72" s="238"/>
      <c r="D72" s="238"/>
      <c r="E72" s="238"/>
      <c r="F72" s="238"/>
      <c r="G72" s="238"/>
      <c r="H72" s="238"/>
      <c r="I72" s="238"/>
      <c r="J72" s="238"/>
      <c r="K72" s="238"/>
      <c r="L72" s="238"/>
      <c r="M72" s="238"/>
      <c r="N72" s="238"/>
      <c r="O72" s="238"/>
    </row>
    <row r="73" spans="2:15">
      <c r="B73" s="238"/>
      <c r="C73" s="238"/>
      <c r="D73" s="238"/>
      <c r="E73" s="238"/>
      <c r="F73" s="238"/>
      <c r="G73" s="238"/>
      <c r="H73" s="238"/>
      <c r="I73" s="238"/>
      <c r="J73" s="238"/>
      <c r="K73" s="238"/>
      <c r="L73" s="238"/>
      <c r="M73" s="238"/>
      <c r="N73" s="238"/>
      <c r="O73" s="238"/>
    </row>
    <row r="74" spans="2:15">
      <c r="B74" s="238"/>
      <c r="C74" s="238"/>
      <c r="D74" s="238"/>
      <c r="E74" s="238"/>
      <c r="F74" s="238"/>
      <c r="G74" s="238"/>
      <c r="H74" s="238"/>
      <c r="I74" s="238"/>
      <c r="J74" s="238"/>
      <c r="K74" s="238"/>
      <c r="L74" s="238"/>
      <c r="M74" s="238"/>
      <c r="N74" s="238"/>
      <c r="O74" s="238"/>
    </row>
    <row r="75" spans="2:15">
      <c r="B75" s="238"/>
      <c r="C75" s="238"/>
      <c r="D75" s="238"/>
      <c r="E75" s="238"/>
      <c r="F75" s="238"/>
      <c r="G75" s="238"/>
      <c r="H75" s="238"/>
      <c r="I75" s="238"/>
      <c r="J75" s="238"/>
      <c r="K75" s="238"/>
      <c r="L75" s="238"/>
      <c r="M75" s="238"/>
      <c r="N75" s="238"/>
      <c r="O75" s="238"/>
    </row>
    <row r="79" spans="2:15">
      <c r="B79" s="238"/>
    </row>
    <row r="80" spans="2:15">
      <c r="B80" s="238"/>
    </row>
    <row r="82" spans="1:11">
      <c r="A82" s="239"/>
      <c r="G82" s="238"/>
      <c r="I82" s="238"/>
    </row>
    <row r="83" spans="1:11">
      <c r="A83" s="239"/>
      <c r="G83" s="238"/>
      <c r="I83" s="238"/>
    </row>
    <row r="84" spans="1:11">
      <c r="A84" s="239"/>
      <c r="G84" s="238"/>
      <c r="I84" s="238"/>
    </row>
    <row r="85" spans="1:11">
      <c r="A85" s="239"/>
      <c r="G85" s="238"/>
      <c r="I85" s="238"/>
      <c r="J85" s="238"/>
      <c r="K85" s="238"/>
    </row>
    <row r="86" spans="1:11">
      <c r="A86" s="239"/>
      <c r="G86" s="238"/>
      <c r="I86" s="238"/>
      <c r="J86" s="238"/>
      <c r="K86" s="238"/>
    </row>
    <row r="87" spans="1:11">
      <c r="A87" s="239"/>
      <c r="G87" s="238"/>
      <c r="I87" s="238"/>
    </row>
    <row r="88" spans="1:11">
      <c r="A88" s="239"/>
      <c r="G88" s="238"/>
      <c r="I88" s="238"/>
    </row>
    <row r="89" spans="1:11">
      <c r="A89" s="239"/>
      <c r="G89" s="238"/>
      <c r="I89" s="238"/>
    </row>
    <row r="90" spans="1:11">
      <c r="A90" s="239"/>
      <c r="G90" s="238"/>
      <c r="I90" s="238"/>
    </row>
    <row r="91" spans="1:11">
      <c r="A91" s="239"/>
      <c r="G91" s="238"/>
      <c r="I91" s="238"/>
    </row>
  </sheetData>
  <mergeCells count="1">
    <mergeCell ref="A2:D2"/>
  </mergeCells>
  <printOptions gridLines="1"/>
  <pageMargins left="0.7" right="0.7" top="0.75" bottom="0.75" header="0.3" footer="0.3"/>
  <pageSetup paperSize="9" scale="69" orientation="landscape" r:id="rId1"/>
  <headerFooter alignWithMargins="0"/>
  <rowBreaks count="1" manualBreakCount="1">
    <brk id="57"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L32"/>
  <sheetViews>
    <sheetView workbookViewId="0">
      <selection activeCell="C7" sqref="C7"/>
    </sheetView>
  </sheetViews>
  <sheetFormatPr defaultRowHeight="12.75"/>
  <cols>
    <col min="1" max="1" width="9.140625" style="54"/>
    <col min="2" max="2" width="20.85546875" bestFit="1" customWidth="1"/>
    <col min="3" max="9" width="12" bestFit="1" customWidth="1"/>
    <col min="10" max="10" width="11" customWidth="1"/>
    <col min="11" max="12" width="12" customWidth="1"/>
  </cols>
  <sheetData>
    <row r="4" spans="1:12">
      <c r="A4" s="27" t="s">
        <v>76</v>
      </c>
      <c r="B4" s="27" t="s">
        <v>0</v>
      </c>
      <c r="C4" s="27" t="s">
        <v>74</v>
      </c>
      <c r="D4" s="27" t="s">
        <v>73</v>
      </c>
      <c r="E4" s="27" t="s">
        <v>66</v>
      </c>
      <c r="F4" s="27" t="s">
        <v>65</v>
      </c>
      <c r="G4" s="27" t="s">
        <v>64</v>
      </c>
      <c r="H4" s="27" t="s">
        <v>63</v>
      </c>
      <c r="I4" s="27" t="s">
        <v>62</v>
      </c>
      <c r="J4" s="27" t="s">
        <v>61</v>
      </c>
      <c r="K4" s="27" t="s">
        <v>58</v>
      </c>
      <c r="L4" s="27" t="s">
        <v>725</v>
      </c>
    </row>
    <row r="5" spans="1:12">
      <c r="A5" s="27"/>
      <c r="B5" s="85"/>
      <c r="C5" s="85"/>
      <c r="D5" s="85"/>
      <c r="E5" s="85"/>
      <c r="F5" s="85"/>
      <c r="G5" s="85"/>
      <c r="H5" s="85"/>
      <c r="I5" s="85"/>
      <c r="J5" s="85"/>
      <c r="K5" s="85"/>
      <c r="L5" s="85"/>
    </row>
    <row r="6" spans="1:12">
      <c r="A6" s="80" t="s">
        <v>115</v>
      </c>
      <c r="B6" s="84" t="s">
        <v>172</v>
      </c>
      <c r="C6" s="266"/>
      <c r="D6" s="83"/>
      <c r="E6" s="83"/>
      <c r="F6" s="83"/>
      <c r="G6" s="83"/>
      <c r="H6" s="83"/>
      <c r="I6" s="83"/>
      <c r="J6" s="83"/>
      <c r="K6" s="69"/>
      <c r="L6" s="69"/>
    </row>
    <row r="7" spans="1:12">
      <c r="A7" s="56">
        <v>1</v>
      </c>
      <c r="B7" s="82" t="s">
        <v>161</v>
      </c>
      <c r="C7" s="75" t="e">
        <f>'Gross Receipts Summary'!D34</f>
        <v>#REF!</v>
      </c>
      <c r="D7" s="75" t="e">
        <f>'Gross Receipts Summary'!E34</f>
        <v>#REF!</v>
      </c>
      <c r="E7" s="75" t="e">
        <f>'Gross Receipts Summary'!F34</f>
        <v>#REF!</v>
      </c>
      <c r="F7" s="75" t="e">
        <f>'Gross Receipts Summary'!G34</f>
        <v>#REF!</v>
      </c>
      <c r="G7" s="75" t="e">
        <f>'Gross Receipts Summary'!H34</f>
        <v>#REF!</v>
      </c>
      <c r="H7" s="75" t="e">
        <f>'Gross Receipts Summary'!I34</f>
        <v>#REF!</v>
      </c>
      <c r="I7" s="75" t="e">
        <f>'Gross Receipts Summary'!J34</f>
        <v>#REF!</v>
      </c>
      <c r="J7" s="75" t="e">
        <f>'Gross Receipts Summary'!K34</f>
        <v>#REF!</v>
      </c>
      <c r="K7" s="75" t="e">
        <f>'Gross Receipts Summary'!L34</f>
        <v>#REF!</v>
      </c>
      <c r="L7" s="75" t="e">
        <f>'Gross Receipts Summary'!M34</f>
        <v>#REF!</v>
      </c>
    </row>
    <row r="8" spans="1:12">
      <c r="A8" s="56">
        <v>2</v>
      </c>
      <c r="B8" s="74" t="s">
        <v>733</v>
      </c>
      <c r="C8" s="22">
        <v>0</v>
      </c>
      <c r="D8" s="22">
        <f>5000000</f>
        <v>5000000</v>
      </c>
      <c r="E8" s="22">
        <v>0</v>
      </c>
      <c r="F8" s="22">
        <v>0</v>
      </c>
      <c r="G8" s="22">
        <v>0</v>
      </c>
      <c r="H8" s="22">
        <v>0</v>
      </c>
      <c r="I8" s="22">
        <v>0</v>
      </c>
      <c r="J8" s="22">
        <v>0</v>
      </c>
      <c r="K8" s="22">
        <v>0</v>
      </c>
      <c r="L8" s="22">
        <v>0</v>
      </c>
    </row>
    <row r="9" spans="1:12">
      <c r="A9" s="56">
        <v>3</v>
      </c>
      <c r="B9" s="68" t="s">
        <v>144</v>
      </c>
      <c r="C9" s="22" t="e">
        <f>+'Expenses Summary'!E23</f>
        <v>#REF!</v>
      </c>
      <c r="D9" s="22" t="e">
        <f>+'Expenses Summary'!F23</f>
        <v>#REF!</v>
      </c>
      <c r="E9" s="22" t="e">
        <f>+'Expenses Summary'!G23</f>
        <v>#REF!</v>
      </c>
      <c r="F9" s="22" t="e">
        <f>+'Expenses Summary'!H23</f>
        <v>#REF!</v>
      </c>
      <c r="G9" s="22" t="e">
        <f>+'Expenses Summary'!I23</f>
        <v>#REF!</v>
      </c>
      <c r="H9" s="22" t="e">
        <f>+'Expenses Summary'!J23</f>
        <v>#REF!</v>
      </c>
      <c r="I9" s="22" t="e">
        <f>+'Expenses Summary'!K23</f>
        <v>#REF!</v>
      </c>
      <c r="J9" s="22" t="e">
        <f>+'Expenses Summary'!L23</f>
        <v>#REF!</v>
      </c>
      <c r="K9" s="22" t="e">
        <f>+'Expenses Summary'!M23</f>
        <v>#REF!</v>
      </c>
      <c r="L9" s="22" t="e">
        <f>+'Expenses Summary'!N23</f>
        <v>#REF!</v>
      </c>
    </row>
    <row r="10" spans="1:12">
      <c r="A10" s="56">
        <v>4</v>
      </c>
      <c r="B10" s="68" t="s">
        <v>162</v>
      </c>
      <c r="C10" s="22">
        <f>+'Loan Summary'!E10</f>
        <v>6591676</v>
      </c>
      <c r="D10" s="22">
        <f>+'Loan Summary'!F10</f>
        <v>8848921</v>
      </c>
      <c r="E10" s="22">
        <f>+'Loan Summary'!G10</f>
        <v>12749921</v>
      </c>
      <c r="F10" s="22">
        <f>+'Loan Summary'!H10</f>
        <v>17313059</v>
      </c>
      <c r="G10" s="22">
        <f>+'Loan Summary'!I10</f>
        <v>22500000</v>
      </c>
      <c r="H10" s="22">
        <f>+'Loan Summary'!J10</f>
        <v>29000000</v>
      </c>
      <c r="I10" s="22">
        <f>+'Loan Summary'!K10</f>
        <v>39050000</v>
      </c>
      <c r="J10" s="22">
        <f>+'Loan Summary'!L10</f>
        <v>22500000</v>
      </c>
      <c r="K10" s="22">
        <f>+'Loan Summary'!M10</f>
        <v>30000000</v>
      </c>
      <c r="L10" s="22">
        <f>+'Loan Summary'!N10</f>
        <v>7500000</v>
      </c>
    </row>
    <row r="11" spans="1:12">
      <c r="A11" s="27"/>
      <c r="B11" s="71" t="s">
        <v>171</v>
      </c>
      <c r="C11" s="279" t="e">
        <f>+C7-C9-C10+C8</f>
        <v>#REF!</v>
      </c>
      <c r="D11" s="41" t="e">
        <f>+D7-D9-D10+D8</f>
        <v>#REF!</v>
      </c>
      <c r="E11" s="279" t="e">
        <f t="shared" ref="E11:L11" si="0">+E7-E9-E10+E8</f>
        <v>#REF!</v>
      </c>
      <c r="F11" s="279" t="e">
        <f t="shared" si="0"/>
        <v>#REF!</v>
      </c>
      <c r="G11" s="279" t="e">
        <f t="shared" si="0"/>
        <v>#REF!</v>
      </c>
      <c r="H11" s="279" t="e">
        <f t="shared" si="0"/>
        <v>#REF!</v>
      </c>
      <c r="I11" s="279" t="e">
        <f t="shared" si="0"/>
        <v>#REF!</v>
      </c>
      <c r="J11" s="279" t="e">
        <f t="shared" si="0"/>
        <v>#REF!</v>
      </c>
      <c r="K11" s="279" t="e">
        <f t="shared" si="0"/>
        <v>#REF!</v>
      </c>
      <c r="L11" s="279" t="e">
        <f t="shared" si="0"/>
        <v>#REF!</v>
      </c>
    </row>
    <row r="12" spans="1:12">
      <c r="A12" s="27"/>
      <c r="B12" s="70"/>
      <c r="C12" s="81"/>
      <c r="D12" s="81"/>
      <c r="E12" s="81"/>
      <c r="F12" s="81"/>
      <c r="G12" s="81"/>
      <c r="H12" s="81"/>
      <c r="I12" s="81"/>
      <c r="J12" s="81"/>
      <c r="K12" s="81"/>
      <c r="L12" s="81"/>
    </row>
    <row r="13" spans="1:12">
      <c r="A13" s="80" t="s">
        <v>112</v>
      </c>
      <c r="B13" s="79" t="s">
        <v>170</v>
      </c>
      <c r="C13" s="78"/>
      <c r="D13" s="78"/>
      <c r="E13" s="78"/>
      <c r="F13" s="78"/>
      <c r="G13" s="78"/>
      <c r="H13" s="78"/>
      <c r="I13" s="78"/>
      <c r="J13" s="78"/>
      <c r="K13" s="77"/>
      <c r="L13" s="77"/>
    </row>
    <row r="14" spans="1:12">
      <c r="A14" s="56">
        <v>1</v>
      </c>
      <c r="B14" s="82" t="s">
        <v>169</v>
      </c>
      <c r="C14" s="75" t="e">
        <f t="shared" ref="C14:L14" si="1">+C7*95%</f>
        <v>#REF!</v>
      </c>
      <c r="D14" s="75" t="e">
        <f t="shared" si="1"/>
        <v>#REF!</v>
      </c>
      <c r="E14" s="75" t="e">
        <f t="shared" si="1"/>
        <v>#REF!</v>
      </c>
      <c r="F14" s="75" t="e">
        <f t="shared" si="1"/>
        <v>#REF!</v>
      </c>
      <c r="G14" s="75" t="e">
        <f t="shared" si="1"/>
        <v>#REF!</v>
      </c>
      <c r="H14" s="75" t="e">
        <f t="shared" si="1"/>
        <v>#REF!</v>
      </c>
      <c r="I14" s="75" t="e">
        <f t="shared" si="1"/>
        <v>#REF!</v>
      </c>
      <c r="J14" s="75" t="e">
        <f t="shared" si="1"/>
        <v>#REF!</v>
      </c>
      <c r="K14" s="75" t="e">
        <f t="shared" si="1"/>
        <v>#REF!</v>
      </c>
      <c r="L14" s="75" t="e">
        <f t="shared" si="1"/>
        <v>#REF!</v>
      </c>
    </row>
    <row r="15" spans="1:12">
      <c r="A15" s="56">
        <v>2</v>
      </c>
      <c r="B15" s="74" t="s">
        <v>733</v>
      </c>
      <c r="C15" s="22">
        <v>0</v>
      </c>
      <c r="D15" s="22">
        <f>5000000</f>
        <v>5000000</v>
      </c>
      <c r="E15" s="22">
        <v>0</v>
      </c>
      <c r="F15" s="22">
        <v>0</v>
      </c>
      <c r="G15" s="22">
        <v>0</v>
      </c>
      <c r="H15" s="22">
        <v>0</v>
      </c>
      <c r="I15" s="22">
        <v>0</v>
      </c>
      <c r="J15" s="22">
        <v>0</v>
      </c>
      <c r="K15" s="22">
        <v>0</v>
      </c>
      <c r="L15" s="22">
        <v>0</v>
      </c>
    </row>
    <row r="16" spans="1:12">
      <c r="A16" s="56">
        <v>3</v>
      </c>
      <c r="B16" s="68" t="s">
        <v>168</v>
      </c>
      <c r="C16" s="22" t="e">
        <f t="shared" ref="C16:L16" si="2">+C9</f>
        <v>#REF!</v>
      </c>
      <c r="D16" s="22" t="e">
        <f t="shared" si="2"/>
        <v>#REF!</v>
      </c>
      <c r="E16" s="22" t="e">
        <f t="shared" si="2"/>
        <v>#REF!</v>
      </c>
      <c r="F16" s="22" t="e">
        <f t="shared" si="2"/>
        <v>#REF!</v>
      </c>
      <c r="G16" s="22" t="e">
        <f t="shared" si="2"/>
        <v>#REF!</v>
      </c>
      <c r="H16" s="22" t="e">
        <f t="shared" si="2"/>
        <v>#REF!</v>
      </c>
      <c r="I16" s="22" t="e">
        <f t="shared" si="2"/>
        <v>#REF!</v>
      </c>
      <c r="J16" s="22" t="e">
        <f t="shared" si="2"/>
        <v>#REF!</v>
      </c>
      <c r="K16" s="22" t="e">
        <f t="shared" si="2"/>
        <v>#REF!</v>
      </c>
      <c r="L16" s="22" t="e">
        <f t="shared" si="2"/>
        <v>#REF!</v>
      </c>
    </row>
    <row r="17" spans="1:12">
      <c r="A17" s="56">
        <v>4</v>
      </c>
      <c r="B17" s="68" t="s">
        <v>162</v>
      </c>
      <c r="C17" s="22">
        <f t="shared" ref="C17:L17" si="3">+C10</f>
        <v>6591676</v>
      </c>
      <c r="D17" s="22">
        <f t="shared" si="3"/>
        <v>8848921</v>
      </c>
      <c r="E17" s="22">
        <f t="shared" si="3"/>
        <v>12749921</v>
      </c>
      <c r="F17" s="22">
        <f t="shared" si="3"/>
        <v>17313059</v>
      </c>
      <c r="G17" s="22">
        <f t="shared" si="3"/>
        <v>22500000</v>
      </c>
      <c r="H17" s="22">
        <f t="shared" si="3"/>
        <v>29000000</v>
      </c>
      <c r="I17" s="22">
        <f t="shared" si="3"/>
        <v>39050000</v>
      </c>
      <c r="J17" s="22">
        <f t="shared" si="3"/>
        <v>22500000</v>
      </c>
      <c r="K17" s="22">
        <f t="shared" si="3"/>
        <v>30000000</v>
      </c>
      <c r="L17" s="22">
        <f t="shared" si="3"/>
        <v>7500000</v>
      </c>
    </row>
    <row r="18" spans="1:12">
      <c r="A18" s="27"/>
      <c r="B18" s="71" t="str">
        <f>+B11</f>
        <v>Net Inflow</v>
      </c>
      <c r="C18" s="279" t="e">
        <f>+C14-C16-C17+C15</f>
        <v>#REF!</v>
      </c>
      <c r="D18" s="41" t="e">
        <f>+D14-D16-D17+D15</f>
        <v>#REF!</v>
      </c>
      <c r="E18" s="279" t="e">
        <f t="shared" ref="E18:L18" si="4">+E14-E16-E17+E15</f>
        <v>#REF!</v>
      </c>
      <c r="F18" s="279" t="e">
        <f t="shared" si="4"/>
        <v>#REF!</v>
      </c>
      <c r="G18" s="279" t="e">
        <f t="shared" si="4"/>
        <v>#REF!</v>
      </c>
      <c r="H18" s="279" t="e">
        <f t="shared" si="4"/>
        <v>#REF!</v>
      </c>
      <c r="I18" s="279" t="e">
        <f t="shared" si="4"/>
        <v>#REF!</v>
      </c>
      <c r="J18" s="279" t="e">
        <f t="shared" si="4"/>
        <v>#REF!</v>
      </c>
      <c r="K18" s="279" t="e">
        <f t="shared" si="4"/>
        <v>#REF!</v>
      </c>
      <c r="L18" s="279" t="e">
        <f t="shared" si="4"/>
        <v>#REF!</v>
      </c>
    </row>
    <row r="19" spans="1:12">
      <c r="A19" s="27"/>
      <c r="B19" s="70"/>
      <c r="C19" s="81"/>
      <c r="D19" s="81"/>
      <c r="E19" s="81"/>
      <c r="F19" s="81"/>
      <c r="G19" s="81"/>
      <c r="H19" s="81"/>
      <c r="I19" s="81"/>
      <c r="J19" s="81"/>
      <c r="K19" s="81"/>
      <c r="L19" s="81"/>
    </row>
    <row r="20" spans="1:12">
      <c r="A20" s="80" t="s">
        <v>110</v>
      </c>
      <c r="B20" s="79" t="s">
        <v>167</v>
      </c>
      <c r="C20" s="78"/>
      <c r="D20" s="78"/>
      <c r="E20" s="78"/>
      <c r="F20" s="78"/>
      <c r="G20" s="78"/>
      <c r="H20" s="78"/>
      <c r="I20" s="78"/>
      <c r="J20" s="78"/>
      <c r="K20" s="77"/>
      <c r="L20" s="77"/>
    </row>
    <row r="21" spans="1:12">
      <c r="A21" s="56">
        <v>1</v>
      </c>
      <c r="B21" s="82" t="s">
        <v>166</v>
      </c>
      <c r="C21" s="75" t="e">
        <f t="shared" ref="C21:L21" si="5">+C7</f>
        <v>#REF!</v>
      </c>
      <c r="D21" s="75" t="e">
        <f t="shared" si="5"/>
        <v>#REF!</v>
      </c>
      <c r="E21" s="75" t="e">
        <f t="shared" si="5"/>
        <v>#REF!</v>
      </c>
      <c r="F21" s="75" t="e">
        <f t="shared" si="5"/>
        <v>#REF!</v>
      </c>
      <c r="G21" s="75" t="e">
        <f t="shared" si="5"/>
        <v>#REF!</v>
      </c>
      <c r="H21" s="75" t="e">
        <f t="shared" si="5"/>
        <v>#REF!</v>
      </c>
      <c r="I21" s="75" t="e">
        <f t="shared" si="5"/>
        <v>#REF!</v>
      </c>
      <c r="J21" s="75" t="e">
        <f t="shared" si="5"/>
        <v>#REF!</v>
      </c>
      <c r="K21" s="75" t="e">
        <f t="shared" si="5"/>
        <v>#REF!</v>
      </c>
      <c r="L21" s="75" t="e">
        <f t="shared" si="5"/>
        <v>#REF!</v>
      </c>
    </row>
    <row r="22" spans="1:12">
      <c r="A22" s="56">
        <v>2</v>
      </c>
      <c r="B22" s="74" t="s">
        <v>733</v>
      </c>
      <c r="C22" s="22">
        <v>0</v>
      </c>
      <c r="D22" s="22">
        <f>5000000</f>
        <v>5000000</v>
      </c>
      <c r="E22" s="22">
        <v>0</v>
      </c>
      <c r="F22" s="22">
        <v>0</v>
      </c>
      <c r="G22" s="22">
        <v>0</v>
      </c>
      <c r="H22" s="22">
        <v>0</v>
      </c>
      <c r="I22" s="22">
        <v>0</v>
      </c>
      <c r="J22" s="22">
        <v>0</v>
      </c>
      <c r="K22" s="22">
        <v>0</v>
      </c>
      <c r="L22" s="22">
        <v>0</v>
      </c>
    </row>
    <row r="23" spans="1:12">
      <c r="A23" s="56">
        <v>3</v>
      </c>
      <c r="B23" s="68" t="s">
        <v>163</v>
      </c>
      <c r="C23" s="22" t="e">
        <f t="shared" ref="C23:I23" si="6">+C16*105%</f>
        <v>#REF!</v>
      </c>
      <c r="D23" s="22" t="e">
        <f t="shared" si="6"/>
        <v>#REF!</v>
      </c>
      <c r="E23" s="22" t="e">
        <f t="shared" si="6"/>
        <v>#REF!</v>
      </c>
      <c r="F23" s="22" t="e">
        <f t="shared" si="6"/>
        <v>#REF!</v>
      </c>
      <c r="G23" s="22" t="e">
        <f t="shared" si="6"/>
        <v>#REF!</v>
      </c>
      <c r="H23" s="22" t="e">
        <f t="shared" si="6"/>
        <v>#REF!</v>
      </c>
      <c r="I23" s="22" t="e">
        <f t="shared" si="6"/>
        <v>#REF!</v>
      </c>
      <c r="J23" s="22" t="e">
        <f>+J16*105%</f>
        <v>#REF!</v>
      </c>
      <c r="K23" s="22" t="e">
        <f>+K16*105%</f>
        <v>#REF!</v>
      </c>
      <c r="L23" s="22" t="e">
        <f>+L16*105%</f>
        <v>#REF!</v>
      </c>
    </row>
    <row r="24" spans="1:12">
      <c r="A24" s="56">
        <v>4</v>
      </c>
      <c r="B24" s="68" t="s">
        <v>162</v>
      </c>
      <c r="C24" s="22">
        <f t="shared" ref="C24:I24" si="7">+C17</f>
        <v>6591676</v>
      </c>
      <c r="D24" s="22">
        <f t="shared" si="7"/>
        <v>8848921</v>
      </c>
      <c r="E24" s="22">
        <f t="shared" si="7"/>
        <v>12749921</v>
      </c>
      <c r="F24" s="22">
        <f t="shared" si="7"/>
        <v>17313059</v>
      </c>
      <c r="G24" s="22">
        <f t="shared" si="7"/>
        <v>22500000</v>
      </c>
      <c r="H24" s="22">
        <f t="shared" si="7"/>
        <v>29000000</v>
      </c>
      <c r="I24" s="22">
        <f t="shared" si="7"/>
        <v>39050000</v>
      </c>
      <c r="J24" s="22">
        <f>+J17</f>
        <v>22500000</v>
      </c>
      <c r="K24" s="22">
        <f>+K17</f>
        <v>30000000</v>
      </c>
      <c r="L24" s="22">
        <f>+L17</f>
        <v>7500000</v>
      </c>
    </row>
    <row r="25" spans="1:12">
      <c r="A25" s="27"/>
      <c r="B25" s="71" t="str">
        <f>+B18</f>
        <v>Net Inflow</v>
      </c>
      <c r="C25" s="279" t="e">
        <f>+C21-C23-C24+C22</f>
        <v>#REF!</v>
      </c>
      <c r="D25" s="41" t="e">
        <f>+D21-D23-D24+D22</f>
        <v>#REF!</v>
      </c>
      <c r="E25" s="279" t="e">
        <f t="shared" ref="E25:L25" si="8">+E21-E23-E24+E22</f>
        <v>#REF!</v>
      </c>
      <c r="F25" s="279" t="e">
        <f t="shared" si="8"/>
        <v>#REF!</v>
      </c>
      <c r="G25" s="279" t="e">
        <f t="shared" si="8"/>
        <v>#REF!</v>
      </c>
      <c r="H25" s="279" t="e">
        <f t="shared" si="8"/>
        <v>#REF!</v>
      </c>
      <c r="I25" s="279" t="e">
        <f t="shared" si="8"/>
        <v>#REF!</v>
      </c>
      <c r="J25" s="279" t="e">
        <f t="shared" si="8"/>
        <v>#REF!</v>
      </c>
      <c r="K25" s="279" t="e">
        <f t="shared" si="8"/>
        <v>#REF!</v>
      </c>
      <c r="L25" s="279" t="e">
        <f t="shared" si="8"/>
        <v>#REF!</v>
      </c>
    </row>
    <row r="26" spans="1:12">
      <c r="A26" s="27"/>
      <c r="B26" s="70"/>
      <c r="C26" s="81"/>
      <c r="D26" s="81"/>
      <c r="E26" s="81"/>
      <c r="F26" s="81"/>
      <c r="G26" s="81"/>
      <c r="H26" s="81"/>
      <c r="I26" s="81"/>
      <c r="J26" s="81"/>
      <c r="K26" s="81"/>
      <c r="L26" s="81"/>
    </row>
    <row r="27" spans="1:12">
      <c r="A27" s="80" t="s">
        <v>120</v>
      </c>
      <c r="B27" s="79" t="s">
        <v>165</v>
      </c>
      <c r="C27" s="78"/>
      <c r="D27" s="78"/>
      <c r="E27" s="78"/>
      <c r="F27" s="78"/>
      <c r="G27" s="78"/>
      <c r="H27" s="78"/>
      <c r="I27" s="78"/>
      <c r="J27" s="78"/>
      <c r="K27" s="77"/>
      <c r="L27" s="77"/>
    </row>
    <row r="28" spans="1:12">
      <c r="A28" s="56">
        <v>1</v>
      </c>
      <c r="B28" s="76" t="s">
        <v>164</v>
      </c>
      <c r="C28" s="75" t="e">
        <f t="shared" ref="C28:I28" si="9">+C14</f>
        <v>#REF!</v>
      </c>
      <c r="D28" s="75" t="e">
        <f t="shared" si="9"/>
        <v>#REF!</v>
      </c>
      <c r="E28" s="75" t="e">
        <f t="shared" si="9"/>
        <v>#REF!</v>
      </c>
      <c r="F28" s="75" t="e">
        <f t="shared" si="9"/>
        <v>#REF!</v>
      </c>
      <c r="G28" s="75" t="e">
        <f t="shared" si="9"/>
        <v>#REF!</v>
      </c>
      <c r="H28" s="75" t="e">
        <f t="shared" si="9"/>
        <v>#REF!</v>
      </c>
      <c r="I28" s="75" t="e">
        <f t="shared" si="9"/>
        <v>#REF!</v>
      </c>
      <c r="J28" s="75" t="e">
        <f>+J14</f>
        <v>#REF!</v>
      </c>
      <c r="K28" s="75" t="e">
        <f>+K14</f>
        <v>#REF!</v>
      </c>
      <c r="L28" s="75" t="e">
        <f>+L14</f>
        <v>#REF!</v>
      </c>
    </row>
    <row r="29" spans="1:12">
      <c r="A29" s="56">
        <v>2</v>
      </c>
      <c r="B29" s="74" t="s">
        <v>733</v>
      </c>
      <c r="C29" s="22">
        <v>0</v>
      </c>
      <c r="D29" s="22">
        <f>5000000</f>
        <v>5000000</v>
      </c>
      <c r="E29" s="22">
        <v>0</v>
      </c>
      <c r="F29" s="22">
        <v>0</v>
      </c>
      <c r="G29" s="22">
        <v>0</v>
      </c>
      <c r="H29" s="22">
        <v>0</v>
      </c>
      <c r="I29" s="22">
        <v>0</v>
      </c>
      <c r="J29" s="22">
        <v>0</v>
      </c>
      <c r="K29" s="22">
        <v>0</v>
      </c>
      <c r="L29" s="22">
        <v>0</v>
      </c>
    </row>
    <row r="30" spans="1:12">
      <c r="A30" s="56">
        <v>3</v>
      </c>
      <c r="B30" s="68" t="s">
        <v>163</v>
      </c>
      <c r="C30" s="22" t="e">
        <f t="shared" ref="C30:I30" si="10">+C23</f>
        <v>#REF!</v>
      </c>
      <c r="D30" s="22" t="e">
        <f t="shared" si="10"/>
        <v>#REF!</v>
      </c>
      <c r="E30" s="22" t="e">
        <f t="shared" si="10"/>
        <v>#REF!</v>
      </c>
      <c r="F30" s="22" t="e">
        <f t="shared" si="10"/>
        <v>#REF!</v>
      </c>
      <c r="G30" s="22" t="e">
        <f t="shared" si="10"/>
        <v>#REF!</v>
      </c>
      <c r="H30" s="22" t="e">
        <f t="shared" si="10"/>
        <v>#REF!</v>
      </c>
      <c r="I30" s="22" t="e">
        <f t="shared" si="10"/>
        <v>#REF!</v>
      </c>
      <c r="J30" s="22" t="e">
        <f t="shared" ref="J30:L31" si="11">+J23</f>
        <v>#REF!</v>
      </c>
      <c r="K30" s="22" t="e">
        <f t="shared" si="11"/>
        <v>#REF!</v>
      </c>
      <c r="L30" s="22" t="e">
        <f t="shared" si="11"/>
        <v>#REF!</v>
      </c>
    </row>
    <row r="31" spans="1:12">
      <c r="A31" s="56">
        <v>4</v>
      </c>
      <c r="B31" s="68" t="s">
        <v>162</v>
      </c>
      <c r="C31" s="22">
        <f t="shared" ref="C31:I31" si="12">+C24</f>
        <v>6591676</v>
      </c>
      <c r="D31" s="22">
        <f t="shared" si="12"/>
        <v>8848921</v>
      </c>
      <c r="E31" s="22">
        <f t="shared" si="12"/>
        <v>12749921</v>
      </c>
      <c r="F31" s="22">
        <f t="shared" si="12"/>
        <v>17313059</v>
      </c>
      <c r="G31" s="22">
        <f t="shared" si="12"/>
        <v>22500000</v>
      </c>
      <c r="H31" s="22">
        <f t="shared" si="12"/>
        <v>29000000</v>
      </c>
      <c r="I31" s="22">
        <f t="shared" si="12"/>
        <v>39050000</v>
      </c>
      <c r="J31" s="22">
        <f t="shared" si="11"/>
        <v>22500000</v>
      </c>
      <c r="K31" s="22">
        <f t="shared" si="11"/>
        <v>30000000</v>
      </c>
      <c r="L31" s="22">
        <f t="shared" si="11"/>
        <v>7500000</v>
      </c>
    </row>
    <row r="32" spans="1:12">
      <c r="A32" s="27"/>
      <c r="B32" s="71" t="str">
        <f>+B25</f>
        <v>Net Inflow</v>
      </c>
      <c r="C32" s="279" t="e">
        <f>+C28-C30-C31+C29</f>
        <v>#REF!</v>
      </c>
      <c r="D32" s="41" t="e">
        <f>+D28-D30-D31+D29</f>
        <v>#REF!</v>
      </c>
      <c r="E32" s="279" t="e">
        <f t="shared" ref="E32:L32" si="13">+E28-E30-E31+E29</f>
        <v>#REF!</v>
      </c>
      <c r="F32" s="279" t="e">
        <f t="shared" si="13"/>
        <v>#REF!</v>
      </c>
      <c r="G32" s="279" t="e">
        <f t="shared" si="13"/>
        <v>#REF!</v>
      </c>
      <c r="H32" s="279" t="e">
        <f t="shared" si="13"/>
        <v>#REF!</v>
      </c>
      <c r="I32" s="279" t="e">
        <f t="shared" si="13"/>
        <v>#REF!</v>
      </c>
      <c r="J32" s="279" t="e">
        <f t="shared" si="13"/>
        <v>#REF!</v>
      </c>
      <c r="K32" s="279" t="e">
        <f t="shared" si="13"/>
        <v>#REF!</v>
      </c>
      <c r="L32" s="279" t="e">
        <f t="shared" si="13"/>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35"/>
  <sheetViews>
    <sheetView workbookViewId="0">
      <selection activeCell="A21" sqref="A21"/>
    </sheetView>
  </sheetViews>
  <sheetFormatPr defaultRowHeight="12.75"/>
  <cols>
    <col min="1" max="1" width="27" bestFit="1" customWidth="1"/>
    <col min="2" max="7" width="11.85546875" style="103" bestFit="1" customWidth="1"/>
    <col min="8" max="10" width="12.85546875" style="103" bestFit="1" customWidth="1"/>
    <col min="11" max="13" width="12.28515625" style="106" customWidth="1"/>
    <col min="14" max="14" width="6" style="106" customWidth="1"/>
  </cols>
  <sheetData>
    <row r="2" spans="1:13">
      <c r="A2" s="28" t="s">
        <v>173</v>
      </c>
      <c r="B2" s="102"/>
      <c r="C2" s="102"/>
    </row>
    <row r="3" spans="1:13">
      <c r="A3" s="27" t="s">
        <v>0</v>
      </c>
      <c r="B3" s="98" t="s">
        <v>174</v>
      </c>
      <c r="C3" s="98" t="s">
        <v>175</v>
      </c>
      <c r="D3" s="99" t="s">
        <v>74</v>
      </c>
      <c r="E3" s="99" t="s">
        <v>73</v>
      </c>
      <c r="F3" s="99" t="s">
        <v>66</v>
      </c>
      <c r="G3" s="99" t="s">
        <v>65</v>
      </c>
      <c r="H3" s="99" t="s">
        <v>64</v>
      </c>
      <c r="I3" s="98" t="s">
        <v>63</v>
      </c>
      <c r="J3" s="98" t="s">
        <v>62</v>
      </c>
      <c r="K3" s="107" t="s">
        <v>61</v>
      </c>
      <c r="L3" s="107" t="s">
        <v>58</v>
      </c>
      <c r="M3" s="107" t="s">
        <v>725</v>
      </c>
    </row>
    <row r="4" spans="1:13">
      <c r="A4" s="27"/>
      <c r="B4" s="99"/>
      <c r="C4" s="99"/>
      <c r="D4" s="99"/>
      <c r="E4" s="99"/>
      <c r="F4" s="99"/>
      <c r="G4" s="99"/>
      <c r="H4" s="99"/>
      <c r="I4" s="98"/>
      <c r="J4" s="98"/>
      <c r="K4" s="107"/>
      <c r="L4" s="107"/>
      <c r="M4" s="107"/>
    </row>
    <row r="5" spans="1:13">
      <c r="A5" s="25" t="s">
        <v>212</v>
      </c>
      <c r="B5" s="101">
        <v>538</v>
      </c>
      <c r="C5" s="101">
        <v>639</v>
      </c>
      <c r="D5" s="90" t="e">
        <f>#REF!</f>
        <v>#REF!</v>
      </c>
      <c r="E5" s="90" t="e">
        <f>#REF!</f>
        <v>#REF!</v>
      </c>
      <c r="F5" s="90" t="e">
        <f>#REF!</f>
        <v>#REF!</v>
      </c>
      <c r="G5" s="90" t="e">
        <f>#REF!</f>
        <v>#REF!</v>
      </c>
      <c r="H5" s="90" t="e">
        <f>#REF!</f>
        <v>#REF!</v>
      </c>
      <c r="I5" s="90" t="e">
        <f>#REF!</f>
        <v>#REF!</v>
      </c>
      <c r="J5" s="90" t="e">
        <f>#REF!</f>
        <v>#REF!</v>
      </c>
      <c r="K5" s="90" t="e">
        <f>#REF!</f>
        <v>#REF!</v>
      </c>
      <c r="L5" s="90" t="e">
        <f>#REF!</f>
        <v>#REF!</v>
      </c>
      <c r="M5" s="73" t="e">
        <f>#REF!</f>
        <v>#REF!</v>
      </c>
    </row>
    <row r="6" spans="1:13">
      <c r="A6" s="67" t="s">
        <v>160</v>
      </c>
      <c r="B6" s="104"/>
      <c r="C6" s="104"/>
      <c r="D6" s="73"/>
      <c r="E6" s="73"/>
      <c r="F6" s="73"/>
      <c r="G6" s="73"/>
      <c r="H6" s="73"/>
      <c r="I6" s="73"/>
      <c r="J6" s="73"/>
      <c r="K6" s="108"/>
      <c r="L6" s="108"/>
      <c r="M6" s="108"/>
    </row>
    <row r="7" spans="1:13">
      <c r="A7" s="24" t="s">
        <v>154</v>
      </c>
      <c r="B7" s="73">
        <f>2024000</f>
        <v>2024000</v>
      </c>
      <c r="C7" s="73">
        <f>2741700</f>
        <v>2741700</v>
      </c>
      <c r="D7" s="73" t="e">
        <f>#REF!</f>
        <v>#REF!</v>
      </c>
      <c r="E7" s="73" t="e">
        <f>#REF!</f>
        <v>#REF!</v>
      </c>
      <c r="F7" s="73" t="e">
        <f>#REF!</f>
        <v>#REF!</v>
      </c>
      <c r="G7" s="73" t="e">
        <f>#REF!</f>
        <v>#REF!</v>
      </c>
      <c r="H7" s="73" t="e">
        <f>#REF!</f>
        <v>#REF!</v>
      </c>
      <c r="I7" s="73" t="e">
        <f>#REF!</f>
        <v>#REF!</v>
      </c>
      <c r="J7" s="73" t="e">
        <f>#REF!</f>
        <v>#REF!</v>
      </c>
      <c r="K7" s="108" t="e">
        <f>#REF!</f>
        <v>#REF!</v>
      </c>
      <c r="L7" s="108" t="e">
        <f>#REF!</f>
        <v>#REF!</v>
      </c>
      <c r="M7" s="108" t="e">
        <f>#REF!</f>
        <v>#REF!</v>
      </c>
    </row>
    <row r="8" spans="1:13">
      <c r="A8" s="24" t="s">
        <v>153</v>
      </c>
      <c r="B8" s="73">
        <v>5183400</v>
      </c>
      <c r="C8" s="73">
        <f>6973850</f>
        <v>6973850</v>
      </c>
      <c r="D8" s="73" t="e">
        <f>#REF!</f>
        <v>#REF!</v>
      </c>
      <c r="E8" s="73" t="e">
        <f>#REF!</f>
        <v>#REF!</v>
      </c>
      <c r="F8" s="73" t="e">
        <f>#REF!</f>
        <v>#REF!</v>
      </c>
      <c r="G8" s="73" t="e">
        <f>#REF!</f>
        <v>#REF!</v>
      </c>
      <c r="H8" s="73" t="e">
        <f>#REF!</f>
        <v>#REF!</v>
      </c>
      <c r="I8" s="73" t="e">
        <f>#REF!</f>
        <v>#REF!</v>
      </c>
      <c r="J8" s="73" t="e">
        <f>#REF!</f>
        <v>#REF!</v>
      </c>
      <c r="K8" s="108" t="e">
        <f>#REF!</f>
        <v>#REF!</v>
      </c>
      <c r="L8" s="108" t="e">
        <f>#REF!</f>
        <v>#REF!</v>
      </c>
      <c r="M8" s="108" t="e">
        <f>#REF!</f>
        <v>#REF!</v>
      </c>
    </row>
    <row r="9" spans="1:13">
      <c r="A9" s="74" t="s">
        <v>158</v>
      </c>
      <c r="B9" s="105">
        <v>10790004</v>
      </c>
      <c r="C9" s="105">
        <v>14284960</v>
      </c>
      <c r="D9" s="73" t="e">
        <f>#REF!</f>
        <v>#REF!</v>
      </c>
      <c r="E9" s="73" t="e">
        <f>#REF!</f>
        <v>#REF!</v>
      </c>
      <c r="F9" s="73" t="e">
        <f>#REF!</f>
        <v>#REF!</v>
      </c>
      <c r="G9" s="73" t="e">
        <f>#REF!</f>
        <v>#REF!</v>
      </c>
      <c r="H9" s="73" t="e">
        <f>#REF!</f>
        <v>#REF!</v>
      </c>
      <c r="I9" s="73" t="e">
        <f>#REF!</f>
        <v>#REF!</v>
      </c>
      <c r="J9" s="73" t="e">
        <f>#REF!</f>
        <v>#REF!</v>
      </c>
      <c r="K9" s="108" t="e">
        <f>#REF!</f>
        <v>#REF!</v>
      </c>
      <c r="L9" s="108" t="e">
        <f>#REF!</f>
        <v>#REF!</v>
      </c>
      <c r="M9" s="108" t="e">
        <f>#REF!</f>
        <v>#REF!</v>
      </c>
    </row>
    <row r="10" spans="1:13">
      <c r="A10" s="74" t="s">
        <v>159</v>
      </c>
      <c r="B10" s="105">
        <v>6043756</v>
      </c>
      <c r="C10" s="105">
        <v>7298047</v>
      </c>
      <c r="D10" s="73" t="e">
        <f>#REF!</f>
        <v>#REF!</v>
      </c>
      <c r="E10" s="73" t="e">
        <f>#REF!</f>
        <v>#REF!</v>
      </c>
      <c r="F10" s="73" t="e">
        <f>#REF!</f>
        <v>#REF!</v>
      </c>
      <c r="G10" s="73" t="e">
        <f>#REF!</f>
        <v>#REF!</v>
      </c>
      <c r="H10" s="73" t="e">
        <f>#REF!</f>
        <v>#REF!</v>
      </c>
      <c r="I10" s="73" t="e">
        <f>#REF!</f>
        <v>#REF!</v>
      </c>
      <c r="J10" s="73" t="e">
        <f>#REF!</f>
        <v>#REF!</v>
      </c>
      <c r="K10" s="108" t="e">
        <f>#REF!</f>
        <v>#REF!</v>
      </c>
      <c r="L10" s="108" t="e">
        <f>#REF!</f>
        <v>#REF!</v>
      </c>
      <c r="M10" s="108" t="e">
        <f>#REF!</f>
        <v>#REF!</v>
      </c>
    </row>
    <row r="11" spans="1:13">
      <c r="A11" s="25" t="s">
        <v>16</v>
      </c>
      <c r="B11" s="72">
        <f t="shared" ref="B11:L11" si="0">SUM(B7:B10)</f>
        <v>24041160</v>
      </c>
      <c r="C11" s="72">
        <f t="shared" si="0"/>
        <v>31298557</v>
      </c>
      <c r="D11" s="72" t="e">
        <f t="shared" si="0"/>
        <v>#REF!</v>
      </c>
      <c r="E11" s="72" t="e">
        <f t="shared" si="0"/>
        <v>#REF!</v>
      </c>
      <c r="F11" s="72" t="e">
        <f t="shared" si="0"/>
        <v>#REF!</v>
      </c>
      <c r="G11" s="72" t="e">
        <f t="shared" si="0"/>
        <v>#REF!</v>
      </c>
      <c r="H11" s="72" t="e">
        <f t="shared" si="0"/>
        <v>#REF!</v>
      </c>
      <c r="I11" s="72" t="e">
        <f t="shared" si="0"/>
        <v>#REF!</v>
      </c>
      <c r="J11" s="72" t="e">
        <f t="shared" si="0"/>
        <v>#REF!</v>
      </c>
      <c r="K11" s="109" t="e">
        <f t="shared" si="0"/>
        <v>#REF!</v>
      </c>
      <c r="L11" s="109" t="e">
        <f t="shared" si="0"/>
        <v>#REF!</v>
      </c>
      <c r="M11" s="109" t="e">
        <f>SUM(M7:M10)</f>
        <v>#REF!</v>
      </c>
    </row>
    <row r="12" spans="1:13">
      <c r="A12" s="74"/>
      <c r="B12" s="73"/>
      <c r="C12" s="73">
        <f t="shared" ref="C12:M12" si="1">(C11-B11)/B11%</f>
        <v>30.187382805155824</v>
      </c>
      <c r="D12" s="73" t="e">
        <f t="shared" si="1"/>
        <v>#REF!</v>
      </c>
      <c r="E12" s="73" t="e">
        <f t="shared" si="1"/>
        <v>#REF!</v>
      </c>
      <c r="F12" s="73" t="e">
        <f t="shared" si="1"/>
        <v>#REF!</v>
      </c>
      <c r="G12" s="73" t="e">
        <f t="shared" si="1"/>
        <v>#REF!</v>
      </c>
      <c r="H12" s="73" t="e">
        <f t="shared" si="1"/>
        <v>#REF!</v>
      </c>
      <c r="I12" s="73" t="e">
        <f t="shared" si="1"/>
        <v>#REF!</v>
      </c>
      <c r="J12" s="73" t="e">
        <f t="shared" si="1"/>
        <v>#REF!</v>
      </c>
      <c r="K12" s="108" t="e">
        <f t="shared" si="1"/>
        <v>#REF!</v>
      </c>
      <c r="L12" s="108" t="e">
        <f t="shared" si="1"/>
        <v>#REF!</v>
      </c>
      <c r="M12" s="108" t="e">
        <f t="shared" si="1"/>
        <v>#REF!</v>
      </c>
    </row>
    <row r="13" spans="1:13">
      <c r="A13" s="24"/>
      <c r="B13" s="73"/>
      <c r="C13" s="73"/>
      <c r="D13" s="73"/>
      <c r="E13" s="73"/>
      <c r="F13" s="73"/>
      <c r="G13" s="73"/>
      <c r="H13" s="73"/>
      <c r="I13" s="73"/>
      <c r="J13" s="73"/>
      <c r="K13" s="73"/>
      <c r="L13" s="73"/>
      <c r="M13" s="73"/>
    </row>
    <row r="14" spans="1:13">
      <c r="A14" s="67" t="s">
        <v>203</v>
      </c>
      <c r="B14" s="73"/>
      <c r="C14" s="73"/>
      <c r="D14" s="73"/>
      <c r="E14" s="73"/>
      <c r="F14" s="73"/>
      <c r="G14" s="73"/>
      <c r="H14" s="73"/>
      <c r="I14" s="73"/>
      <c r="J14" s="73"/>
      <c r="K14" s="73"/>
      <c r="L14" s="73"/>
      <c r="M14" s="73"/>
    </row>
    <row r="15" spans="1:13">
      <c r="A15" s="24" t="s">
        <v>192</v>
      </c>
      <c r="B15" s="73">
        <v>131400</v>
      </c>
      <c r="C15" s="73">
        <v>137500</v>
      </c>
      <c r="D15" s="73">
        <f>300*500</f>
        <v>150000</v>
      </c>
      <c r="E15" s="73">
        <f>ROUND((300*500*1.15),0)</f>
        <v>172500</v>
      </c>
      <c r="F15" s="73">
        <f t="shared" ref="F15:M15" si="2">ROUND((E15*1.15),0)</f>
        <v>198375</v>
      </c>
      <c r="G15" s="73">
        <f t="shared" si="2"/>
        <v>228131</v>
      </c>
      <c r="H15" s="73">
        <f t="shared" si="2"/>
        <v>262351</v>
      </c>
      <c r="I15" s="73">
        <f t="shared" si="2"/>
        <v>301704</v>
      </c>
      <c r="J15" s="73">
        <f t="shared" si="2"/>
        <v>346960</v>
      </c>
      <c r="K15" s="73">
        <f t="shared" si="2"/>
        <v>399004</v>
      </c>
      <c r="L15" s="73">
        <f t="shared" si="2"/>
        <v>458855</v>
      </c>
      <c r="M15" s="73">
        <f t="shared" si="2"/>
        <v>527683</v>
      </c>
    </row>
    <row r="16" spans="1:13">
      <c r="A16" s="24" t="s">
        <v>193</v>
      </c>
      <c r="B16" s="73">
        <v>2000000</v>
      </c>
      <c r="C16" s="73">
        <v>0</v>
      </c>
      <c r="D16" s="73">
        <v>500000</v>
      </c>
      <c r="E16" s="73">
        <f t="shared" ref="E16:M16" si="3">D16</f>
        <v>500000</v>
      </c>
      <c r="F16" s="73">
        <f t="shared" si="3"/>
        <v>500000</v>
      </c>
      <c r="G16" s="73">
        <f t="shared" si="3"/>
        <v>500000</v>
      </c>
      <c r="H16" s="73">
        <f t="shared" si="3"/>
        <v>500000</v>
      </c>
      <c r="I16" s="73">
        <f t="shared" si="3"/>
        <v>500000</v>
      </c>
      <c r="J16" s="73">
        <f t="shared" si="3"/>
        <v>500000</v>
      </c>
      <c r="K16" s="73">
        <f t="shared" si="3"/>
        <v>500000</v>
      </c>
      <c r="L16" s="73">
        <f t="shared" si="3"/>
        <v>500000</v>
      </c>
      <c r="M16" s="73">
        <f t="shared" si="3"/>
        <v>500000</v>
      </c>
    </row>
    <row r="17" spans="1:13">
      <c r="A17" s="24" t="s">
        <v>194</v>
      </c>
      <c r="B17" s="73">
        <v>10050</v>
      </c>
      <c r="C17" s="73">
        <v>14300</v>
      </c>
      <c r="D17" s="73">
        <f>100*200</f>
        <v>20000</v>
      </c>
      <c r="E17" s="73">
        <f t="shared" ref="E17:M17" si="4">D17+2000</f>
        <v>22000</v>
      </c>
      <c r="F17" s="73">
        <f t="shared" si="4"/>
        <v>24000</v>
      </c>
      <c r="G17" s="73">
        <f t="shared" si="4"/>
        <v>26000</v>
      </c>
      <c r="H17" s="73">
        <f t="shared" si="4"/>
        <v>28000</v>
      </c>
      <c r="I17" s="73">
        <f t="shared" si="4"/>
        <v>30000</v>
      </c>
      <c r="J17" s="73">
        <f t="shared" si="4"/>
        <v>32000</v>
      </c>
      <c r="K17" s="73">
        <f t="shared" si="4"/>
        <v>34000</v>
      </c>
      <c r="L17" s="73">
        <f t="shared" si="4"/>
        <v>36000</v>
      </c>
      <c r="M17" s="73">
        <f t="shared" si="4"/>
        <v>38000</v>
      </c>
    </row>
    <row r="18" spans="1:13">
      <c r="A18" s="24" t="s">
        <v>195</v>
      </c>
      <c r="B18" s="73">
        <v>81800</v>
      </c>
      <c r="C18" s="73">
        <v>85800</v>
      </c>
      <c r="D18" s="73">
        <f>300*400</f>
        <v>120000</v>
      </c>
      <c r="E18" s="73">
        <f>ROUND((300*400*1.15),0)</f>
        <v>138000</v>
      </c>
      <c r="F18" s="73">
        <f>ROUND((E18*1.15),0)</f>
        <v>158700</v>
      </c>
      <c r="G18" s="73">
        <f>ROUND((F18*1.15),0)-5</f>
        <v>182500</v>
      </c>
      <c r="H18" s="73">
        <f>ROUND((G18*1.15),0)+25</f>
        <v>209900</v>
      </c>
      <c r="I18" s="73">
        <f>ROUND((H18*1.15),0)-85</f>
        <v>241300</v>
      </c>
      <c r="J18" s="73">
        <f>ROUND((I18*1.15),0)+5</f>
        <v>277500</v>
      </c>
      <c r="K18" s="73">
        <f>ROUND((J18*1.15),0)+5</f>
        <v>319130</v>
      </c>
      <c r="L18" s="73">
        <f>ROUND((K18*1.15),0)+5</f>
        <v>367005</v>
      </c>
      <c r="M18" s="73">
        <f>ROUND((L18*1.15),0)+5</f>
        <v>422061</v>
      </c>
    </row>
    <row r="19" spans="1:13">
      <c r="A19" s="24" t="s">
        <v>196</v>
      </c>
      <c r="B19" s="73">
        <v>41430</v>
      </c>
      <c r="C19" s="73">
        <v>2883</v>
      </c>
      <c r="D19" s="73">
        <v>5000</v>
      </c>
      <c r="E19" s="73">
        <f t="shared" ref="E19:M19" si="5">D19+1000</f>
        <v>6000</v>
      </c>
      <c r="F19" s="73">
        <f t="shared" si="5"/>
        <v>7000</v>
      </c>
      <c r="G19" s="73">
        <f t="shared" si="5"/>
        <v>8000</v>
      </c>
      <c r="H19" s="73">
        <f t="shared" si="5"/>
        <v>9000</v>
      </c>
      <c r="I19" s="73">
        <f t="shared" si="5"/>
        <v>10000</v>
      </c>
      <c r="J19" s="73">
        <f t="shared" si="5"/>
        <v>11000</v>
      </c>
      <c r="K19" s="73">
        <f t="shared" si="5"/>
        <v>12000</v>
      </c>
      <c r="L19" s="73">
        <f t="shared" si="5"/>
        <v>13000</v>
      </c>
      <c r="M19" s="73">
        <f t="shared" si="5"/>
        <v>14000</v>
      </c>
    </row>
    <row r="20" spans="1:13">
      <c r="A20" s="24" t="s">
        <v>202</v>
      </c>
      <c r="B20" s="73">
        <v>3820000</v>
      </c>
      <c r="C20" s="73">
        <v>225000</v>
      </c>
      <c r="D20" s="73">
        <v>2500000</v>
      </c>
      <c r="E20" s="73">
        <v>1500000</v>
      </c>
      <c r="F20" s="73">
        <v>1500000</v>
      </c>
      <c r="G20" s="73">
        <v>1500000</v>
      </c>
      <c r="H20" s="73">
        <v>1500000</v>
      </c>
      <c r="I20" s="73">
        <v>1500000</v>
      </c>
      <c r="J20" s="73">
        <v>1500000</v>
      </c>
      <c r="K20" s="73">
        <v>1500000</v>
      </c>
      <c r="L20" s="73">
        <v>1500000</v>
      </c>
      <c r="M20" s="73">
        <v>1500000</v>
      </c>
    </row>
    <row r="21" spans="1:13">
      <c r="A21" s="24" t="s">
        <v>197</v>
      </c>
      <c r="B21" s="73">
        <v>59993</v>
      </c>
      <c r="C21" s="73">
        <v>95570</v>
      </c>
      <c r="D21" s="73">
        <v>125000</v>
      </c>
      <c r="E21" s="73">
        <f t="shared" ref="E21:M21" si="6">D21+10000</f>
        <v>135000</v>
      </c>
      <c r="F21" s="73">
        <f t="shared" si="6"/>
        <v>145000</v>
      </c>
      <c r="G21" s="73">
        <f t="shared" si="6"/>
        <v>155000</v>
      </c>
      <c r="H21" s="73">
        <f t="shared" si="6"/>
        <v>165000</v>
      </c>
      <c r="I21" s="73">
        <f t="shared" si="6"/>
        <v>175000</v>
      </c>
      <c r="J21" s="73">
        <f t="shared" si="6"/>
        <v>185000</v>
      </c>
      <c r="K21" s="73">
        <f t="shared" si="6"/>
        <v>195000</v>
      </c>
      <c r="L21" s="73">
        <f t="shared" si="6"/>
        <v>205000</v>
      </c>
      <c r="M21" s="73">
        <f t="shared" si="6"/>
        <v>215000</v>
      </c>
    </row>
    <row r="22" spans="1:13">
      <c r="A22" s="24" t="s">
        <v>198</v>
      </c>
      <c r="B22" s="73">
        <v>117992</v>
      </c>
      <c r="C22" s="73">
        <v>82257</v>
      </c>
      <c r="D22" s="73">
        <v>100000</v>
      </c>
      <c r="E22" s="73">
        <f t="shared" ref="E22:M22" si="7">D22+25000</f>
        <v>125000</v>
      </c>
      <c r="F22" s="73">
        <f t="shared" si="7"/>
        <v>150000</v>
      </c>
      <c r="G22" s="73">
        <f t="shared" si="7"/>
        <v>175000</v>
      </c>
      <c r="H22" s="73">
        <f t="shared" si="7"/>
        <v>200000</v>
      </c>
      <c r="I22" s="73">
        <f t="shared" si="7"/>
        <v>225000</v>
      </c>
      <c r="J22" s="73">
        <f t="shared" si="7"/>
        <v>250000</v>
      </c>
      <c r="K22" s="73">
        <f t="shared" si="7"/>
        <v>275000</v>
      </c>
      <c r="L22" s="73">
        <f t="shared" si="7"/>
        <v>300000</v>
      </c>
      <c r="M22" s="73">
        <f t="shared" si="7"/>
        <v>325000</v>
      </c>
    </row>
    <row r="23" spans="1:13">
      <c r="A23" s="24" t="s">
        <v>199</v>
      </c>
      <c r="B23" s="73">
        <v>26865</v>
      </c>
      <c r="C23" s="73">
        <v>28925</v>
      </c>
      <c r="D23" s="73">
        <v>35000</v>
      </c>
      <c r="E23" s="73">
        <f>'BANK CMA'!E234*8%*100000</f>
        <v>36000</v>
      </c>
      <c r="F23" s="73">
        <f>'BANK CMA'!F234*8%*100000</f>
        <v>44000</v>
      </c>
      <c r="G23" s="73">
        <f>'BANK CMA'!G234*8%*100000</f>
        <v>164000</v>
      </c>
      <c r="H23" s="73">
        <f>'BANK CMA'!H234*8%*100000</f>
        <v>244000</v>
      </c>
      <c r="I23" s="73">
        <f>'BANK CMA'!I234*8%*100000</f>
        <v>2244000</v>
      </c>
      <c r="J23" s="73">
        <f>'BANK CMA'!J234*8%*100000</f>
        <v>4400000</v>
      </c>
      <c r="K23" s="73">
        <f>'BANK CMA'!K234*8%*100000</f>
        <v>6000000</v>
      </c>
      <c r="L23" s="73">
        <f>'BANK CMA'!L234*8%*100000</f>
        <v>9200000</v>
      </c>
      <c r="M23" s="73">
        <f>'BANK CMA'!M234*8%*100000</f>
        <v>14000000</v>
      </c>
    </row>
    <row r="24" spans="1:13">
      <c r="A24" s="24" t="s">
        <v>200</v>
      </c>
      <c r="B24" s="73">
        <v>47068</v>
      </c>
      <c r="C24" s="73">
        <v>0</v>
      </c>
      <c r="D24" s="73">
        <v>30000</v>
      </c>
      <c r="E24" s="73">
        <f t="shared" ref="E24:M24" si="8">D24+5000</f>
        <v>35000</v>
      </c>
      <c r="F24" s="73">
        <f t="shared" si="8"/>
        <v>40000</v>
      </c>
      <c r="G24" s="73">
        <f t="shared" si="8"/>
        <v>45000</v>
      </c>
      <c r="H24" s="73">
        <f t="shared" si="8"/>
        <v>50000</v>
      </c>
      <c r="I24" s="73">
        <f t="shared" si="8"/>
        <v>55000</v>
      </c>
      <c r="J24" s="73">
        <f t="shared" si="8"/>
        <v>60000</v>
      </c>
      <c r="K24" s="73">
        <f t="shared" si="8"/>
        <v>65000</v>
      </c>
      <c r="L24" s="73">
        <f t="shared" si="8"/>
        <v>70000</v>
      </c>
      <c r="M24" s="73">
        <f t="shared" si="8"/>
        <v>75000</v>
      </c>
    </row>
    <row r="25" spans="1:13">
      <c r="A25" s="24" t="s">
        <v>201</v>
      </c>
      <c r="B25" s="73">
        <v>11700</v>
      </c>
      <c r="C25" s="73">
        <v>155939</v>
      </c>
      <c r="D25" s="73">
        <v>200000</v>
      </c>
      <c r="E25" s="73">
        <f t="shared" ref="E25:M25" si="9">D25+15000</f>
        <v>215000</v>
      </c>
      <c r="F25" s="73">
        <f t="shared" si="9"/>
        <v>230000</v>
      </c>
      <c r="G25" s="73">
        <f t="shared" si="9"/>
        <v>245000</v>
      </c>
      <c r="H25" s="73">
        <f t="shared" si="9"/>
        <v>260000</v>
      </c>
      <c r="I25" s="73">
        <f t="shared" si="9"/>
        <v>275000</v>
      </c>
      <c r="J25" s="73">
        <f t="shared" si="9"/>
        <v>290000</v>
      </c>
      <c r="K25" s="73">
        <f t="shared" si="9"/>
        <v>305000</v>
      </c>
      <c r="L25" s="73">
        <f t="shared" si="9"/>
        <v>320000</v>
      </c>
      <c r="M25" s="73">
        <f t="shared" si="9"/>
        <v>335000</v>
      </c>
    </row>
    <row r="26" spans="1:13">
      <c r="A26" s="24" t="s">
        <v>206</v>
      </c>
      <c r="B26" s="73">
        <v>0</v>
      </c>
      <c r="C26" s="73">
        <v>71590</v>
      </c>
      <c r="D26" s="73" t="e">
        <f>350*D5*25%</f>
        <v>#REF!</v>
      </c>
      <c r="E26" s="73" t="e">
        <f t="shared" ref="E26:M26" si="10">350*E5*50%*1.1</f>
        <v>#REF!</v>
      </c>
      <c r="F26" s="73" t="e">
        <f t="shared" si="10"/>
        <v>#REF!</v>
      </c>
      <c r="G26" s="73" t="e">
        <f t="shared" si="10"/>
        <v>#REF!</v>
      </c>
      <c r="H26" s="73" t="e">
        <f t="shared" si="10"/>
        <v>#REF!</v>
      </c>
      <c r="I26" s="73" t="e">
        <f t="shared" si="10"/>
        <v>#REF!</v>
      </c>
      <c r="J26" s="73" t="e">
        <f t="shared" si="10"/>
        <v>#REF!</v>
      </c>
      <c r="K26" s="73" t="e">
        <f t="shared" si="10"/>
        <v>#REF!</v>
      </c>
      <c r="L26" s="73" t="e">
        <f t="shared" si="10"/>
        <v>#REF!</v>
      </c>
      <c r="M26" s="73" t="e">
        <f t="shared" si="10"/>
        <v>#REF!</v>
      </c>
    </row>
    <row r="27" spans="1:13">
      <c r="A27" s="24" t="s">
        <v>207</v>
      </c>
      <c r="B27" s="73">
        <v>0</v>
      </c>
      <c r="C27" s="73">
        <v>102300</v>
      </c>
      <c r="D27" s="73" t="e">
        <f>150*D5</f>
        <v>#REF!</v>
      </c>
      <c r="E27" s="73" t="e">
        <f t="shared" ref="E27:M27" si="11">150*E5*1.1</f>
        <v>#REF!</v>
      </c>
      <c r="F27" s="73" t="e">
        <f t="shared" si="11"/>
        <v>#REF!</v>
      </c>
      <c r="G27" s="73" t="e">
        <f t="shared" si="11"/>
        <v>#REF!</v>
      </c>
      <c r="H27" s="73" t="e">
        <f t="shared" si="11"/>
        <v>#REF!</v>
      </c>
      <c r="I27" s="73" t="e">
        <f t="shared" si="11"/>
        <v>#REF!</v>
      </c>
      <c r="J27" s="73" t="e">
        <f t="shared" si="11"/>
        <v>#REF!</v>
      </c>
      <c r="K27" s="73" t="e">
        <f t="shared" si="11"/>
        <v>#REF!</v>
      </c>
      <c r="L27" s="73" t="e">
        <f t="shared" si="11"/>
        <v>#REF!</v>
      </c>
      <c r="M27" s="73" t="e">
        <f t="shared" si="11"/>
        <v>#REF!</v>
      </c>
    </row>
    <row r="28" spans="1:13">
      <c r="A28" s="24" t="s">
        <v>208</v>
      </c>
      <c r="B28" s="73">
        <v>0</v>
      </c>
      <c r="C28" s="73">
        <v>53130</v>
      </c>
      <c r="D28" s="73" t="e">
        <f>150*D5*95%</f>
        <v>#REF!</v>
      </c>
      <c r="E28" s="73" t="e">
        <f t="shared" ref="E28:M28" si="12">150*E5*95%*1.1</f>
        <v>#REF!</v>
      </c>
      <c r="F28" s="73" t="e">
        <f t="shared" si="12"/>
        <v>#REF!</v>
      </c>
      <c r="G28" s="73" t="e">
        <f t="shared" si="12"/>
        <v>#REF!</v>
      </c>
      <c r="H28" s="73" t="e">
        <f t="shared" si="12"/>
        <v>#REF!</v>
      </c>
      <c r="I28" s="73" t="e">
        <f t="shared" si="12"/>
        <v>#REF!</v>
      </c>
      <c r="J28" s="73" t="e">
        <f t="shared" si="12"/>
        <v>#REF!</v>
      </c>
      <c r="K28" s="73" t="e">
        <f t="shared" si="12"/>
        <v>#REF!</v>
      </c>
      <c r="L28" s="73" t="e">
        <f t="shared" si="12"/>
        <v>#REF!</v>
      </c>
      <c r="M28" s="73" t="e">
        <f t="shared" si="12"/>
        <v>#REF!</v>
      </c>
    </row>
    <row r="29" spans="1:13">
      <c r="A29" s="24" t="s">
        <v>209</v>
      </c>
      <c r="B29" s="73">
        <v>0</v>
      </c>
      <c r="C29" s="73">
        <v>30840</v>
      </c>
      <c r="D29" s="73" t="e">
        <f>300*D5*60%</f>
        <v>#REF!</v>
      </c>
      <c r="E29" s="73" t="e">
        <f t="shared" ref="E29:M29" si="13">300*E5*60%*1.15</f>
        <v>#REF!</v>
      </c>
      <c r="F29" s="73" t="e">
        <f t="shared" si="13"/>
        <v>#REF!</v>
      </c>
      <c r="G29" s="73" t="e">
        <f t="shared" si="13"/>
        <v>#REF!</v>
      </c>
      <c r="H29" s="73" t="e">
        <f t="shared" si="13"/>
        <v>#REF!</v>
      </c>
      <c r="I29" s="73" t="e">
        <f t="shared" si="13"/>
        <v>#REF!</v>
      </c>
      <c r="J29" s="73" t="e">
        <f t="shared" si="13"/>
        <v>#REF!</v>
      </c>
      <c r="K29" s="73" t="e">
        <f t="shared" si="13"/>
        <v>#REF!</v>
      </c>
      <c r="L29" s="73" t="e">
        <f t="shared" si="13"/>
        <v>#REF!</v>
      </c>
      <c r="M29" s="73" t="e">
        <f t="shared" si="13"/>
        <v>#REF!</v>
      </c>
    </row>
    <row r="30" spans="1:13">
      <c r="A30" s="24" t="s">
        <v>210</v>
      </c>
      <c r="B30" s="73">
        <v>0</v>
      </c>
      <c r="C30" s="73">
        <v>99430</v>
      </c>
      <c r="D30" s="73">
        <v>0</v>
      </c>
      <c r="E30" s="73">
        <v>0</v>
      </c>
      <c r="F30" s="73">
        <v>0</v>
      </c>
      <c r="G30" s="73">
        <v>0</v>
      </c>
      <c r="H30" s="73"/>
      <c r="I30" s="73">
        <v>0</v>
      </c>
      <c r="J30" s="73">
        <v>0</v>
      </c>
      <c r="K30" s="73">
        <v>0</v>
      </c>
      <c r="L30" s="73">
        <v>0</v>
      </c>
      <c r="M30" s="73">
        <v>0</v>
      </c>
    </row>
    <row r="31" spans="1:13">
      <c r="A31" s="24" t="s">
        <v>211</v>
      </c>
      <c r="B31" s="73">
        <v>0</v>
      </c>
      <c r="C31" s="73">
        <v>1067</v>
      </c>
      <c r="D31" s="73">
        <v>0</v>
      </c>
      <c r="E31" s="73">
        <v>0</v>
      </c>
      <c r="F31" s="73">
        <v>0</v>
      </c>
      <c r="G31" s="73">
        <v>0</v>
      </c>
      <c r="H31" s="73">
        <v>0</v>
      </c>
      <c r="I31" s="73"/>
      <c r="J31" s="73">
        <v>0</v>
      </c>
      <c r="K31" s="73">
        <v>0</v>
      </c>
      <c r="L31" s="73">
        <v>0</v>
      </c>
      <c r="M31" s="73">
        <v>0</v>
      </c>
    </row>
    <row r="32" spans="1:13">
      <c r="A32" s="25" t="s">
        <v>204</v>
      </c>
      <c r="B32" s="73">
        <f>SUM(B15:B31)</f>
        <v>6348298</v>
      </c>
      <c r="C32" s="73">
        <f>SUM(C15:C31)</f>
        <v>1186531</v>
      </c>
      <c r="D32" s="73" t="e">
        <f t="shared" ref="D32:J32" si="14">SUM(D15:D31)</f>
        <v>#REF!</v>
      </c>
      <c r="E32" s="73" t="e">
        <f t="shared" si="14"/>
        <v>#REF!</v>
      </c>
      <c r="F32" s="73" t="e">
        <f t="shared" si="14"/>
        <v>#REF!</v>
      </c>
      <c r="G32" s="73" t="e">
        <f t="shared" si="14"/>
        <v>#REF!</v>
      </c>
      <c r="H32" s="73" t="e">
        <f t="shared" si="14"/>
        <v>#REF!</v>
      </c>
      <c r="I32" s="73" t="e">
        <f t="shared" si="14"/>
        <v>#REF!</v>
      </c>
      <c r="J32" s="73" t="e">
        <f t="shared" si="14"/>
        <v>#REF!</v>
      </c>
      <c r="K32" s="73" t="e">
        <f>SUM(K15:K31)</f>
        <v>#REF!</v>
      </c>
      <c r="L32" s="73" t="e">
        <f>SUM(L15:L31)</f>
        <v>#REF!</v>
      </c>
      <c r="M32" s="73" t="e">
        <f>SUM(M15:M31)</f>
        <v>#REF!</v>
      </c>
    </row>
    <row r="33" spans="1:13">
      <c r="A33" s="25"/>
      <c r="B33" s="73"/>
      <c r="C33" s="73"/>
      <c r="D33" s="73"/>
      <c r="E33" s="73"/>
      <c r="F33" s="73"/>
      <c r="G33" s="73"/>
      <c r="H33" s="73"/>
      <c r="I33" s="73"/>
      <c r="J33" s="73"/>
      <c r="K33" s="73"/>
      <c r="L33" s="73"/>
      <c r="M33" s="73"/>
    </row>
    <row r="34" spans="1:13">
      <c r="A34" s="25" t="s">
        <v>205</v>
      </c>
      <c r="B34" s="72">
        <f>B11+B32</f>
        <v>30389458</v>
      </c>
      <c r="C34" s="72">
        <f>C11+C32</f>
        <v>32485088</v>
      </c>
      <c r="D34" s="72" t="e">
        <f t="shared" ref="D34:J34" si="15">D11+D32</f>
        <v>#REF!</v>
      </c>
      <c r="E34" s="72" t="e">
        <f t="shared" si="15"/>
        <v>#REF!</v>
      </c>
      <c r="F34" s="72" t="e">
        <f t="shared" si="15"/>
        <v>#REF!</v>
      </c>
      <c r="G34" s="72" t="e">
        <f t="shared" si="15"/>
        <v>#REF!</v>
      </c>
      <c r="H34" s="72" t="e">
        <f t="shared" si="15"/>
        <v>#REF!</v>
      </c>
      <c r="I34" s="72" t="e">
        <f t="shared" si="15"/>
        <v>#REF!</v>
      </c>
      <c r="J34" s="72" t="e">
        <f t="shared" si="15"/>
        <v>#REF!</v>
      </c>
      <c r="K34" s="72" t="e">
        <f>K11+K32</f>
        <v>#REF!</v>
      </c>
      <c r="L34" s="72" t="e">
        <f>L11+L32</f>
        <v>#REF!</v>
      </c>
      <c r="M34" s="72" t="e">
        <f>M11+M32</f>
        <v>#REF!</v>
      </c>
    </row>
    <row r="35" spans="1:13">
      <c r="C35" s="103">
        <f>(C34-B34)/B34%</f>
        <v>6.8959110754788711</v>
      </c>
      <c r="D35" s="103" t="e">
        <f t="shared" ref="D35:J35" si="16">(D34-C34)/C34%</f>
        <v>#REF!</v>
      </c>
      <c r="E35" s="103" t="e">
        <f t="shared" si="16"/>
        <v>#REF!</v>
      </c>
      <c r="F35" s="103" t="e">
        <f t="shared" si="16"/>
        <v>#REF!</v>
      </c>
      <c r="G35" s="103" t="e">
        <f t="shared" si="16"/>
        <v>#REF!</v>
      </c>
      <c r="H35" s="103" t="e">
        <f t="shared" si="16"/>
        <v>#REF!</v>
      </c>
      <c r="I35" s="103" t="e">
        <f t="shared" si="16"/>
        <v>#REF!</v>
      </c>
      <c r="J35" s="103" t="e">
        <f t="shared" si="16"/>
        <v>#REF!</v>
      </c>
      <c r="K35" s="103" t="e">
        <f>(K34-J34)/J34%</f>
        <v>#REF!</v>
      </c>
      <c r="L35" s="103" t="e">
        <f>(L34-K34)/K34%</f>
        <v>#REF!</v>
      </c>
      <c r="M35" s="103" t="e">
        <f>(M34-L34)/L34%</f>
        <v>#REF!</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I38"/>
  <sheetViews>
    <sheetView showGridLines="0" topLeftCell="A1048576" workbookViewId="0">
      <selection activeCell="A19" sqref="A1:XFD1048576"/>
    </sheetView>
  </sheetViews>
  <sheetFormatPr defaultRowHeight="15" zeroHeight="1"/>
  <cols>
    <col min="1" max="1" width="9.140625" style="430"/>
    <col min="2" max="2" width="3" style="430" bestFit="1" customWidth="1"/>
    <col min="3" max="3" width="64.140625" style="430" bestFit="1" customWidth="1"/>
    <col min="4" max="4" width="34.7109375" style="515" bestFit="1" customWidth="1"/>
    <col min="5" max="5" width="9.140625" style="515"/>
    <col min="6" max="16384" width="9.140625" style="430"/>
  </cols>
  <sheetData>
    <row r="1" spans="2:5" ht="15.75" hidden="1" customHeight="1" thickBot="1"/>
    <row r="2" spans="2:5" ht="15.75" hidden="1" customHeight="1" thickBot="1">
      <c r="B2" s="895" t="s">
        <v>1276</v>
      </c>
      <c r="C2" s="896"/>
      <c r="D2" s="897"/>
      <c r="E2" s="527" t="e">
        <f>(50%*E17)+(10%*E24)+(15%*E31)+(25%*E38)</f>
        <v>#DIV/0!</v>
      </c>
    </row>
    <row r="3" spans="2:5" ht="15" hidden="1" customHeight="1">
      <c r="B3" s="528"/>
      <c r="C3" s="529"/>
      <c r="D3" s="530" t="s">
        <v>1271</v>
      </c>
      <c r="E3" s="531" t="s">
        <v>1179</v>
      </c>
    </row>
    <row r="4" spans="2:5" hidden="1">
      <c r="B4" s="532">
        <v>1</v>
      </c>
      <c r="C4" s="516" t="s">
        <v>1184</v>
      </c>
      <c r="D4" s="521">
        <f>'PD and CAM'!C41</f>
        <v>0</v>
      </c>
      <c r="E4" s="533">
        <f>IF(D4&lt;=7,1,IF(D4&lt;=10,3,IF(D4&lt;=15,5,7)))</f>
        <v>1</v>
      </c>
    </row>
    <row r="5" spans="2:5" hidden="1">
      <c r="B5" s="532">
        <v>2</v>
      </c>
      <c r="C5" s="516" t="s">
        <v>1189</v>
      </c>
      <c r="D5" s="521">
        <f>'PD and CAM'!F48</f>
        <v>0</v>
      </c>
      <c r="E5" s="533">
        <f>IF(D5="No",1,3)</f>
        <v>3</v>
      </c>
    </row>
    <row r="6" spans="2:5" hidden="1">
      <c r="B6" s="532">
        <v>3</v>
      </c>
      <c r="C6" s="516" t="s">
        <v>1190</v>
      </c>
      <c r="D6" s="522" t="e">
        <f>'PD and CAM'!F41</f>
        <v>#DIV/0!</v>
      </c>
      <c r="E6" s="533" t="e">
        <f>IF(D6&lt;=2%,1,IF(D6&lt;=5%,3,IF(D6&lt;=10%,5,7)))</f>
        <v>#DIV/0!</v>
      </c>
    </row>
    <row r="7" spans="2:5" hidden="1">
      <c r="B7" s="532">
        <v>4</v>
      </c>
      <c r="C7" s="516" t="s">
        <v>1194</v>
      </c>
      <c r="D7" s="521">
        <f>'PD and CAM'!C49</f>
        <v>0</v>
      </c>
      <c r="E7" s="533" t="b">
        <f>IF(D7="Hindi",1,IF(D7="Local Language",1,IF(D7="English",3)))</f>
        <v>0</v>
      </c>
    </row>
    <row r="8" spans="2:5" hidden="1">
      <c r="B8" s="532">
        <v>5</v>
      </c>
      <c r="C8" s="516" t="s">
        <v>1197</v>
      </c>
      <c r="D8" s="521">
        <f>'PD and CAM'!J71</f>
        <v>0</v>
      </c>
      <c r="E8" s="533">
        <f>IF(D8&lt;=35,1,IF(D8&lt;=40,3,IF(D8&lt;=50,5,7)))</f>
        <v>1</v>
      </c>
    </row>
    <row r="9" spans="2:5" hidden="1">
      <c r="B9" s="532">
        <v>6</v>
      </c>
      <c r="C9" s="516" t="s">
        <v>1202</v>
      </c>
      <c r="D9" s="521">
        <f>'PD and CAM'!F71</f>
        <v>0</v>
      </c>
      <c r="E9" s="533">
        <f>IF(D9="No - Not involved",1,3)</f>
        <v>3</v>
      </c>
    </row>
    <row r="10" spans="2:5" hidden="1">
      <c r="B10" s="532">
        <v>7</v>
      </c>
      <c r="C10" s="516" t="s">
        <v>1203</v>
      </c>
      <c r="D10" s="521">
        <f>'PD and CAM'!G71</f>
        <v>0</v>
      </c>
      <c r="E10" s="533">
        <f>IF(D10="No",1,3)</f>
        <v>3</v>
      </c>
    </row>
    <row r="11" spans="2:5" hidden="1">
      <c r="B11" s="532">
        <v>8</v>
      </c>
      <c r="C11" s="516" t="s">
        <v>1272</v>
      </c>
      <c r="D11" s="521">
        <f>'PD and CAM'!F36</f>
        <v>0</v>
      </c>
      <c r="E11" s="533">
        <f>IF(D11="Current Academic Yr",1,3)</f>
        <v>3</v>
      </c>
    </row>
    <row r="12" spans="2:5" hidden="1">
      <c r="B12" s="532">
        <v>9</v>
      </c>
      <c r="C12" s="516" t="s">
        <v>1205</v>
      </c>
      <c r="D12" s="521">
        <f>'PD and CAM'!F40</f>
        <v>0</v>
      </c>
      <c r="E12" s="533">
        <f>IF(D12&lt;=400,1,IF(D12&lt;=600,3,IF(D12&lt;=1000,5,7)))</f>
        <v>1</v>
      </c>
    </row>
    <row r="13" spans="2:5" hidden="1">
      <c r="B13" s="532">
        <v>10</v>
      </c>
      <c r="C13" s="516" t="s">
        <v>1210</v>
      </c>
      <c r="D13" s="521">
        <f>'PD and CAM'!F37</f>
        <v>0</v>
      </c>
      <c r="E13" s="533">
        <f>IF(D13="VIII",1,IF(D13="X",3,5))</f>
        <v>5</v>
      </c>
    </row>
    <row r="14" spans="2:5" hidden="1">
      <c r="B14" s="532">
        <v>11</v>
      </c>
      <c r="C14" s="516" t="s">
        <v>1214</v>
      </c>
      <c r="D14" s="521">
        <f>'PD and CAM'!F34</f>
        <v>0</v>
      </c>
      <c r="E14" s="533">
        <f>IF(D14="ISCE",3,IF(D14="CBSE",3,IF(D14="Others",3,IF(D14="IB",5,IF(D14="ICE",5,1)))))</f>
        <v>1</v>
      </c>
    </row>
    <row r="15" spans="2:5" hidden="1">
      <c r="B15" s="532">
        <v>12</v>
      </c>
      <c r="C15" s="516" t="s">
        <v>1217</v>
      </c>
      <c r="D15" s="521">
        <f>'PD and CAM'!C48</f>
        <v>0</v>
      </c>
      <c r="E15" s="533">
        <f>IF(D15&lt;=1,1,IF(D15&lt;=3,3,IF(D15&lt;=5,5,7)))</f>
        <v>1</v>
      </c>
    </row>
    <row r="16" spans="2:5" hidden="1">
      <c r="B16" s="532">
        <v>13</v>
      </c>
      <c r="C16" s="516" t="s">
        <v>1222</v>
      </c>
      <c r="D16" s="522">
        <f>'PD and CAM'!F43</f>
        <v>0</v>
      </c>
      <c r="E16" s="533">
        <f>IF(D16&lt;=80%,1,IF(D16&lt;=85%,3,IF(D16&lt;=90%,5,7)))</f>
        <v>1</v>
      </c>
    </row>
    <row r="17" spans="2:9" hidden="1">
      <c r="B17" s="534"/>
      <c r="C17" s="517" t="s">
        <v>1227</v>
      </c>
      <c r="D17" s="521"/>
      <c r="E17" s="535" t="e">
        <f>SUM(E4:E16)</f>
        <v>#DIV/0!</v>
      </c>
    </row>
    <row r="18" spans="2:9" hidden="1">
      <c r="B18" s="534"/>
      <c r="C18" s="518"/>
      <c r="D18" s="521"/>
      <c r="E18" s="533"/>
    </row>
    <row r="19" spans="2:9" hidden="1">
      <c r="B19" s="534"/>
      <c r="C19" s="519" t="s">
        <v>1228</v>
      </c>
      <c r="D19" s="521"/>
      <c r="E19" s="533"/>
    </row>
    <row r="20" spans="2:9" hidden="1">
      <c r="B20" s="532">
        <v>14</v>
      </c>
      <c r="C20" s="516" t="s">
        <v>1229</v>
      </c>
      <c r="D20" s="521">
        <f>'PD and CAM'!I71</f>
        <v>0</v>
      </c>
      <c r="E20" s="533">
        <f>IF(D20&lt;=650,1,IF(D20&lt;=700,3,IF(D20&lt;=750,5,IF(D20&gt;750,7,3))))</f>
        <v>1</v>
      </c>
    </row>
    <row r="21" spans="2:9" hidden="1">
      <c r="B21" s="532">
        <v>15</v>
      </c>
      <c r="C21" s="516" t="s">
        <v>1234</v>
      </c>
      <c r="D21" s="521">
        <f>'4. Repayment Track'!D5</f>
        <v>0</v>
      </c>
      <c r="E21" s="533">
        <f>IF(D21&gt;2,1,IF(D21&lt;=0,5,3))</f>
        <v>5</v>
      </c>
    </row>
    <row r="22" spans="2:9" hidden="1">
      <c r="B22" s="532">
        <v>16</v>
      </c>
      <c r="C22" s="516" t="s">
        <v>1238</v>
      </c>
      <c r="D22" s="521">
        <f>'4. Repayment Track'!D6</f>
        <v>0</v>
      </c>
      <c r="E22" s="533">
        <f>IF(D22&gt;2,1,IF(D22&lt;=0,5,3))</f>
        <v>5</v>
      </c>
    </row>
    <row r="23" spans="2:9" hidden="1">
      <c r="B23" s="532">
        <v>17</v>
      </c>
      <c r="C23" s="516" t="s">
        <v>1240</v>
      </c>
      <c r="D23" s="521">
        <f>'4. Repayment Track'!D7</f>
        <v>0</v>
      </c>
      <c r="E23" s="533">
        <f>IF(D23="No",1,3)</f>
        <v>3</v>
      </c>
    </row>
    <row r="24" spans="2:9" hidden="1">
      <c r="B24" s="534"/>
      <c r="C24" s="517" t="s">
        <v>1227</v>
      </c>
      <c r="D24" s="521"/>
      <c r="E24" s="535">
        <f>SUM(E20:E23)</f>
        <v>14</v>
      </c>
      <c r="I24" s="542"/>
    </row>
    <row r="25" spans="2:9" hidden="1">
      <c r="B25" s="532"/>
      <c r="C25" s="520"/>
      <c r="D25" s="521"/>
      <c r="E25" s="533"/>
    </row>
    <row r="26" spans="2:9" hidden="1">
      <c r="B26" s="534"/>
      <c r="C26" s="519" t="s">
        <v>1242</v>
      </c>
      <c r="D26" s="521"/>
      <c r="E26" s="533"/>
    </row>
    <row r="27" spans="2:9" hidden="1">
      <c r="B27" s="532">
        <v>18</v>
      </c>
      <c r="C27" s="516" t="s">
        <v>1243</v>
      </c>
      <c r="D27" s="521" t="str">
        <f>'PD and CAM'!C115</f>
        <v>Fully Compliant</v>
      </c>
      <c r="E27" s="533">
        <f>IF(D27="Fully Compliant",5,1)</f>
        <v>5</v>
      </c>
    </row>
    <row r="28" spans="2:9" hidden="1">
      <c r="B28" s="532">
        <v>19</v>
      </c>
      <c r="C28" s="516" t="s">
        <v>1246</v>
      </c>
      <c r="D28" s="521" t="str">
        <f>'PD and CAM'!C114</f>
        <v>Only School Property</v>
      </c>
      <c r="E28" s="533">
        <f>IF(D28="Only Residential",3,IF(D28="Only Commercial",3,1))</f>
        <v>1</v>
      </c>
    </row>
    <row r="29" spans="2:9" hidden="1">
      <c r="B29" s="532">
        <v>20</v>
      </c>
      <c r="C29" s="516" t="s">
        <v>1250</v>
      </c>
      <c r="D29" s="541" t="str">
        <f>'PD and CAM'!G114</f>
        <v>School Owned</v>
      </c>
      <c r="E29" s="533">
        <f>IF(D29="School Owned",5,IF(D29="Trustee Owned",3,1))</f>
        <v>5</v>
      </c>
    </row>
    <row r="30" spans="2:9" hidden="1">
      <c r="B30" s="532">
        <v>21</v>
      </c>
      <c r="C30" s="516" t="s">
        <v>1254</v>
      </c>
      <c r="D30" s="521" t="str">
        <f>'PD and CAM'!E114</f>
        <v>Complete Collateral</v>
      </c>
      <c r="E30" s="533">
        <f>IF(D30="Part Collateral",1,3)</f>
        <v>3</v>
      </c>
    </row>
    <row r="31" spans="2:9" hidden="1">
      <c r="B31" s="534"/>
      <c r="C31" s="517" t="s">
        <v>1227</v>
      </c>
      <c r="D31" s="521"/>
      <c r="E31" s="535">
        <f>SUM(E27:E30)</f>
        <v>14</v>
      </c>
    </row>
    <row r="32" spans="2:9" hidden="1">
      <c r="B32" s="534"/>
      <c r="C32" s="518"/>
      <c r="D32" s="521"/>
      <c r="E32" s="533"/>
    </row>
    <row r="33" spans="2:5" hidden="1">
      <c r="B33" s="534"/>
      <c r="C33" s="519" t="s">
        <v>1257</v>
      </c>
      <c r="D33" s="521"/>
      <c r="E33" s="533"/>
    </row>
    <row r="34" spans="2:5" hidden="1">
      <c r="B34" s="532">
        <v>22</v>
      </c>
      <c r="C34" s="516" t="s">
        <v>1258</v>
      </c>
      <c r="D34" s="536" t="e">
        <f>'Cashflow and Elligibility'!G77/'Cashflow and Elligibility'!G75</f>
        <v>#DIV/0!</v>
      </c>
      <c r="E34" s="533" t="e">
        <f>IF(D34&lt;=15%,1,IF(D34&lt;=25%,3,IF(D34&lt;=35%,5,7)))</f>
        <v>#DIV/0!</v>
      </c>
    </row>
    <row r="35" spans="2:5" hidden="1">
      <c r="B35" s="532">
        <v>23</v>
      </c>
      <c r="C35" s="516" t="s">
        <v>1263</v>
      </c>
      <c r="D35" s="521" t="str">
        <f>IF('Cashflow and Elligibility'!T5&gt;0,"Yes","No")</f>
        <v>No</v>
      </c>
      <c r="E35" s="533">
        <f t="shared" ref="E35:E36" si="0">IF(D35="No",1,3)</f>
        <v>1</v>
      </c>
    </row>
    <row r="36" spans="2:5" hidden="1">
      <c r="B36" s="532">
        <v>24</v>
      </c>
      <c r="C36" s="516" t="s">
        <v>1264</v>
      </c>
      <c r="D36" s="521">
        <f>'PD and CAM'!F42</f>
        <v>0</v>
      </c>
      <c r="E36" s="533">
        <f t="shared" si="0"/>
        <v>3</v>
      </c>
    </row>
    <row r="37" spans="2:5" hidden="1">
      <c r="B37" s="532">
        <v>25</v>
      </c>
      <c r="C37" s="516" t="s">
        <v>1266</v>
      </c>
      <c r="D37" s="522" t="e">
        <f>'Cashflow and Elligibility'!J76</f>
        <v>#DIV/0!</v>
      </c>
      <c r="E37" s="533" t="e">
        <f>IF(D37&lt;=15%,1,IF(D37&lt;=35%,3,IF(D37&lt;=50%,5,7)))</f>
        <v>#DIV/0!</v>
      </c>
    </row>
    <row r="38" spans="2:5" ht="15.75" hidden="1" thickBot="1">
      <c r="B38" s="537"/>
      <c r="C38" s="538" t="s">
        <v>1227</v>
      </c>
      <c r="D38" s="539"/>
      <c r="E38" s="540" t="e">
        <f>SUM(E34:E37)</f>
        <v>#DIV/0!</v>
      </c>
    </row>
  </sheetData>
  <sheetProtection password="E03D" sheet="1" objects="1" scenarios="1" selectLockedCells="1" selectUnlockedCells="1"/>
  <mergeCells count="1">
    <mergeCell ref="B2:D2"/>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42"/>
  <sheetViews>
    <sheetView showGridLines="0" topLeftCell="D5" workbookViewId="0">
      <selection activeCell="K7" sqref="K7"/>
    </sheetView>
  </sheetViews>
  <sheetFormatPr defaultRowHeight="15"/>
  <cols>
    <col min="1" max="1" width="1.7109375" style="474" customWidth="1"/>
    <col min="2" max="2" width="7" style="473" customWidth="1"/>
    <col min="3" max="3" width="64.140625" style="474" bestFit="1" customWidth="1"/>
    <col min="4" max="4" width="7.42578125" style="473" bestFit="1" customWidth="1"/>
    <col min="5" max="5" width="7" style="473" customWidth="1"/>
    <col min="6" max="6" width="25.7109375" style="473" customWidth="1"/>
    <col min="7" max="7" width="26.28515625" style="473" bestFit="1" customWidth="1"/>
    <col min="8" max="8" width="18.42578125" style="473" bestFit="1" customWidth="1"/>
    <col min="9" max="9" width="9.140625" style="473"/>
    <col min="10" max="10" width="1.7109375" style="474" customWidth="1"/>
    <col min="11" max="11" width="9.140625" style="474"/>
    <col min="12" max="15" width="9.140625" style="474" customWidth="1"/>
    <col min="16" max="16" width="4.42578125" style="474" customWidth="1"/>
    <col min="17" max="17" width="9.140625" style="474" customWidth="1"/>
    <col min="18" max="18" width="4.5703125" style="474" customWidth="1"/>
    <col min="19" max="19" width="9.140625" style="474" customWidth="1"/>
    <col min="20" max="20" width="5" style="474" customWidth="1"/>
    <col min="21" max="22" width="9.140625" style="474" customWidth="1"/>
    <col min="23" max="23" width="11.140625" style="473" customWidth="1"/>
    <col min="24" max="16384" width="9.140625" style="474"/>
  </cols>
  <sheetData>
    <row r="1" spans="2:23">
      <c r="D1" s="475"/>
      <c r="W1" s="475"/>
    </row>
    <row r="2" spans="2:23">
      <c r="J2" s="476"/>
      <c r="K2" s="476"/>
    </row>
    <row r="3" spans="2:23" ht="23.25">
      <c r="C3" s="477" t="s">
        <v>1175</v>
      </c>
      <c r="J3" s="476"/>
      <c r="K3" s="476"/>
    </row>
    <row r="4" spans="2:23">
      <c r="J4" s="476"/>
      <c r="K4" s="476"/>
    </row>
    <row r="5" spans="2:23">
      <c r="J5" s="476"/>
      <c r="K5" s="476"/>
      <c r="Q5" s="478">
        <f>Q20*W20+Q27*W27+Q35*W35+Q42*W42</f>
        <v>36.799999999999997</v>
      </c>
      <c r="S5" s="478">
        <f>S20*$W$20+S27*$W$27+S35*$W$35+S42*$W$42</f>
        <v>7.6000000000000005</v>
      </c>
      <c r="U5" s="478">
        <f>U20*$W$20+U27*$W$27+U35*$W$35+U42*$W$42</f>
        <v>22.133333333333333</v>
      </c>
    </row>
    <row r="6" spans="2:23" s="484" customFormat="1">
      <c r="B6" s="479" t="s">
        <v>76</v>
      </c>
      <c r="C6" s="480" t="s">
        <v>1176</v>
      </c>
      <c r="D6" s="481" t="s">
        <v>1177</v>
      </c>
      <c r="E6" s="482"/>
      <c r="F6" s="898" t="s">
        <v>1178</v>
      </c>
      <c r="G6" s="898"/>
      <c r="H6" s="898"/>
      <c r="I6" s="898"/>
      <c r="J6" s="483"/>
      <c r="L6" s="898" t="s">
        <v>1179</v>
      </c>
      <c r="M6" s="898"/>
      <c r="N6" s="898"/>
      <c r="O6" s="898"/>
      <c r="Q6" s="481" t="s">
        <v>1180</v>
      </c>
      <c r="S6" s="481" t="s">
        <v>1181</v>
      </c>
      <c r="U6" s="481" t="s">
        <v>1182</v>
      </c>
      <c r="W6" s="481" t="s">
        <v>1183</v>
      </c>
    </row>
    <row r="7" spans="2:23" s="490" customFormat="1">
      <c r="B7" s="485">
        <v>1</v>
      </c>
      <c r="C7" s="486" t="s">
        <v>1184</v>
      </c>
      <c r="D7" s="487" t="s">
        <v>1185</v>
      </c>
      <c r="E7" s="488">
        <v>0.1</v>
      </c>
      <c r="F7" s="487" t="s">
        <v>1186</v>
      </c>
      <c r="G7" s="487" t="s">
        <v>1187</v>
      </c>
      <c r="H7" s="487" t="s">
        <v>1188</v>
      </c>
      <c r="I7" s="487" t="s">
        <v>1185</v>
      </c>
      <c r="J7" s="489"/>
      <c r="L7" s="487">
        <v>1</v>
      </c>
      <c r="M7" s="487">
        <v>3</v>
      </c>
      <c r="N7" s="487">
        <v>5</v>
      </c>
      <c r="O7" s="487">
        <v>7</v>
      </c>
      <c r="Q7" s="490">
        <f>MAX(L7:O7)</f>
        <v>7</v>
      </c>
      <c r="S7" s="490">
        <f>MIN(L7:O7)</f>
        <v>1</v>
      </c>
      <c r="U7" s="490">
        <f>AVERAGE(L7:O7)</f>
        <v>4</v>
      </c>
      <c r="W7" s="491"/>
    </row>
    <row r="8" spans="2:23" s="490" customFormat="1">
      <c r="B8" s="485">
        <v>2</v>
      </c>
      <c r="C8" s="486" t="s">
        <v>1189</v>
      </c>
      <c r="D8" s="487"/>
      <c r="E8" s="488">
        <v>0.08</v>
      </c>
      <c r="F8" s="487" t="s">
        <v>802</v>
      </c>
      <c r="G8" s="487" t="s">
        <v>785</v>
      </c>
      <c r="H8" s="487"/>
      <c r="I8" s="487"/>
      <c r="J8" s="489"/>
      <c r="L8" s="487">
        <v>1</v>
      </c>
      <c r="M8" s="487">
        <v>3</v>
      </c>
      <c r="N8" s="487"/>
      <c r="O8" s="487"/>
      <c r="Q8" s="490">
        <f t="shared" ref="Q8:Q19" si="0">MAX(L8:O8)</f>
        <v>3</v>
      </c>
      <c r="S8" s="490">
        <f t="shared" ref="S8:S19" si="1">MIN(L8:O8)</f>
        <v>1</v>
      </c>
      <c r="U8" s="490">
        <f t="shared" ref="U8:U19" si="2">AVERAGE(L8:O8)</f>
        <v>2</v>
      </c>
      <c r="W8" s="491"/>
    </row>
    <row r="9" spans="2:23" s="490" customFormat="1">
      <c r="B9" s="485">
        <v>3</v>
      </c>
      <c r="C9" s="486" t="s">
        <v>1190</v>
      </c>
      <c r="D9" s="487"/>
      <c r="E9" s="492">
        <v>0.08</v>
      </c>
      <c r="F9" s="492">
        <v>0.05</v>
      </c>
      <c r="G9" s="487" t="s">
        <v>1191</v>
      </c>
      <c r="H9" s="487" t="s">
        <v>1192</v>
      </c>
      <c r="I9" s="487" t="s">
        <v>1193</v>
      </c>
      <c r="J9" s="489"/>
      <c r="L9" s="487">
        <v>1</v>
      </c>
      <c r="M9" s="487">
        <v>3</v>
      </c>
      <c r="N9" s="487">
        <v>5</v>
      </c>
      <c r="O9" s="487">
        <v>7</v>
      </c>
      <c r="Q9" s="490">
        <f t="shared" si="0"/>
        <v>7</v>
      </c>
      <c r="S9" s="490">
        <f t="shared" si="1"/>
        <v>1</v>
      </c>
      <c r="U9" s="490">
        <f t="shared" si="2"/>
        <v>4</v>
      </c>
      <c r="W9" s="491"/>
    </row>
    <row r="10" spans="2:23" s="490" customFormat="1">
      <c r="B10" s="485">
        <v>4</v>
      </c>
      <c r="C10" s="486" t="s">
        <v>1194</v>
      </c>
      <c r="D10" s="487"/>
      <c r="E10" s="488">
        <v>0.05</v>
      </c>
      <c r="F10" s="492" t="s">
        <v>1173</v>
      </c>
      <c r="G10" s="487" t="s">
        <v>1195</v>
      </c>
      <c r="H10" s="487" t="s">
        <v>1196</v>
      </c>
      <c r="I10" s="487"/>
      <c r="J10" s="489"/>
      <c r="L10" s="487">
        <v>1</v>
      </c>
      <c r="M10" s="487">
        <v>1</v>
      </c>
      <c r="N10" s="487">
        <v>3</v>
      </c>
      <c r="O10" s="487"/>
      <c r="Q10" s="490">
        <f t="shared" si="0"/>
        <v>3</v>
      </c>
      <c r="S10" s="490">
        <f t="shared" si="1"/>
        <v>1</v>
      </c>
      <c r="U10" s="490">
        <f t="shared" si="2"/>
        <v>1.6666666666666667</v>
      </c>
      <c r="W10" s="491"/>
    </row>
    <row r="11" spans="2:23" s="493" customFormat="1">
      <c r="B11" s="485">
        <v>5</v>
      </c>
      <c r="C11" s="486" t="s">
        <v>1197</v>
      </c>
      <c r="D11" s="487"/>
      <c r="E11" s="488">
        <v>0.08</v>
      </c>
      <c r="F11" s="487" t="s">
        <v>1198</v>
      </c>
      <c r="G11" s="487" t="s">
        <v>1199</v>
      </c>
      <c r="H11" s="487" t="s">
        <v>1200</v>
      </c>
      <c r="I11" s="487" t="s">
        <v>1201</v>
      </c>
      <c r="J11" s="489"/>
      <c r="L11" s="487">
        <v>1</v>
      </c>
      <c r="M11" s="487">
        <v>3</v>
      </c>
      <c r="N11" s="487">
        <v>5</v>
      </c>
      <c r="O11" s="487">
        <v>7</v>
      </c>
      <c r="Q11" s="490">
        <f t="shared" si="0"/>
        <v>7</v>
      </c>
      <c r="S11" s="490">
        <f t="shared" si="1"/>
        <v>1</v>
      </c>
      <c r="U11" s="490">
        <f t="shared" si="2"/>
        <v>4</v>
      </c>
      <c r="W11" s="494"/>
    </row>
    <row r="12" spans="2:23" s="493" customFormat="1">
      <c r="B12" s="485">
        <v>6</v>
      </c>
      <c r="C12" s="486" t="s">
        <v>1202</v>
      </c>
      <c r="D12" s="487"/>
      <c r="E12" s="488">
        <v>0.08</v>
      </c>
      <c r="F12" s="487" t="s">
        <v>802</v>
      </c>
      <c r="G12" s="487" t="s">
        <v>785</v>
      </c>
      <c r="H12" s="487"/>
      <c r="I12" s="487"/>
      <c r="J12" s="489"/>
      <c r="L12" s="487">
        <v>1</v>
      </c>
      <c r="M12" s="487">
        <v>3</v>
      </c>
      <c r="N12" s="487"/>
      <c r="O12" s="487"/>
      <c r="Q12" s="490">
        <f t="shared" si="0"/>
        <v>3</v>
      </c>
      <c r="S12" s="490">
        <f t="shared" si="1"/>
        <v>1</v>
      </c>
      <c r="U12" s="490">
        <f t="shared" si="2"/>
        <v>2</v>
      </c>
      <c r="W12" s="494"/>
    </row>
    <row r="13" spans="2:23" s="493" customFormat="1">
      <c r="B13" s="485">
        <v>7</v>
      </c>
      <c r="C13" s="486" t="s">
        <v>1203</v>
      </c>
      <c r="D13" s="487"/>
      <c r="E13" s="488">
        <v>0.08</v>
      </c>
      <c r="F13" s="487" t="s">
        <v>802</v>
      </c>
      <c r="G13" s="487" t="s">
        <v>785</v>
      </c>
      <c r="H13" s="487"/>
      <c r="I13" s="487"/>
      <c r="J13" s="489"/>
      <c r="L13" s="487">
        <v>1</v>
      </c>
      <c r="M13" s="487">
        <v>3</v>
      </c>
      <c r="N13" s="487"/>
      <c r="O13" s="487"/>
      <c r="Q13" s="490">
        <f t="shared" si="0"/>
        <v>3</v>
      </c>
      <c r="S13" s="490">
        <f t="shared" si="1"/>
        <v>1</v>
      </c>
      <c r="U13" s="490">
        <f t="shared" si="2"/>
        <v>2</v>
      </c>
      <c r="W13" s="494"/>
    </row>
    <row r="14" spans="2:23" s="493" customFormat="1">
      <c r="B14" s="485">
        <v>8</v>
      </c>
      <c r="C14" s="486" t="s">
        <v>1204</v>
      </c>
      <c r="D14" s="487"/>
      <c r="E14" s="488">
        <v>0.05</v>
      </c>
      <c r="F14" s="487" t="s">
        <v>802</v>
      </c>
      <c r="G14" s="487" t="s">
        <v>785</v>
      </c>
      <c r="H14" s="487"/>
      <c r="I14" s="487"/>
      <c r="J14" s="489"/>
      <c r="L14" s="487">
        <v>1</v>
      </c>
      <c r="M14" s="487">
        <v>3</v>
      </c>
      <c r="N14" s="487"/>
      <c r="O14" s="487"/>
      <c r="Q14" s="490">
        <f t="shared" si="0"/>
        <v>3</v>
      </c>
      <c r="S14" s="490">
        <f t="shared" si="1"/>
        <v>1</v>
      </c>
      <c r="U14" s="490">
        <f t="shared" si="2"/>
        <v>2</v>
      </c>
      <c r="W14" s="494"/>
    </row>
    <row r="15" spans="2:23" s="493" customFormat="1">
      <c r="B15" s="485">
        <v>9</v>
      </c>
      <c r="C15" s="486" t="s">
        <v>1205</v>
      </c>
      <c r="D15" s="487"/>
      <c r="E15" s="488">
        <v>0.1</v>
      </c>
      <c r="F15" s="487" t="s">
        <v>1206</v>
      </c>
      <c r="G15" s="487" t="s">
        <v>1207</v>
      </c>
      <c r="H15" s="487" t="s">
        <v>1208</v>
      </c>
      <c r="I15" s="487" t="s">
        <v>1209</v>
      </c>
      <c r="J15" s="489"/>
      <c r="L15" s="487">
        <v>1</v>
      </c>
      <c r="M15" s="487">
        <v>3</v>
      </c>
      <c r="N15" s="487">
        <v>5</v>
      </c>
      <c r="O15" s="487">
        <v>7</v>
      </c>
      <c r="Q15" s="490">
        <f t="shared" si="0"/>
        <v>7</v>
      </c>
      <c r="S15" s="490">
        <f t="shared" si="1"/>
        <v>1</v>
      </c>
      <c r="U15" s="490">
        <f t="shared" si="2"/>
        <v>4</v>
      </c>
      <c r="W15" s="494"/>
    </row>
    <row r="16" spans="2:23" s="493" customFormat="1">
      <c r="B16" s="485">
        <v>10</v>
      </c>
      <c r="C16" s="486" t="s">
        <v>1210</v>
      </c>
      <c r="D16" s="487"/>
      <c r="E16" s="488">
        <v>0.05</v>
      </c>
      <c r="F16" s="487" t="s">
        <v>1211</v>
      </c>
      <c r="G16" s="487" t="s">
        <v>1212</v>
      </c>
      <c r="H16" s="487" t="s">
        <v>1213</v>
      </c>
      <c r="I16" s="487"/>
      <c r="J16" s="489"/>
      <c r="L16" s="487">
        <v>1</v>
      </c>
      <c r="M16" s="487">
        <v>3</v>
      </c>
      <c r="N16" s="487">
        <v>5</v>
      </c>
      <c r="O16" s="487"/>
      <c r="Q16" s="490">
        <f t="shared" si="0"/>
        <v>5</v>
      </c>
      <c r="S16" s="490">
        <f t="shared" si="1"/>
        <v>1</v>
      </c>
      <c r="U16" s="490">
        <f t="shared" si="2"/>
        <v>3</v>
      </c>
      <c r="W16" s="494"/>
    </row>
    <row r="17" spans="2:23" s="493" customFormat="1">
      <c r="B17" s="485">
        <v>11</v>
      </c>
      <c r="C17" s="486" t="s">
        <v>1214</v>
      </c>
      <c r="D17" s="487"/>
      <c r="E17" s="488">
        <v>0.05</v>
      </c>
      <c r="F17" s="487" t="s">
        <v>1155</v>
      </c>
      <c r="G17" s="487" t="s">
        <v>1215</v>
      </c>
      <c r="H17" s="487" t="s">
        <v>1216</v>
      </c>
      <c r="I17" s="487"/>
      <c r="J17" s="489"/>
      <c r="L17" s="487">
        <v>1</v>
      </c>
      <c r="M17" s="487">
        <v>3</v>
      </c>
      <c r="N17" s="487">
        <v>5</v>
      </c>
      <c r="O17" s="487"/>
      <c r="Q17" s="490">
        <f t="shared" si="0"/>
        <v>5</v>
      </c>
      <c r="S17" s="490">
        <f t="shared" si="1"/>
        <v>1</v>
      </c>
      <c r="U17" s="490">
        <f t="shared" si="2"/>
        <v>3</v>
      </c>
      <c r="W17" s="494"/>
    </row>
    <row r="18" spans="2:23" s="493" customFormat="1">
      <c r="B18" s="485">
        <v>12</v>
      </c>
      <c r="C18" s="486" t="s">
        <v>1217</v>
      </c>
      <c r="D18" s="487"/>
      <c r="E18" s="488">
        <v>0.08</v>
      </c>
      <c r="F18" s="487" t="s">
        <v>1218</v>
      </c>
      <c r="G18" s="487" t="s">
        <v>1219</v>
      </c>
      <c r="H18" s="487" t="s">
        <v>1220</v>
      </c>
      <c r="I18" s="487" t="s">
        <v>1221</v>
      </c>
      <c r="J18" s="489"/>
      <c r="L18" s="487">
        <v>1</v>
      </c>
      <c r="M18" s="487">
        <v>3</v>
      </c>
      <c r="N18" s="487">
        <v>5</v>
      </c>
      <c r="O18" s="487">
        <v>7</v>
      </c>
      <c r="Q18" s="490">
        <f t="shared" si="0"/>
        <v>7</v>
      </c>
      <c r="S18" s="490">
        <f t="shared" si="1"/>
        <v>1</v>
      </c>
      <c r="U18" s="490">
        <f t="shared" si="2"/>
        <v>4</v>
      </c>
      <c r="W18" s="494"/>
    </row>
    <row r="19" spans="2:23" s="493" customFormat="1">
      <c r="B19" s="485">
        <v>13</v>
      </c>
      <c r="C19" s="486" t="s">
        <v>1222</v>
      </c>
      <c r="D19" s="487"/>
      <c r="E19" s="488">
        <v>0.12</v>
      </c>
      <c r="F19" s="487" t="s">
        <v>1223</v>
      </c>
      <c r="G19" s="487" t="s">
        <v>1224</v>
      </c>
      <c r="H19" s="487" t="s">
        <v>1225</v>
      </c>
      <c r="I19" s="487" t="s">
        <v>1226</v>
      </c>
      <c r="J19" s="489"/>
      <c r="L19" s="487">
        <v>1</v>
      </c>
      <c r="M19" s="487">
        <v>3</v>
      </c>
      <c r="N19" s="487">
        <v>5</v>
      </c>
      <c r="O19" s="487">
        <v>7</v>
      </c>
      <c r="Q19" s="490">
        <f t="shared" si="0"/>
        <v>7</v>
      </c>
      <c r="S19" s="490">
        <f t="shared" si="1"/>
        <v>1</v>
      </c>
      <c r="U19" s="490">
        <f t="shared" si="2"/>
        <v>4</v>
      </c>
      <c r="W19" s="494"/>
    </row>
    <row r="20" spans="2:23">
      <c r="B20" s="495"/>
      <c r="C20" s="496" t="s">
        <v>1227</v>
      </c>
      <c r="D20" s="497"/>
      <c r="E20" s="497">
        <f>SUM(E7:E19)</f>
        <v>1</v>
      </c>
      <c r="F20" s="498"/>
      <c r="G20" s="498"/>
      <c r="H20" s="498"/>
      <c r="I20" s="498"/>
      <c r="J20" s="499"/>
      <c r="L20" s="498"/>
      <c r="M20" s="498"/>
      <c r="N20" s="498"/>
      <c r="O20" s="498"/>
      <c r="Q20" s="500">
        <f>SUM(Q7:Q19)</f>
        <v>67</v>
      </c>
      <c r="S20" s="500">
        <f>SUM(S7:S19)</f>
        <v>13</v>
      </c>
      <c r="U20" s="500">
        <f>SUM(U7:U19)</f>
        <v>39.666666666666664</v>
      </c>
      <c r="W20" s="497">
        <v>0.4</v>
      </c>
    </row>
    <row r="21" spans="2:23">
      <c r="B21" s="495"/>
      <c r="C21" s="501"/>
      <c r="D21" s="502"/>
      <c r="E21" s="502"/>
      <c r="F21" s="502"/>
      <c r="G21" s="502"/>
      <c r="H21" s="502"/>
      <c r="I21" s="502"/>
      <c r="J21" s="503"/>
      <c r="L21" s="502"/>
      <c r="M21" s="502"/>
      <c r="N21" s="502"/>
      <c r="O21" s="502"/>
      <c r="W21" s="502"/>
    </row>
    <row r="22" spans="2:23">
      <c r="B22" s="495"/>
      <c r="C22" s="480" t="s">
        <v>1228</v>
      </c>
      <c r="D22" s="481" t="s">
        <v>1177</v>
      </c>
      <c r="E22" s="504"/>
      <c r="F22" s="898" t="s">
        <v>1178</v>
      </c>
      <c r="G22" s="898"/>
      <c r="H22" s="898"/>
      <c r="I22" s="898"/>
      <c r="J22" s="499"/>
      <c r="L22" s="898" t="s">
        <v>1178</v>
      </c>
      <c r="M22" s="898"/>
      <c r="N22" s="898"/>
      <c r="O22" s="898"/>
      <c r="W22" s="481"/>
    </row>
    <row r="23" spans="2:23" s="493" customFormat="1">
      <c r="B23" s="505">
        <v>14</v>
      </c>
      <c r="C23" s="486" t="s">
        <v>1229</v>
      </c>
      <c r="D23" s="487"/>
      <c r="E23" s="488">
        <v>0.25</v>
      </c>
      <c r="F23" s="494" t="s">
        <v>1230</v>
      </c>
      <c r="G23" s="494" t="s">
        <v>1231</v>
      </c>
      <c r="H23" s="494" t="s">
        <v>1232</v>
      </c>
      <c r="I23" s="494" t="s">
        <v>1233</v>
      </c>
      <c r="J23" s="506"/>
      <c r="L23" s="487">
        <v>1</v>
      </c>
      <c r="M23" s="487">
        <v>3</v>
      </c>
      <c r="N23" s="487">
        <v>5</v>
      </c>
      <c r="O23" s="487">
        <v>7</v>
      </c>
      <c r="Q23" s="490">
        <f t="shared" ref="Q23:Q26" si="3">MAX(L23:O23)</f>
        <v>7</v>
      </c>
      <c r="S23" s="490">
        <f t="shared" ref="S23:S26" si="4">MIN(L23:O23)</f>
        <v>1</v>
      </c>
      <c r="U23" s="490">
        <f t="shared" ref="U23:U26" si="5">AVERAGE(L23:O23)</f>
        <v>4</v>
      </c>
      <c r="W23" s="494"/>
    </row>
    <row r="24" spans="2:23" s="493" customFormat="1">
      <c r="B24" s="505">
        <v>15</v>
      </c>
      <c r="C24" s="486" t="s">
        <v>1234</v>
      </c>
      <c r="D24" s="487"/>
      <c r="E24" s="488">
        <v>0.5</v>
      </c>
      <c r="F24" s="494" t="s">
        <v>1235</v>
      </c>
      <c r="G24" s="494" t="s">
        <v>1236</v>
      </c>
      <c r="H24" s="494" t="s">
        <v>1237</v>
      </c>
      <c r="I24" s="494"/>
      <c r="J24" s="506"/>
      <c r="L24" s="494">
        <v>1</v>
      </c>
      <c r="M24" s="494">
        <v>3</v>
      </c>
      <c r="N24" s="494">
        <v>5</v>
      </c>
      <c r="O24" s="494"/>
      <c r="Q24" s="490">
        <f t="shared" si="3"/>
        <v>5</v>
      </c>
      <c r="S24" s="490">
        <f t="shared" si="4"/>
        <v>1</v>
      </c>
      <c r="U24" s="490">
        <f t="shared" si="5"/>
        <v>3</v>
      </c>
      <c r="W24" s="494"/>
    </row>
    <row r="25" spans="2:23" s="493" customFormat="1">
      <c r="B25" s="505">
        <v>16</v>
      </c>
      <c r="C25" s="486" t="s">
        <v>1238</v>
      </c>
      <c r="D25" s="487"/>
      <c r="E25" s="488">
        <v>0.15</v>
      </c>
      <c r="F25" s="494" t="s">
        <v>1235</v>
      </c>
      <c r="G25" s="494" t="s">
        <v>1239</v>
      </c>
      <c r="H25" s="494" t="s">
        <v>1237</v>
      </c>
      <c r="I25" s="494"/>
      <c r="J25" s="506"/>
      <c r="L25" s="494">
        <v>1</v>
      </c>
      <c r="M25" s="494">
        <v>3</v>
      </c>
      <c r="N25" s="494">
        <v>5</v>
      </c>
      <c r="O25" s="494"/>
      <c r="Q25" s="490">
        <f t="shared" si="3"/>
        <v>5</v>
      </c>
      <c r="S25" s="490">
        <f t="shared" si="4"/>
        <v>1</v>
      </c>
      <c r="U25" s="490">
        <f t="shared" si="5"/>
        <v>3</v>
      </c>
      <c r="W25" s="494"/>
    </row>
    <row r="26" spans="2:23" s="493" customFormat="1">
      <c r="B26" s="505">
        <v>17</v>
      </c>
      <c r="C26" s="486" t="s">
        <v>1240</v>
      </c>
      <c r="D26" s="487"/>
      <c r="E26" s="488">
        <v>0.1</v>
      </c>
      <c r="F26" s="494" t="s">
        <v>802</v>
      </c>
      <c r="G26" s="494" t="s">
        <v>785</v>
      </c>
      <c r="H26" s="494"/>
      <c r="I26" s="494"/>
      <c r="J26" s="506"/>
      <c r="L26" s="494">
        <v>1</v>
      </c>
      <c r="M26" s="494">
        <v>3</v>
      </c>
      <c r="N26" s="494"/>
      <c r="O26" s="494"/>
      <c r="Q26" s="490">
        <f t="shared" si="3"/>
        <v>3</v>
      </c>
      <c r="S26" s="490">
        <f t="shared" si="4"/>
        <v>1</v>
      </c>
      <c r="U26" s="490">
        <f t="shared" si="5"/>
        <v>2</v>
      </c>
      <c r="W26" s="494"/>
    </row>
    <row r="27" spans="2:23">
      <c r="B27" s="495"/>
      <c r="C27" s="496" t="s">
        <v>1227</v>
      </c>
      <c r="D27" s="497"/>
      <c r="E27" s="497">
        <f>SUM(E23:E26)</f>
        <v>1</v>
      </c>
      <c r="F27" s="498"/>
      <c r="G27" s="498"/>
      <c r="H27" s="498"/>
      <c r="I27" s="498"/>
      <c r="J27" s="499"/>
      <c r="L27" s="498"/>
      <c r="M27" s="498"/>
      <c r="N27" s="498"/>
      <c r="O27" s="498"/>
      <c r="Q27" s="500">
        <f>SUM(Q21:Q26)</f>
        <v>20</v>
      </c>
      <c r="S27" s="500">
        <f>SUM(S21:S26)</f>
        <v>4</v>
      </c>
      <c r="U27" s="500">
        <f>SUM(U21:U26)</f>
        <v>12</v>
      </c>
      <c r="W27" s="497">
        <v>0.1</v>
      </c>
    </row>
    <row r="28" spans="2:23">
      <c r="B28" s="495"/>
      <c r="C28" s="507" t="s">
        <v>1241</v>
      </c>
      <c r="D28" s="508"/>
      <c r="E28" s="508"/>
      <c r="F28" s="509"/>
      <c r="G28" s="509"/>
      <c r="H28" s="509"/>
      <c r="I28" s="509"/>
      <c r="J28" s="503"/>
      <c r="L28" s="509"/>
      <c r="M28" s="509"/>
      <c r="N28" s="509"/>
      <c r="O28" s="509"/>
      <c r="W28" s="508"/>
    </row>
    <row r="29" spans="2:23" s="493" customFormat="1">
      <c r="B29" s="505"/>
      <c r="C29" s="510"/>
      <c r="D29" s="511"/>
      <c r="E29" s="511"/>
      <c r="F29" s="494"/>
      <c r="G29" s="494"/>
      <c r="H29" s="494"/>
      <c r="I29" s="494"/>
      <c r="J29" s="506"/>
      <c r="L29" s="494"/>
      <c r="M29" s="494"/>
      <c r="N29" s="494"/>
      <c r="O29" s="494"/>
      <c r="W29" s="511"/>
    </row>
    <row r="30" spans="2:23">
      <c r="B30" s="495"/>
      <c r="C30" s="480" t="s">
        <v>1242</v>
      </c>
      <c r="D30" s="481" t="s">
        <v>1177</v>
      </c>
      <c r="E30" s="482"/>
      <c r="F30" s="898" t="s">
        <v>1178</v>
      </c>
      <c r="G30" s="898"/>
      <c r="H30" s="898"/>
      <c r="I30" s="898"/>
      <c r="J30" s="499"/>
      <c r="L30" s="898" t="s">
        <v>1178</v>
      </c>
      <c r="M30" s="898"/>
      <c r="N30" s="898"/>
      <c r="O30" s="898"/>
      <c r="W30" s="481"/>
    </row>
    <row r="31" spans="2:23" s="493" customFormat="1">
      <c r="B31" s="505">
        <v>18</v>
      </c>
      <c r="C31" s="512" t="s">
        <v>1243</v>
      </c>
      <c r="D31" s="487"/>
      <c r="E31" s="488">
        <v>0.3</v>
      </c>
      <c r="F31" s="513" t="s">
        <v>1244</v>
      </c>
      <c r="G31" s="487"/>
      <c r="H31" s="494" t="s">
        <v>1245</v>
      </c>
      <c r="I31" s="494"/>
      <c r="J31" s="506"/>
      <c r="L31" s="487">
        <v>1</v>
      </c>
      <c r="M31" s="487">
        <v>3</v>
      </c>
      <c r="N31" s="494">
        <v>5</v>
      </c>
      <c r="O31" s="494"/>
      <c r="Q31" s="490">
        <f t="shared" ref="Q31:Q34" si="6">MAX(L31:O31)</f>
        <v>5</v>
      </c>
      <c r="S31" s="490">
        <f t="shared" ref="S31:S34" si="7">MIN(L31:O31)</f>
        <v>1</v>
      </c>
      <c r="U31" s="490">
        <f t="shared" ref="U31:U34" si="8">AVERAGE(L31:O31)</f>
        <v>3</v>
      </c>
      <c r="W31" s="494"/>
    </row>
    <row r="32" spans="2:23" s="493" customFormat="1">
      <c r="B32" s="505">
        <v>19</v>
      </c>
      <c r="C32" s="486" t="s">
        <v>1246</v>
      </c>
      <c r="D32" s="487"/>
      <c r="E32" s="488">
        <v>0.2</v>
      </c>
      <c r="F32" s="494" t="s">
        <v>1247</v>
      </c>
      <c r="G32" s="494" t="s">
        <v>1248</v>
      </c>
      <c r="H32" s="494" t="s">
        <v>1249</v>
      </c>
      <c r="I32" s="494"/>
      <c r="J32" s="506"/>
      <c r="L32" s="494">
        <v>3</v>
      </c>
      <c r="M32" s="494">
        <v>3</v>
      </c>
      <c r="N32" s="494">
        <v>1</v>
      </c>
      <c r="O32" s="494"/>
      <c r="Q32" s="490">
        <f t="shared" si="6"/>
        <v>3</v>
      </c>
      <c r="S32" s="490">
        <f t="shared" si="7"/>
        <v>1</v>
      </c>
      <c r="U32" s="490">
        <f t="shared" si="8"/>
        <v>2.3333333333333335</v>
      </c>
      <c r="W32" s="494"/>
    </row>
    <row r="33" spans="2:23" s="493" customFormat="1">
      <c r="B33" s="505">
        <v>20</v>
      </c>
      <c r="C33" s="486" t="s">
        <v>1250</v>
      </c>
      <c r="D33" s="487"/>
      <c r="E33" s="488">
        <v>0.15</v>
      </c>
      <c r="F33" s="494" t="s">
        <v>1251</v>
      </c>
      <c r="G33" s="494" t="s">
        <v>1252</v>
      </c>
      <c r="H33" s="494" t="s">
        <v>1253</v>
      </c>
      <c r="I33" s="494"/>
      <c r="J33" s="506"/>
      <c r="L33" s="494">
        <v>1</v>
      </c>
      <c r="M33" s="494">
        <v>3</v>
      </c>
      <c r="N33" s="494">
        <v>5</v>
      </c>
      <c r="O33" s="494"/>
      <c r="Q33" s="490">
        <f t="shared" si="6"/>
        <v>5</v>
      </c>
      <c r="S33" s="490">
        <f t="shared" si="7"/>
        <v>1</v>
      </c>
      <c r="U33" s="490">
        <f t="shared" si="8"/>
        <v>3</v>
      </c>
      <c r="W33" s="494"/>
    </row>
    <row r="34" spans="2:23" s="493" customFormat="1">
      <c r="B34" s="505">
        <v>21</v>
      </c>
      <c r="C34" s="486" t="s">
        <v>1254</v>
      </c>
      <c r="D34" s="487"/>
      <c r="E34" s="488">
        <v>0.35</v>
      </c>
      <c r="F34" s="494" t="s">
        <v>1255</v>
      </c>
      <c r="G34" s="494" t="s">
        <v>1256</v>
      </c>
      <c r="H34" s="494"/>
      <c r="I34" s="494"/>
      <c r="J34" s="506"/>
      <c r="L34" s="494">
        <v>1</v>
      </c>
      <c r="M34" s="494">
        <v>3</v>
      </c>
      <c r="N34" s="494"/>
      <c r="O34" s="494"/>
      <c r="Q34" s="490">
        <f t="shared" si="6"/>
        <v>3</v>
      </c>
      <c r="S34" s="490">
        <f t="shared" si="7"/>
        <v>1</v>
      </c>
      <c r="U34" s="490">
        <f t="shared" si="8"/>
        <v>2</v>
      </c>
      <c r="W34" s="494"/>
    </row>
    <row r="35" spans="2:23">
      <c r="B35" s="495"/>
      <c r="C35" s="496" t="s">
        <v>1227</v>
      </c>
      <c r="D35" s="497"/>
      <c r="E35" s="497">
        <f>SUM(E31:E34)</f>
        <v>1</v>
      </c>
      <c r="F35" s="498"/>
      <c r="G35" s="498"/>
      <c r="H35" s="498"/>
      <c r="I35" s="498"/>
      <c r="J35" s="499"/>
      <c r="L35" s="498"/>
      <c r="M35" s="498"/>
      <c r="N35" s="498"/>
      <c r="O35" s="498"/>
      <c r="Q35" s="500">
        <f>SUM(Q29:Q34)</f>
        <v>16</v>
      </c>
      <c r="S35" s="500">
        <f>SUM(S29:S34)</f>
        <v>4</v>
      </c>
      <c r="U35" s="500">
        <f>SUM(U29:U34)</f>
        <v>10.333333333333334</v>
      </c>
      <c r="W35" s="497">
        <v>0.2</v>
      </c>
    </row>
    <row r="36" spans="2:23">
      <c r="B36" s="495"/>
      <c r="C36" s="501"/>
      <c r="D36" s="502"/>
      <c r="E36" s="502"/>
      <c r="F36" s="502"/>
      <c r="G36" s="502"/>
      <c r="H36" s="502"/>
      <c r="I36" s="502"/>
      <c r="J36" s="503"/>
      <c r="L36" s="502"/>
      <c r="M36" s="502"/>
      <c r="N36" s="502"/>
      <c r="O36" s="502"/>
      <c r="W36" s="502"/>
    </row>
    <row r="37" spans="2:23">
      <c r="B37" s="495"/>
      <c r="C37" s="480" t="s">
        <v>1257</v>
      </c>
      <c r="D37" s="481" t="s">
        <v>1177</v>
      </c>
      <c r="E37" s="482"/>
      <c r="F37" s="898" t="s">
        <v>1178</v>
      </c>
      <c r="G37" s="898"/>
      <c r="H37" s="898"/>
      <c r="I37" s="898"/>
      <c r="J37" s="499"/>
      <c r="L37" s="898" t="s">
        <v>1178</v>
      </c>
      <c r="M37" s="898"/>
      <c r="N37" s="898"/>
      <c r="O37" s="898"/>
      <c r="W37" s="481"/>
    </row>
    <row r="38" spans="2:23" s="493" customFormat="1">
      <c r="B38" s="505">
        <v>22</v>
      </c>
      <c r="C38" s="486" t="s">
        <v>1258</v>
      </c>
      <c r="D38" s="487"/>
      <c r="E38" s="488">
        <v>0.3</v>
      </c>
      <c r="F38" s="487" t="s">
        <v>1259</v>
      </c>
      <c r="G38" s="487" t="s">
        <v>1260</v>
      </c>
      <c r="H38" s="487" t="s">
        <v>1261</v>
      </c>
      <c r="I38" s="494" t="s">
        <v>1262</v>
      </c>
      <c r="J38" s="506"/>
      <c r="L38" s="487">
        <v>1</v>
      </c>
      <c r="M38" s="487">
        <v>3</v>
      </c>
      <c r="N38" s="487">
        <v>5</v>
      </c>
      <c r="O38" s="494">
        <v>7</v>
      </c>
      <c r="Q38" s="490">
        <f t="shared" ref="Q38:Q41" si="9">MAX(L38:O38)</f>
        <v>7</v>
      </c>
      <c r="S38" s="490">
        <f t="shared" ref="S38:S41" si="10">MIN(L38:O38)</f>
        <v>1</v>
      </c>
      <c r="U38" s="490">
        <f t="shared" ref="U38:U41" si="11">AVERAGE(L38:O38)</f>
        <v>4</v>
      </c>
      <c r="W38" s="494"/>
    </row>
    <row r="39" spans="2:23" s="493" customFormat="1">
      <c r="B39" s="505">
        <v>23</v>
      </c>
      <c r="C39" s="486" t="s">
        <v>1263</v>
      </c>
      <c r="D39" s="487"/>
      <c r="E39" s="488">
        <v>0.2</v>
      </c>
      <c r="F39" s="494" t="s">
        <v>785</v>
      </c>
      <c r="G39" s="494" t="s">
        <v>802</v>
      </c>
      <c r="H39" s="494"/>
      <c r="I39" s="494"/>
      <c r="J39" s="506"/>
      <c r="L39" s="494">
        <v>3</v>
      </c>
      <c r="M39" s="494">
        <v>1</v>
      </c>
      <c r="N39" s="494"/>
      <c r="O39" s="494"/>
      <c r="Q39" s="490">
        <f t="shared" si="9"/>
        <v>3</v>
      </c>
      <c r="S39" s="490">
        <f t="shared" si="10"/>
        <v>1</v>
      </c>
      <c r="U39" s="490">
        <f t="shared" si="11"/>
        <v>2</v>
      </c>
      <c r="W39" s="494"/>
    </row>
    <row r="40" spans="2:23" s="493" customFormat="1">
      <c r="B40" s="505">
        <v>24</v>
      </c>
      <c r="C40" s="486" t="s">
        <v>1264</v>
      </c>
      <c r="D40" s="487"/>
      <c r="E40" s="488">
        <v>0.2</v>
      </c>
      <c r="F40" s="494" t="s">
        <v>785</v>
      </c>
      <c r="G40" s="494" t="s">
        <v>1265</v>
      </c>
      <c r="H40" s="494"/>
      <c r="I40" s="494"/>
      <c r="J40" s="506"/>
      <c r="L40" s="494">
        <v>3</v>
      </c>
      <c r="M40" s="494">
        <v>1</v>
      </c>
      <c r="N40" s="494"/>
      <c r="O40" s="494"/>
      <c r="Q40" s="490">
        <f t="shared" si="9"/>
        <v>3</v>
      </c>
      <c r="S40" s="490">
        <f t="shared" si="10"/>
        <v>1</v>
      </c>
      <c r="U40" s="490">
        <f t="shared" si="11"/>
        <v>2</v>
      </c>
      <c r="W40" s="494"/>
    </row>
    <row r="41" spans="2:23" s="493" customFormat="1">
      <c r="B41" s="505">
        <v>25</v>
      </c>
      <c r="C41" s="486" t="s">
        <v>1266</v>
      </c>
      <c r="D41" s="487"/>
      <c r="E41" s="488">
        <v>0.3</v>
      </c>
      <c r="F41" s="494" t="s">
        <v>1267</v>
      </c>
      <c r="G41" s="494" t="s">
        <v>1268</v>
      </c>
      <c r="H41" s="494" t="s">
        <v>1269</v>
      </c>
      <c r="I41" s="494" t="s">
        <v>1270</v>
      </c>
      <c r="J41" s="506"/>
      <c r="L41" s="494">
        <v>3</v>
      </c>
      <c r="M41" s="494">
        <v>1</v>
      </c>
      <c r="N41" s="494"/>
      <c r="O41" s="494"/>
      <c r="Q41" s="490">
        <f t="shared" si="9"/>
        <v>3</v>
      </c>
      <c r="S41" s="490">
        <f t="shared" si="10"/>
        <v>1</v>
      </c>
      <c r="U41" s="490">
        <f t="shared" si="11"/>
        <v>2</v>
      </c>
      <c r="W41" s="494"/>
    </row>
    <row r="42" spans="2:23">
      <c r="B42" s="514"/>
      <c r="C42" s="496" t="s">
        <v>1227</v>
      </c>
      <c r="D42" s="497"/>
      <c r="E42" s="497">
        <f>SUM(E38:E41)</f>
        <v>1</v>
      </c>
      <c r="F42" s="498"/>
      <c r="G42" s="498"/>
      <c r="H42" s="498"/>
      <c r="I42" s="498"/>
      <c r="J42" s="499"/>
      <c r="L42" s="498"/>
      <c r="M42" s="498"/>
      <c r="N42" s="498"/>
      <c r="O42" s="498"/>
      <c r="Q42" s="500">
        <f>SUM(Q38:Q41)</f>
        <v>16</v>
      </c>
      <c r="S42" s="500">
        <f>SUM(S38:S41)</f>
        <v>4</v>
      </c>
      <c r="U42" s="500">
        <f>SUM(U38:U41)</f>
        <v>10</v>
      </c>
      <c r="W42" s="497">
        <v>0.3</v>
      </c>
    </row>
  </sheetData>
  <mergeCells count="8">
    <mergeCell ref="F37:I37"/>
    <mergeCell ref="L37:O37"/>
    <mergeCell ref="F6:I6"/>
    <mergeCell ref="L6:O6"/>
    <mergeCell ref="F22:I22"/>
    <mergeCell ref="L22:O22"/>
    <mergeCell ref="F30:I30"/>
    <mergeCell ref="L30:O30"/>
  </mergeCells>
  <dataValidations count="2">
    <dataValidation type="list" allowBlank="1" showInputMessage="1" showErrorMessage="1" sqref="D7" xr:uid="{00000000-0002-0000-0800-000000000000}">
      <formula1>$F$7:$I$7</formula1>
    </dataValidation>
    <dataValidation type="list" allowBlank="1" showInputMessage="1" showErrorMessage="1" sqref="D31:D34 D8:D19 D23:D26 D38:D41" xr:uid="{00000000-0002-0000-0800-000001000000}">
      <formula1>F8:I8</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92FE2E1A-32E0-43E6-8B33-C07FFE412B03}">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5</vt:i4>
      </vt:variant>
    </vt:vector>
  </HeadingPairs>
  <TitlesOfParts>
    <vt:vector size="40" baseType="lpstr">
      <vt:lpstr>Assumption</vt:lpstr>
      <vt:lpstr>BANK CMA</vt:lpstr>
      <vt:lpstr>Liabilities</vt:lpstr>
      <vt:lpstr>Assets</vt:lpstr>
      <vt:lpstr>KFI</vt:lpstr>
      <vt:lpstr>Sentivity Analysis</vt:lpstr>
      <vt:lpstr>Gross Receipts Summary</vt:lpstr>
      <vt:lpstr>Score Summary</vt:lpstr>
      <vt:lpstr>Sheet1 (3)</vt:lpstr>
      <vt:lpstr>PD and CAM</vt:lpstr>
      <vt:lpstr>Cashflow and Elligibility</vt:lpstr>
      <vt:lpstr>Sheet1</vt:lpstr>
      <vt:lpstr>3. Financials - School 1</vt:lpstr>
      <vt:lpstr>3. Financials - School 12</vt:lpstr>
      <vt:lpstr>4. Repayment Track</vt:lpstr>
      <vt:lpstr>4. Banking Assessment</vt:lpstr>
      <vt:lpstr>4. Banking Assessment (2)</vt:lpstr>
      <vt:lpstr>Deviations</vt:lpstr>
      <vt:lpstr>Sheet2</vt:lpstr>
      <vt:lpstr>Expenses Summary</vt:lpstr>
      <vt:lpstr>Expenses</vt:lpstr>
      <vt:lpstr>Loan Summary</vt:lpstr>
      <vt:lpstr>Other Loan</vt:lpstr>
      <vt:lpstr>Term Loan</vt:lpstr>
      <vt:lpstr>Interest-TL</vt:lpstr>
      <vt:lpstr>FA Summary</vt:lpstr>
      <vt:lpstr>FA Schedule</vt:lpstr>
      <vt:lpstr>Financials improper</vt:lpstr>
      <vt:lpstr>CMAcode</vt:lpstr>
      <vt:lpstr>Assumptions</vt:lpstr>
      <vt:lpstr>List of members</vt:lpstr>
      <vt:lpstr>result detail</vt:lpstr>
      <vt:lpstr>staff detail</vt:lpstr>
      <vt:lpstr>Bus Fleet list</vt:lpstr>
      <vt:lpstr>Sheet5</vt:lpstr>
      <vt:lpstr>Assets!Print_Area</vt:lpstr>
      <vt:lpstr>'BANK CMA'!Print_Area</vt:lpstr>
      <vt:lpstr>KFI!Print_Area</vt:lpstr>
      <vt:lpstr>Liabilities!Print_Area</vt:lpstr>
      <vt:lpstr>'BANK CMA'!rkd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dc:creator>
  <cp:lastModifiedBy>VIDYA</cp:lastModifiedBy>
  <cp:lastPrinted>2019-08-12T06:25:25Z</cp:lastPrinted>
  <dcterms:created xsi:type="dcterms:W3CDTF">2013-01-29T06:47:37Z</dcterms:created>
  <dcterms:modified xsi:type="dcterms:W3CDTF">2019-11-08T09:51:18Z</dcterms:modified>
</cp:coreProperties>
</file>